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245" firstSheet="2" activeTab="3"/>
  </bookViews>
  <sheets>
    <sheet name="MINERAL CARBONATION" sheetId="1" r:id="rId1"/>
    <sheet name="MINERAL CARBONATION 2" sheetId="2" r:id="rId2"/>
    <sheet name="MINERAL CARBONATION 3" sheetId="3" r:id="rId3"/>
    <sheet name="UREA SYNTHESIS" sheetId="4" r:id="rId4"/>
    <sheet name="UREA SYNTHESIS 2" sheetId="5" r:id="rId5"/>
    <sheet name="UREA SYNTHESIS 3" sheetId="11" r:id="rId6"/>
    <sheet name="METHANOL SYNTHESIS" sheetId="6" r:id="rId7"/>
    <sheet name="METHANOL SYNTHESIS 2" sheetId="7" r:id="rId8"/>
    <sheet name="METHANOL SYNTHESIS 3" sheetId="9" r:id="rId9"/>
    <sheet name="POLYOL" sheetId="10" r:id="rId10"/>
    <sheet name="POLYOL 2" sheetId="12" r:id="rId11"/>
    <sheet name="POLYOL 3" sheetId="13" r:id="rId12"/>
    <sheet name="ENHANCED OIL RECOVERY" sheetId="8" r:id="rId13"/>
    <sheet name="ENHANCED OIL RECOVERY 2" sheetId="14" r:id="rId14"/>
    <sheet name="ENHANCED OIL RECOVERY 3" sheetId="15" r:id="rId15"/>
    <sheet name="SALICYLIC ACID" sheetId="16" r:id="rId16"/>
    <sheet name="SALICYLIC ACID 2" sheetId="17" r:id="rId17"/>
    <sheet name="SALICYLIC ACID 3" sheetId="18" r:id="rId18"/>
    <sheet name="Sheet1" sheetId="19" r:id="rId19"/>
    <sheet name="ILAUNDRY" sheetId="20" r:id="rId20"/>
    <sheet name="ILAUNDRY 2" sheetId="21" r:id="rId21"/>
    <sheet name="ILAUNDRY 3" sheetId="22" r:id="rId22"/>
    <sheet name="JLAUNDRY" sheetId="23" r:id="rId23"/>
    <sheet name="JLAUNDRY 2" sheetId="24" r:id="rId24"/>
    <sheet name="JLAUNDRY 3" sheetId="25" r:id="rId25"/>
    <sheet name="Sheet2" sheetId="26" r:id="rId26"/>
  </sheets>
  <externalReferences>
    <externalReference r:id="rId27"/>
    <externalReference r:id="rId28"/>
    <externalReference r:id="rId29"/>
  </externalReferences>
  <calcPr calcId="144525"/>
</workbook>
</file>

<file path=xl/sharedStrings.xml><?xml version="1.0" encoding="utf-8"?>
<sst xmlns="http://schemas.openxmlformats.org/spreadsheetml/2006/main" count="1243" uniqueCount="234">
  <si>
    <t>ECONOMICS FOR CARBON DIOXIDE FOR MINERAL CARBONATION</t>
  </si>
  <si>
    <t>CAPEX COST OUTLAY</t>
  </si>
  <si>
    <t>REVENUE</t>
  </si>
  <si>
    <t>AIR POLLUTION CONTROL RESIDUES</t>
  </si>
  <si>
    <t>PAYMENT MADE FOR THERMAL RESIDUE DISPOSAL</t>
  </si>
  <si>
    <t>REACTOR</t>
  </si>
  <si>
    <t>SALES OF MINERAL CARBONATION PRODUCT</t>
  </si>
  <si>
    <t>TON OUTPUT PER YEAR</t>
  </si>
  <si>
    <t>TOTAL (MM$)</t>
  </si>
  <si>
    <t>OPERATING EXPENSE PER 40000 TONS INPUT</t>
  </si>
  <si>
    <t>DEPRECIATION</t>
  </si>
  <si>
    <t>ELECTRICITY/ OTHER UTILITIES</t>
  </si>
  <si>
    <t>PER YEAR</t>
  </si>
  <si>
    <t>CAPEX IS DEPRECIATED OVER</t>
  </si>
  <si>
    <t>YEARS</t>
  </si>
  <si>
    <t>CARBON DIOXIDE</t>
  </si>
  <si>
    <t>PER TON OF CO2</t>
  </si>
  <si>
    <t>CARBON DIOXIDE QUANTITY</t>
  </si>
  <si>
    <t>TONS PER YEAR</t>
  </si>
  <si>
    <t>FISCAL TERMS</t>
  </si>
  <si>
    <t>CHEMICALS (BINDERS AND FILLERS)</t>
  </si>
  <si>
    <t>TAX</t>
  </si>
  <si>
    <t>WASTE TREATMENT</t>
  </si>
  <si>
    <t>PER 40,0000 TONS</t>
  </si>
  <si>
    <t>DISCOUNT RATE</t>
  </si>
  <si>
    <t>TOTAL</t>
  </si>
  <si>
    <t>ECONOMIC INDICATORS</t>
  </si>
  <si>
    <t>NPV (MM$)</t>
  </si>
  <si>
    <t>IRR</t>
  </si>
  <si>
    <t>PVR</t>
  </si>
  <si>
    <t>PI</t>
  </si>
  <si>
    <t>Payout time</t>
  </si>
  <si>
    <t>MINIMUM PRICE</t>
  </si>
  <si>
    <t>CASH FLOW FOR MINERAL CARBONATION</t>
  </si>
  <si>
    <t>YEAR</t>
  </si>
  <si>
    <t>PRODUCT SALES</t>
  </si>
  <si>
    <t>AGGREGATE PRODUCT PRICE</t>
  </si>
  <si>
    <t>GROSS REVENUE (MM$)</t>
  </si>
  <si>
    <t>OPEX (MM$)</t>
  </si>
  <si>
    <t>OPERATING INCOME (MM$)</t>
  </si>
  <si>
    <t>CAPEX</t>
  </si>
  <si>
    <t>DEPRECIATION OF CAPEX (MM$)</t>
  </si>
  <si>
    <t>NET CASH FLOW BEFORE INCOME TAX (MM$)</t>
  </si>
  <si>
    <t>LOSS CARRIED FORWARD (MM$)</t>
  </si>
  <si>
    <t>TAXABLE INCOME (MM$)</t>
  </si>
  <si>
    <t>INCOME TAX (20%) (MM$)</t>
  </si>
  <si>
    <t>NCF AFTER INCOME TAX (MM$)</t>
  </si>
  <si>
    <t>CUMMULATIVE NCF AFTER INCOME TAX (MM$)</t>
  </si>
  <si>
    <t>DISCOUNT RATE (10%) END YEAR</t>
  </si>
  <si>
    <t>NET PRESENT VALUE (MM$)</t>
  </si>
  <si>
    <t>CUMMULATIVE NET PRESENT VALUE (MM$)</t>
  </si>
  <si>
    <t xml:space="preserve"> </t>
  </si>
  <si>
    <t>FOR IRR</t>
  </si>
  <si>
    <t>DISOUNT RATE</t>
  </si>
  <si>
    <t>NPV</t>
  </si>
  <si>
    <t>FOR DISCOUNT RATE</t>
  </si>
  <si>
    <t>CUMMULATIVE</t>
  </si>
  <si>
    <t>NET CASH FLOW ($MM)</t>
  </si>
  <si>
    <t>DISCOUNT FACTOR</t>
  </si>
  <si>
    <t>NPV ($MM)</t>
  </si>
  <si>
    <t>FOR PAYOUT TIME</t>
  </si>
  <si>
    <t>PAYOUT TIME</t>
  </si>
  <si>
    <t>CUMMULATIVE CASH FLOW (MM$)</t>
  </si>
  <si>
    <t>FOR PRESENT VALUE RATIO</t>
  </si>
  <si>
    <t>PVR=</t>
  </si>
  <si>
    <t>NPV/I0</t>
  </si>
  <si>
    <t>I0=</t>
  </si>
  <si>
    <t>I/(1+i)t</t>
  </si>
  <si>
    <t xml:space="preserve">WHERE </t>
  </si>
  <si>
    <t>t=</t>
  </si>
  <si>
    <t>years</t>
  </si>
  <si>
    <t>i=</t>
  </si>
  <si>
    <t>I=</t>
  </si>
  <si>
    <t>MM$</t>
  </si>
  <si>
    <t>NPV=</t>
  </si>
  <si>
    <t>FOR PROFITABILITY INDEX</t>
  </si>
  <si>
    <t>PI=</t>
  </si>
  <si>
    <t>1+PVR</t>
  </si>
  <si>
    <t>FOR NPV</t>
  </si>
  <si>
    <t>Σ(NCF/(1+i)t)</t>
  </si>
  <si>
    <t>t=15years</t>
  </si>
  <si>
    <t>i=15%</t>
  </si>
  <si>
    <t>NPV (MM$)=</t>
  </si>
  <si>
    <t>FOR MINIMUM PRICE</t>
  </si>
  <si>
    <t>PRICE</t>
  </si>
  <si>
    <t>FOR PRICE=</t>
  </si>
  <si>
    <t>GROSS REVENUE</t>
  </si>
  <si>
    <t>OPEX</t>
  </si>
  <si>
    <t>OPERATING INCOME</t>
  </si>
  <si>
    <t>DEPRECIATION OF CAPEX</t>
  </si>
  <si>
    <t>NET CASH FLOW BEFORE INCOME TAX</t>
  </si>
  <si>
    <t>LOSS CARRIED FORWARD</t>
  </si>
  <si>
    <t>TAXABLE INCOME</t>
  </si>
  <si>
    <t>INCOME TAX (20%)</t>
  </si>
  <si>
    <t>NCF AFTER INCOME TAX</t>
  </si>
  <si>
    <t>CUMMULATIVE NCF AFTER INCOME TAX</t>
  </si>
  <si>
    <t>NET PRESENT VALUE</t>
  </si>
  <si>
    <t>CUMMULATIVE NET PRESENT VALUE</t>
  </si>
  <si>
    <t>ECONOMICS FOR CARBON DIOXIDE FOR UREA SYNTHESIS</t>
  </si>
  <si>
    <t>UREA PLANT</t>
  </si>
  <si>
    <t>UTILITIES AND BoP</t>
  </si>
  <si>
    <t>CO2 CAPTURE UNIT</t>
  </si>
  <si>
    <t>CO2 COMPRESSION</t>
  </si>
  <si>
    <t>QUANTITY OF UREA PRODUCED YEARLY</t>
  </si>
  <si>
    <t>OPERATING EXPENSE</t>
  </si>
  <si>
    <t>FEEDSTOCK AND FUEL</t>
  </si>
  <si>
    <t>ELECTRICITY</t>
  </si>
  <si>
    <t>RAW WATER</t>
  </si>
  <si>
    <t>CHEMICALS AND CATALYSTS</t>
  </si>
  <si>
    <t>CO2 PER YEAR</t>
  </si>
  <si>
    <t>CO2 USE PER YEAR</t>
  </si>
  <si>
    <t>CO2 TO UREA</t>
  </si>
  <si>
    <t>TOTAL CO2 EMMITED</t>
  </si>
  <si>
    <t>CASH FLOW FOR UREA SYNTHESIS</t>
  </si>
  <si>
    <t>ECONOMIC INDICATORS CALCULATIONS AND GRAPHS</t>
  </si>
  <si>
    <t>ECONOMICS FOR CARBON METHANOL SYNTHESIS</t>
  </si>
  <si>
    <t>ELECTROLYSIS CHAMBER</t>
  </si>
  <si>
    <t>SYNGAS REACTOR</t>
  </si>
  <si>
    <t>SYNTHESIS REACTOR</t>
  </si>
  <si>
    <t>METHANOL STORAGE TANKS</t>
  </si>
  <si>
    <t>PRICE=</t>
  </si>
  <si>
    <t>T/YEAR</t>
  </si>
  <si>
    <t>COST OF CARBON DIOXIDE</t>
  </si>
  <si>
    <t>PER TON</t>
  </si>
  <si>
    <t>MW/YR OF CAPTIVE POWER*</t>
  </si>
  <si>
    <t>COST OF ELECTRICITY</t>
  </si>
  <si>
    <t>PER KW</t>
  </si>
  <si>
    <t>CO2+H2----&gt; CH3OH+ H2O</t>
  </si>
  <si>
    <t>CASH FLOW FOR METHANOL SYNTHESIS</t>
  </si>
  <si>
    <t>R</t>
  </si>
  <si>
    <t>ECONOMICS FOR CARBON POLYOL SYNTHESIS</t>
  </si>
  <si>
    <t>CONDENSERS</t>
  </si>
  <si>
    <t>HEAT EXCHANGERS</t>
  </si>
  <si>
    <t>MIXERS</t>
  </si>
  <si>
    <t>VACUUM PUMPS/PUMPS</t>
  </si>
  <si>
    <t>STORAGE TANK</t>
  </si>
  <si>
    <t>$1350-$2000</t>
  </si>
  <si>
    <t xml:space="preserve">PER TON </t>
  </si>
  <si>
    <t>CASH FLOW FOR POLYOL</t>
  </si>
  <si>
    <t>ECONOMICS FOR CARBON ENHANCED OIL RECOVERY</t>
  </si>
  <si>
    <t>CAPEX COST OUTLAY PER WELL</t>
  </si>
  <si>
    <t>NO OF PRODUCER WELLS PER INJECTION WELL</t>
  </si>
  <si>
    <t>NO OF INJECTION WELL</t>
  </si>
  <si>
    <t>DRILLING AND COMPLETION COST OF INJECTION WELL</t>
  </si>
  <si>
    <t>QUANTITY OF OIL PRODUCED PER YEAR</t>
  </si>
  <si>
    <t>SEPARATION AND PUMPING</t>
  </si>
  <si>
    <t xml:space="preserve">*INVERTED 5 SPOT PATTERN FLOODING, 4 PRODUCING WELLS PER ONE INJECTION WELL </t>
  </si>
  <si>
    <t>*Owing to heterogeinity  in reservoirs, an average production rate from the wells is assumed</t>
  </si>
  <si>
    <t>T/BBL</t>
  </si>
  <si>
    <t>QUANTITY OF CO2 REQUIRED</t>
  </si>
  <si>
    <t>TONS</t>
  </si>
  <si>
    <t xml:space="preserve"> WATER</t>
  </si>
  <si>
    <t>CASH FLOW FOR 'ENHANCED OIL RECOVERY'</t>
  </si>
  <si>
    <t>ROYALTY</t>
  </si>
  <si>
    <t>NET REVENUE</t>
  </si>
  <si>
    <t xml:space="preserve">ECONOMICS FOR CARBON SALICYLIC ACID </t>
  </si>
  <si>
    <t>CAPEX COST OUTLAY PER SALICYLIC ACID PLANT</t>
  </si>
  <si>
    <t>1000 TONS PER YEAR</t>
  </si>
  <si>
    <t>Compressors, valves,</t>
  </si>
  <si>
    <t>Reactor</t>
  </si>
  <si>
    <t>stainless steel rotary dryer and steel tank</t>
  </si>
  <si>
    <t>pumps and assesories</t>
  </si>
  <si>
    <t>QUANTITY OF SALICYLIC ACID PRODUCED PER YEAR</t>
  </si>
  <si>
    <t>Installation cost</t>
  </si>
  <si>
    <t>PRICE PER TON</t>
  </si>
  <si>
    <t>T/TEAR</t>
  </si>
  <si>
    <t>PHENOL</t>
  </si>
  <si>
    <t>SULPHURIC ACID 1000 TONS AT$25 PER TON</t>
  </si>
  <si>
    <t xml:space="preserve">OVERHEAD MAINTENANCE </t>
  </si>
  <si>
    <t>CASH FLOW FOR 'SALICYLIC ACID'</t>
  </si>
  <si>
    <r>
      <rPr>
        <sz val="12"/>
        <color theme="1"/>
        <rFont val="Times New Roman"/>
        <charset val="134"/>
      </rPr>
      <t>I. </t>
    </r>
    <r>
      <rPr>
        <sz val="12"/>
        <color theme="1"/>
        <rFont val="Times New Roman"/>
        <charset val="134"/>
      </rPr>
      <t>Methanol</t>
    </r>
  </si>
  <si>
    <r>
      <rPr>
        <sz val="12"/>
        <color theme="1"/>
        <rFont val="Times New Roman"/>
        <charset val="134"/>
      </rPr>
      <t>II. </t>
    </r>
    <r>
      <rPr>
        <sz val="12"/>
        <color theme="1"/>
        <rFont val="Times New Roman"/>
        <charset val="134"/>
      </rPr>
      <t>Mineral Carbonation</t>
    </r>
  </si>
  <si>
    <r>
      <rPr>
        <sz val="12"/>
        <color theme="1"/>
        <rFont val="Times New Roman"/>
        <charset val="134"/>
      </rPr>
      <t>III. </t>
    </r>
    <r>
      <rPr>
        <sz val="12"/>
        <color theme="1"/>
        <rFont val="Times New Roman"/>
        <charset val="134"/>
      </rPr>
      <t>Urea</t>
    </r>
  </si>
  <si>
    <r>
      <rPr>
        <sz val="12"/>
        <color theme="1"/>
        <rFont val="Times New Roman"/>
        <charset val="134"/>
      </rPr>
      <t>IV. </t>
    </r>
    <r>
      <rPr>
        <sz val="12"/>
        <color theme="1"/>
        <rFont val="Times New Roman"/>
        <charset val="134"/>
      </rPr>
      <t>Polyol</t>
    </r>
  </si>
  <si>
    <r>
      <rPr>
        <sz val="12"/>
        <color theme="1"/>
        <rFont val="Times New Roman"/>
        <charset val="134"/>
      </rPr>
      <t>V. </t>
    </r>
    <r>
      <rPr>
        <sz val="12"/>
        <color theme="1"/>
        <rFont val="Times New Roman"/>
        <charset val="134"/>
      </rPr>
      <t>Salicylic acid</t>
    </r>
  </si>
  <si>
    <r>
      <rPr>
        <sz val="12"/>
        <color theme="1"/>
        <rFont val="Times New Roman"/>
        <charset val="134"/>
      </rPr>
      <t>VI. </t>
    </r>
    <r>
      <rPr>
        <sz val="12"/>
        <color theme="1"/>
        <rFont val="Times New Roman"/>
        <charset val="134"/>
      </rPr>
      <t>Enhanced oil Recovery</t>
    </r>
  </si>
  <si>
    <t xml:space="preserve">MINERAL CARBONATION </t>
  </si>
  <si>
    <t>UREA SYNTHESIS</t>
  </si>
  <si>
    <t xml:space="preserve">METHANOL SYNTHESIS
</t>
  </si>
  <si>
    <t xml:space="preserve">POLYOL SYNTHESIS
</t>
  </si>
  <si>
    <t xml:space="preserve">ENHANCED OIL RECOVERY
</t>
  </si>
  <si>
    <t>SALICYLIC ACID</t>
  </si>
  <si>
    <t>ECONOMICS FOR LIQUID SOAP</t>
  </si>
  <si>
    <t>CAPEX COST</t>
  </si>
  <si>
    <t>Quantity</t>
  </si>
  <si>
    <t>Registration of business name</t>
  </si>
  <si>
    <t>Website</t>
  </si>
  <si>
    <t>Rent</t>
  </si>
  <si>
    <t>Office Equipment</t>
  </si>
  <si>
    <t>Others</t>
  </si>
  <si>
    <t>Nitrosol</t>
  </si>
  <si>
    <t>Texapon</t>
  </si>
  <si>
    <t>QUANTITY OF SOAP PRODUCED PER MONTH</t>
  </si>
  <si>
    <t>Caustic Soda</t>
  </si>
  <si>
    <t>PRICE PER LITRE</t>
  </si>
  <si>
    <t>Sulphuric</t>
  </si>
  <si>
    <t>Soda Ash</t>
  </si>
  <si>
    <t>SLS</t>
  </si>
  <si>
    <t>Colour</t>
  </si>
  <si>
    <t>Preservatives</t>
  </si>
  <si>
    <t>Perfume</t>
  </si>
  <si>
    <t>Miscallenous</t>
  </si>
  <si>
    <t xml:space="preserve">TOTAL </t>
  </si>
  <si>
    <t>PER MONTH</t>
  </si>
  <si>
    <t>Payout time (Month)</t>
  </si>
  <si>
    <t>CASH FLOW FOR 'ILAUNDRY'</t>
  </si>
  <si>
    <t>INCOME TAX (10%) (MM$)</t>
  </si>
  <si>
    <t>DISCOUNT RATE (0%) END YEAR</t>
  </si>
  <si>
    <t xml:space="preserve">CAPEX COST </t>
  </si>
  <si>
    <t>Buckets</t>
  </si>
  <si>
    <t>Hangers</t>
  </si>
  <si>
    <t>4 packets</t>
  </si>
  <si>
    <t>Clips</t>
  </si>
  <si>
    <t>3 packs</t>
  </si>
  <si>
    <t>CLOTHES MONTHLY</t>
  </si>
  <si>
    <t>Rope</t>
  </si>
  <si>
    <t>2 metres</t>
  </si>
  <si>
    <t>ITEM</t>
  </si>
  <si>
    <t>Iron</t>
  </si>
  <si>
    <t>1 (steam and dry)</t>
  </si>
  <si>
    <t>Washing/Drying Machine</t>
  </si>
  <si>
    <t>2 in 1( fairly used)</t>
  </si>
  <si>
    <t>Ironing board</t>
  </si>
  <si>
    <t>Packaging Bag</t>
  </si>
  <si>
    <t>3 rolls</t>
  </si>
  <si>
    <t>1 year</t>
  </si>
  <si>
    <t>Generator</t>
  </si>
  <si>
    <t>FUEL</t>
  </si>
  <si>
    <t>WATER</t>
  </si>
  <si>
    <t>SOAP</t>
  </si>
  <si>
    <t>SALARY</t>
  </si>
  <si>
    <t>NPV (Naira)</t>
  </si>
  <si>
    <t>MONTHS</t>
  </si>
  <si>
    <t>CASH FLOW FOR 'JLAUNDRY'</t>
  </si>
</sst>
</file>

<file path=xl/styles.xml><?xml version="1.0" encoding="utf-8"?>
<styleSheet xmlns="http://schemas.openxmlformats.org/spreadsheetml/2006/main">
  <numFmts count="14">
    <numFmt numFmtId="176" formatCode="0.00000_ "/>
    <numFmt numFmtId="177" formatCode="_ * #,##0.00_ ;_ * \-#,##0.00_ ;_ * &quot;-&quot;??_ ;_ @_ "/>
    <numFmt numFmtId="178" formatCode="0.00_ "/>
    <numFmt numFmtId="179" formatCode="0.000_ "/>
    <numFmt numFmtId="42" formatCode="_(&quot;$&quot;* #,##0_);_(&quot;$&quot;* \(#,##0\);_(&quot;$&quot;* &quot;-&quot;_);_(@_)"/>
    <numFmt numFmtId="180" formatCode="0.000%"/>
    <numFmt numFmtId="181" formatCode="_ * #,##0_ ;_ * \-#,##0_ ;_ * &quot;-&quot;_ ;_ @_ "/>
    <numFmt numFmtId="6" formatCode="&quot;$&quot;#,##0_);[Red]\(&quot;$&quot;#,##0\)"/>
    <numFmt numFmtId="44" formatCode="_(&quot;$&quot;* #,##0.00_);_(&quot;$&quot;* \(#,##0.00\);_(&quot;$&quot;* &quot;-&quot;??_);_(@_)"/>
    <numFmt numFmtId="182" formatCode="0.00000%"/>
    <numFmt numFmtId="8" formatCode="&quot;$&quot;#,##0.00_);[Red]\(&quot;$&quot;#,##0.00\)"/>
    <numFmt numFmtId="183" formatCode="0.0_ "/>
    <numFmt numFmtId="184" formatCode="[$₦-46A]#,##0.00_);[Red]\([$₦-46A]#,##0.00\)"/>
    <numFmt numFmtId="185" formatCode="0_ "/>
  </numFmts>
  <fonts count="41">
    <font>
      <sz val="11"/>
      <color theme="1"/>
      <name val="Calibri"/>
      <charset val="134"/>
      <scheme val="minor"/>
    </font>
    <font>
      <sz val="24"/>
      <color theme="1"/>
      <name val="Impact"/>
      <charset val="134"/>
    </font>
    <font>
      <sz val="36"/>
      <color theme="1"/>
      <name val="Impact"/>
      <charset val="134"/>
    </font>
    <font>
      <sz val="1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1"/>
      <name val="Times New Roman"/>
      <charset val="134"/>
    </font>
    <font>
      <sz val="8"/>
      <color theme="1"/>
      <name val="Calibri"/>
      <charset val="134"/>
      <scheme val="minor"/>
    </font>
    <font>
      <sz val="11"/>
      <color theme="1"/>
      <name val="Segoe Print"/>
      <charset val="134"/>
    </font>
    <font>
      <sz val="16"/>
      <color theme="1"/>
      <name val="Impact"/>
      <charset val="134"/>
    </font>
    <font>
      <sz val="12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.5"/>
      <color theme="1"/>
      <name val="Times New Roman"/>
      <charset val="134"/>
    </font>
    <font>
      <sz val="18"/>
      <color theme="1"/>
      <name val="Impact"/>
      <charset val="134"/>
    </font>
    <font>
      <sz val="24"/>
      <color theme="1"/>
      <name val="Calibri"/>
      <charset val="134"/>
      <scheme val="minor"/>
    </font>
    <font>
      <sz val="11"/>
      <color theme="1"/>
      <name val="Impact"/>
      <charset val="134"/>
    </font>
    <font>
      <sz val="7"/>
      <color theme="1"/>
      <name val="Calibri"/>
      <charset val="134"/>
      <scheme val="minor"/>
    </font>
    <font>
      <sz val="8"/>
      <color theme="1"/>
      <name val="Times New Roman"/>
      <charset val="134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6" fillId="3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24" borderId="33" applyNumberFormat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0" fillId="31" borderId="35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2" fillId="0" borderId="31" applyNumberFormat="0" applyFill="0" applyAlignment="0" applyProtection="0">
      <alignment vertical="center"/>
    </xf>
    <xf numFmtId="0" fontId="34" fillId="0" borderId="36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3" borderId="32" applyNumberFormat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7" fillId="34" borderId="37" applyNumberFormat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33" fillId="34" borderId="32" applyNumberFormat="0" applyAlignment="0" applyProtection="0">
      <alignment vertical="center"/>
    </xf>
    <xf numFmtId="0" fontId="38" fillId="0" borderId="38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46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</cellStyleXfs>
  <cellXfs count="35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10" fontId="0" fillId="0" borderId="0" xfId="6" applyNumberFormat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3" borderId="0" xfId="0" applyFill="1" applyBorder="1">
      <alignment vertical="center"/>
    </xf>
    <xf numFmtId="0" fontId="0" fillId="3" borderId="1" xfId="0" applyFill="1" applyBorder="1">
      <alignment vertical="center"/>
    </xf>
    <xf numFmtId="178" fontId="0" fillId="0" borderId="1" xfId="0" applyNumberFormat="1" applyBorder="1">
      <alignment vertical="center"/>
    </xf>
    <xf numFmtId="0" fontId="0" fillId="3" borderId="0" xfId="0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0" fillId="0" borderId="3" xfId="0" applyBorder="1">
      <alignment vertical="center"/>
    </xf>
    <xf numFmtId="178" fontId="0" fillId="0" borderId="0" xfId="0" applyNumberFormat="1">
      <alignment vertical="center"/>
    </xf>
    <xf numFmtId="178" fontId="0" fillId="0" borderId="4" xfId="0" applyNumberFormat="1" applyBorder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0" xfId="0" applyFill="1">
      <alignment vertical="center"/>
    </xf>
    <xf numFmtId="178" fontId="0" fillId="4" borderId="0" xfId="0" applyNumberFormat="1" applyFill="1">
      <alignment vertical="center"/>
    </xf>
    <xf numFmtId="178" fontId="0" fillId="4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178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178" fontId="0" fillId="0" borderId="6" xfId="0" applyNumberFormat="1" applyBorder="1">
      <alignment vertical="center"/>
    </xf>
    <xf numFmtId="178" fontId="0" fillId="0" borderId="7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0" fillId="6" borderId="1" xfId="0" applyFont="1" applyFill="1" applyBorder="1">
      <alignment vertical="center"/>
    </xf>
    <xf numFmtId="0" fontId="0" fillId="0" borderId="1" xfId="0" applyFont="1" applyBorder="1">
      <alignment vertical="center"/>
    </xf>
    <xf numFmtId="9" fontId="0" fillId="0" borderId="1" xfId="0" applyNumberFormat="1" applyFont="1" applyBorder="1">
      <alignment vertical="center"/>
    </xf>
    <xf numFmtId="0" fontId="0" fillId="3" borderId="1" xfId="0" applyFont="1" applyFill="1" applyBorder="1">
      <alignment vertical="center"/>
    </xf>
    <xf numFmtId="0" fontId="0" fillId="2" borderId="0" xfId="0" applyFont="1" applyFill="1">
      <alignment vertical="center"/>
    </xf>
    <xf numFmtId="0" fontId="0" fillId="7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5" fillId="6" borderId="1" xfId="0" applyFont="1" applyFill="1" applyBorder="1">
      <alignment vertical="center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 wrapText="1"/>
    </xf>
    <xf numFmtId="0" fontId="6" fillId="0" borderId="1" xfId="0" applyNumberFormat="1" applyFont="1" applyFill="1" applyBorder="1" applyAlignment="1" applyProtection="1">
      <alignment vertical="center"/>
    </xf>
    <xf numFmtId="0" fontId="6" fillId="0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178" fontId="6" fillId="0" borderId="1" xfId="0" applyNumberFormat="1" applyFont="1" applyBorder="1">
      <alignment vertical="center"/>
    </xf>
    <xf numFmtId="0" fontId="6" fillId="4" borderId="1" xfId="0" applyNumberFormat="1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3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178" fontId="0" fillId="0" borderId="1" xfId="0" applyNumberFormat="1" applyFont="1" applyBorder="1">
      <alignment vertical="center"/>
    </xf>
    <xf numFmtId="0" fontId="7" fillId="0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NumberFormat="1" applyFont="1" applyFill="1" applyBorder="1" applyAlignment="1" applyProtection="1">
      <alignment vertical="center"/>
    </xf>
    <xf numFmtId="0" fontId="0" fillId="0" borderId="1" xfId="0" applyFont="1" applyFill="1" applyBorder="1">
      <alignment vertical="center"/>
    </xf>
    <xf numFmtId="178" fontId="0" fillId="0" borderId="1" xfId="0" applyNumberFormat="1" applyFont="1" applyFill="1" applyBorder="1">
      <alignment vertical="center"/>
    </xf>
    <xf numFmtId="178" fontId="0" fillId="0" borderId="1" xfId="0" applyNumberFormat="1" applyFont="1" applyFill="1" applyBorder="1" applyAlignment="1" applyProtection="1">
      <alignment vertical="center"/>
    </xf>
    <xf numFmtId="0" fontId="0" fillId="9" borderId="1" xfId="0" applyNumberFormat="1" applyFont="1" applyFill="1" applyBorder="1">
      <alignment vertical="center"/>
    </xf>
    <xf numFmtId="178" fontId="0" fillId="9" borderId="1" xfId="0" applyNumberFormat="1" applyFont="1" applyFill="1" applyBorder="1">
      <alignment vertical="center"/>
    </xf>
    <xf numFmtId="9" fontId="0" fillId="0" borderId="0" xfId="0" applyNumberForma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>
      <alignment vertical="center"/>
    </xf>
    <xf numFmtId="0" fontId="9" fillId="0" borderId="3" xfId="0" applyFont="1" applyBorder="1">
      <alignment vertical="center"/>
    </xf>
    <xf numFmtId="0" fontId="10" fillId="0" borderId="3" xfId="0" applyFont="1" applyBorder="1">
      <alignment vertical="center"/>
    </xf>
    <xf numFmtId="0" fontId="10" fillId="0" borderId="5" xfId="0" applyFont="1" applyBorder="1">
      <alignment vertical="center"/>
    </xf>
    <xf numFmtId="0" fontId="4" fillId="0" borderId="0" xfId="0" applyFont="1" applyFill="1" applyAlignment="1">
      <alignment vertical="center"/>
    </xf>
    <xf numFmtId="0" fontId="11" fillId="10" borderId="8" xfId="0" applyFont="1" applyFill="1" applyBorder="1">
      <alignment vertical="center"/>
    </xf>
    <xf numFmtId="0" fontId="9" fillId="10" borderId="3" xfId="0" applyFont="1" applyFill="1" applyBorder="1">
      <alignment vertical="center"/>
    </xf>
    <xf numFmtId="0" fontId="9" fillId="10" borderId="5" xfId="0" applyFont="1" applyFill="1" applyBorder="1">
      <alignment vertical="center"/>
    </xf>
    <xf numFmtId="0" fontId="6" fillId="0" borderId="0" xfId="0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0" fontId="12" fillId="0" borderId="9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184" fontId="9" fillId="0" borderId="10" xfId="0" applyNumberFormat="1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9" fillId="0" borderId="9" xfId="0" applyFont="1" applyBorder="1">
      <alignment vertical="center"/>
    </xf>
    <xf numFmtId="0" fontId="9" fillId="0" borderId="0" xfId="0" applyFont="1" applyBorder="1">
      <alignment vertical="center"/>
    </xf>
    <xf numFmtId="0" fontId="13" fillId="10" borderId="11" xfId="0" applyFont="1" applyFill="1" applyBorder="1">
      <alignment vertical="center"/>
    </xf>
    <xf numFmtId="0" fontId="0" fillId="11" borderId="12" xfId="0" applyFont="1" applyFill="1" applyBorder="1">
      <alignment vertical="center"/>
    </xf>
    <xf numFmtId="0" fontId="6" fillId="11" borderId="13" xfId="0" applyFont="1" applyFill="1" applyBorder="1">
      <alignment vertical="center"/>
    </xf>
    <xf numFmtId="0" fontId="6" fillId="11" borderId="4" xfId="0" applyFont="1" applyFill="1" applyBorder="1">
      <alignment vertical="center"/>
    </xf>
    <xf numFmtId="184" fontId="0" fillId="11" borderId="7" xfId="0" applyNumberFormat="1" applyFont="1" applyFill="1" applyBorder="1">
      <alignment vertical="center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Border="1">
      <alignment vertical="center"/>
    </xf>
    <xf numFmtId="0" fontId="0" fillId="0" borderId="12" xfId="0" applyFont="1" applyBorder="1">
      <alignment vertical="center"/>
    </xf>
    <xf numFmtId="0" fontId="13" fillId="12" borderId="11" xfId="0" applyFont="1" applyFill="1" applyBorder="1">
      <alignment vertical="center"/>
    </xf>
    <xf numFmtId="0" fontId="0" fillId="12" borderId="15" xfId="0" applyFont="1" applyFill="1" applyBorder="1">
      <alignment vertical="center"/>
    </xf>
    <xf numFmtId="0" fontId="9" fillId="12" borderId="16" xfId="0" applyFont="1" applyFill="1" applyBorder="1">
      <alignment vertical="center"/>
    </xf>
    <xf numFmtId="0" fontId="9" fillId="0" borderId="14" xfId="0" applyFont="1" applyFill="1" applyBorder="1">
      <alignment vertical="center"/>
    </xf>
    <xf numFmtId="0" fontId="0" fillId="0" borderId="0" xfId="0" applyFont="1" applyBorder="1">
      <alignment vertical="center"/>
    </xf>
    <xf numFmtId="184" fontId="0" fillId="0" borderId="17" xfId="0" applyNumberFormat="1" applyFont="1" applyFill="1" applyBorder="1">
      <alignment vertical="center"/>
    </xf>
    <xf numFmtId="0" fontId="9" fillId="0" borderId="14" xfId="0" applyFont="1" applyBorder="1">
      <alignment vertical="center"/>
    </xf>
    <xf numFmtId="0" fontId="0" fillId="0" borderId="0" xfId="0" applyFont="1" applyFill="1">
      <alignment vertical="center"/>
    </xf>
    <xf numFmtId="0" fontId="9" fillId="11" borderId="12" xfId="0" applyFont="1" applyFill="1" applyBorder="1">
      <alignment vertical="center"/>
    </xf>
    <xf numFmtId="0" fontId="0" fillId="11" borderId="18" xfId="0" applyFont="1" applyFill="1" applyBorder="1">
      <alignment vertical="center"/>
    </xf>
    <xf numFmtId="184" fontId="0" fillId="11" borderId="17" xfId="0" applyNumberFormat="1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4" fillId="10" borderId="19" xfId="0" applyFont="1" applyFill="1" applyBorder="1">
      <alignment vertical="center"/>
    </xf>
    <xf numFmtId="0" fontId="5" fillId="10" borderId="20" xfId="0" applyFont="1" applyFill="1" applyBorder="1">
      <alignment vertical="center"/>
    </xf>
    <xf numFmtId="0" fontId="5" fillId="10" borderId="21" xfId="0" applyFont="1" applyFill="1" applyBorder="1">
      <alignment vertical="center"/>
    </xf>
    <xf numFmtId="0" fontId="5" fillId="13" borderId="22" xfId="0" applyFont="1" applyFill="1" applyBorder="1">
      <alignment vertical="center"/>
    </xf>
    <xf numFmtId="184" fontId="0" fillId="11" borderId="1" xfId="0" applyNumberFormat="1" applyFont="1" applyFill="1" applyBorder="1">
      <alignment vertical="center"/>
    </xf>
    <xf numFmtId="0" fontId="5" fillId="13" borderId="23" xfId="0" applyFont="1" applyFill="1" applyBorder="1">
      <alignment vertical="center"/>
    </xf>
    <xf numFmtId="9" fontId="5" fillId="11" borderId="1" xfId="0" applyNumberFormat="1" applyFont="1" applyFill="1" applyBorder="1">
      <alignment vertical="center"/>
    </xf>
    <xf numFmtId="9" fontId="5" fillId="13" borderId="23" xfId="0" applyNumberFormat="1" applyFont="1" applyFill="1" applyBorder="1">
      <alignment vertical="center"/>
    </xf>
    <xf numFmtId="178" fontId="5" fillId="11" borderId="1" xfId="0" applyNumberFormat="1" applyFont="1" applyFill="1" applyBorder="1">
      <alignment vertical="center"/>
    </xf>
    <xf numFmtId="183" fontId="0" fillId="11" borderId="1" xfId="0" applyNumberFormat="1" applyFont="1" applyFill="1" applyBorder="1">
      <alignment vertical="center"/>
    </xf>
    <xf numFmtId="0" fontId="0" fillId="13" borderId="24" xfId="0" applyFont="1" applyFill="1" applyBorder="1">
      <alignment vertical="center"/>
    </xf>
    <xf numFmtId="0" fontId="0" fillId="13" borderId="25" xfId="0" applyFont="1" applyFill="1" applyBorder="1">
      <alignment vertical="center"/>
    </xf>
    <xf numFmtId="0" fontId="4" fillId="0" borderId="0" xfId="0" applyFont="1" applyFill="1">
      <alignment vertical="center"/>
    </xf>
    <xf numFmtId="9" fontId="0" fillId="0" borderId="0" xfId="0" applyNumberFormat="1" applyFill="1">
      <alignment vertical="center"/>
    </xf>
    <xf numFmtId="0" fontId="0" fillId="10" borderId="15" xfId="0" applyFont="1" applyFill="1" applyBorder="1">
      <alignment vertical="center"/>
    </xf>
    <xf numFmtId="0" fontId="0" fillId="10" borderId="16" xfId="0" applyFont="1" applyFill="1" applyBorder="1">
      <alignment vertical="center"/>
    </xf>
    <xf numFmtId="0" fontId="0" fillId="0" borderId="26" xfId="0" applyFont="1" applyBorder="1">
      <alignment vertical="center"/>
    </xf>
    <xf numFmtId="184" fontId="0" fillId="0" borderId="10" xfId="0" applyNumberFormat="1" applyFont="1" applyFill="1" applyBorder="1">
      <alignment vertical="center"/>
    </xf>
    <xf numFmtId="0" fontId="0" fillId="11" borderId="17" xfId="0" applyNumberFormat="1" applyFont="1" applyFill="1" applyBorder="1">
      <alignment vertical="center"/>
    </xf>
    <xf numFmtId="0" fontId="0" fillId="11" borderId="17" xfId="0" applyFont="1" applyFill="1" applyBorder="1">
      <alignment vertical="center"/>
    </xf>
    <xf numFmtId="0" fontId="0" fillId="11" borderId="26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10" xfId="0" applyFont="1" applyFill="1" applyBorder="1">
      <alignment vertical="center"/>
    </xf>
    <xf numFmtId="0" fontId="15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9" fillId="0" borderId="5" xfId="0" applyFont="1" applyBorder="1">
      <alignment vertical="center"/>
    </xf>
    <xf numFmtId="0" fontId="9" fillId="0" borderId="0" xfId="0" applyFont="1" applyFill="1" applyAlignment="1">
      <alignment vertical="center"/>
    </xf>
    <xf numFmtId="0" fontId="9" fillId="12" borderId="1" xfId="0" applyFont="1" applyFill="1" applyBorder="1">
      <alignment vertical="center"/>
    </xf>
    <xf numFmtId="8" fontId="9" fillId="12" borderId="1" xfId="0" applyNumberFormat="1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" xfId="0" applyFont="1" applyFill="1" applyBorder="1" applyAlignment="1">
      <alignment vertical="center" wrapText="1"/>
    </xf>
    <xf numFmtId="184" fontId="9" fillId="0" borderId="1" xfId="0" applyNumberFormat="1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9" fillId="14" borderId="1" xfId="0" applyFont="1" applyFill="1" applyBorder="1">
      <alignment vertical="center"/>
    </xf>
    <xf numFmtId="184" fontId="9" fillId="14" borderId="1" xfId="0" applyNumberFormat="1" applyFont="1" applyFill="1" applyBorder="1">
      <alignment vertical="center"/>
    </xf>
    <xf numFmtId="0" fontId="9" fillId="12" borderId="11" xfId="0" applyFont="1" applyFill="1" applyBorder="1">
      <alignment vertical="center"/>
    </xf>
    <xf numFmtId="0" fontId="9" fillId="12" borderId="15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12" borderId="8" xfId="0" applyFont="1" applyFill="1" applyBorder="1">
      <alignment vertical="center"/>
    </xf>
    <xf numFmtId="0" fontId="9" fillId="12" borderId="3" xfId="0" applyFont="1" applyFill="1" applyBorder="1">
      <alignment vertical="center"/>
    </xf>
    <xf numFmtId="184" fontId="9" fillId="0" borderId="26" xfId="0" applyNumberFormat="1" applyFont="1" applyBorder="1">
      <alignment vertical="center"/>
    </xf>
    <xf numFmtId="0" fontId="9" fillId="14" borderId="27" xfId="0" applyFont="1" applyFill="1" applyBorder="1">
      <alignment vertical="center"/>
    </xf>
    <xf numFmtId="0" fontId="9" fillId="14" borderId="28" xfId="0" applyFont="1" applyFill="1" applyBorder="1">
      <alignment vertical="center"/>
    </xf>
    <xf numFmtId="6" fontId="9" fillId="0" borderId="0" xfId="0" applyNumberFormat="1" applyFont="1" applyFill="1" applyBorder="1">
      <alignment vertical="center"/>
    </xf>
    <xf numFmtId="0" fontId="9" fillId="12" borderId="0" xfId="0" applyFont="1" applyFill="1">
      <alignment vertical="center"/>
    </xf>
    <xf numFmtId="0" fontId="9" fillId="14" borderId="0" xfId="0" applyFont="1" applyFill="1">
      <alignment vertical="center"/>
    </xf>
    <xf numFmtId="0" fontId="9" fillId="14" borderId="12" xfId="0" applyFont="1" applyFill="1" applyBorder="1">
      <alignment vertical="center"/>
    </xf>
    <xf numFmtId="0" fontId="9" fillId="14" borderId="18" xfId="0" applyFont="1" applyFill="1" applyBorder="1">
      <alignment vertical="center"/>
    </xf>
    <xf numFmtId="184" fontId="9" fillId="14" borderId="17" xfId="0" applyNumberFormat="1" applyFont="1" applyFill="1" applyBorder="1">
      <alignment vertical="center"/>
    </xf>
    <xf numFmtId="0" fontId="9" fillId="0" borderId="13" xfId="0" applyFont="1" applyBorder="1">
      <alignment vertical="center"/>
    </xf>
    <xf numFmtId="0" fontId="9" fillId="0" borderId="4" xfId="0" applyFont="1" applyBorder="1">
      <alignment vertical="center"/>
    </xf>
    <xf numFmtId="0" fontId="9" fillId="4" borderId="7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9" fillId="0" borderId="0" xfId="0" applyFont="1" applyFill="1">
      <alignment vertical="center"/>
    </xf>
    <xf numFmtId="0" fontId="12" fillId="12" borderId="1" xfId="0" applyFont="1" applyFill="1" applyBorder="1">
      <alignment vertical="center"/>
    </xf>
    <xf numFmtId="9" fontId="12" fillId="0" borderId="0" xfId="0" applyNumberFormat="1" applyFont="1" applyFill="1" applyBorder="1">
      <alignment vertical="center"/>
    </xf>
    <xf numFmtId="0" fontId="12" fillId="13" borderId="1" xfId="0" applyFont="1" applyFill="1" applyBorder="1">
      <alignment vertical="center"/>
    </xf>
    <xf numFmtId="9" fontId="12" fillId="14" borderId="1" xfId="0" applyNumberFormat="1" applyFont="1" applyFill="1" applyBorder="1">
      <alignment vertical="center"/>
    </xf>
    <xf numFmtId="178" fontId="12" fillId="14" borderId="1" xfId="0" applyNumberFormat="1" applyFont="1" applyFill="1" applyBorder="1">
      <alignment vertical="center"/>
    </xf>
    <xf numFmtId="183" fontId="12" fillId="14" borderId="1" xfId="5" applyNumberFormat="1" applyFont="1" applyFill="1" applyBorder="1">
      <alignment vertical="center"/>
    </xf>
    <xf numFmtId="0" fontId="9" fillId="13" borderId="1" xfId="0" applyFont="1" applyFill="1" applyBorder="1">
      <alignment vertical="center"/>
    </xf>
    <xf numFmtId="9" fontId="9" fillId="0" borderId="0" xfId="0" applyNumberFormat="1" applyFont="1" applyFill="1">
      <alignment vertical="center"/>
    </xf>
    <xf numFmtId="0" fontId="9" fillId="12" borderId="5" xfId="0" applyFont="1" applyFill="1" applyBorder="1">
      <alignment vertical="center"/>
    </xf>
    <xf numFmtId="0" fontId="9" fillId="0" borderId="6" xfId="0" applyFont="1" applyBorder="1">
      <alignment vertical="center"/>
    </xf>
    <xf numFmtId="0" fontId="12" fillId="0" borderId="6" xfId="0" applyFont="1" applyBorder="1" applyAlignment="1">
      <alignment vertical="center"/>
    </xf>
    <xf numFmtId="184" fontId="9" fillId="0" borderId="6" xfId="0" applyNumberFormat="1" applyFont="1" applyBorder="1">
      <alignment vertical="center"/>
    </xf>
    <xf numFmtId="184" fontId="9" fillId="14" borderId="2" xfId="0" applyNumberFormat="1" applyFont="1" applyFill="1" applyBorder="1">
      <alignment vertical="center"/>
    </xf>
    <xf numFmtId="0" fontId="9" fillId="14" borderId="6" xfId="0" applyFont="1" applyFill="1" applyBorder="1">
      <alignment vertical="center"/>
    </xf>
    <xf numFmtId="10" fontId="9" fillId="14" borderId="7" xfId="0" applyNumberFormat="1" applyFont="1" applyFill="1" applyBorder="1">
      <alignment vertical="center"/>
    </xf>
    <xf numFmtId="8" fontId="0" fillId="0" borderId="0" xfId="0" applyNumberFormat="1" applyFont="1" applyFill="1" applyBorder="1">
      <alignment vertical="center"/>
    </xf>
    <xf numFmtId="0" fontId="12" fillId="0" borderId="0" xfId="0" applyFont="1" applyAlignment="1">
      <alignment horizontal="justify" vertical="center"/>
    </xf>
    <xf numFmtId="8" fontId="0" fillId="3" borderId="1" xfId="0" applyNumberFormat="1" applyFont="1" applyFill="1" applyBorder="1">
      <alignment vertical="center"/>
    </xf>
    <xf numFmtId="0" fontId="0" fillId="4" borderId="1" xfId="0" applyFont="1" applyFill="1" applyBorder="1" applyAlignment="1">
      <alignment vertical="center" wrapText="1"/>
    </xf>
    <xf numFmtId="178" fontId="0" fillId="4" borderId="1" xfId="0" applyNumberFormat="1" applyFont="1" applyFill="1" applyBorder="1">
      <alignment vertical="center"/>
    </xf>
    <xf numFmtId="0" fontId="0" fillId="4" borderId="1" xfId="0" applyFont="1" applyFill="1" applyBorder="1">
      <alignment vertical="center"/>
    </xf>
    <xf numFmtId="178" fontId="0" fillId="4" borderId="1" xfId="0" applyNumberFormat="1" applyFont="1" applyFill="1" applyBorder="1" applyAlignment="1">
      <alignment vertical="center" wrapText="1"/>
    </xf>
    <xf numFmtId="8" fontId="0" fillId="0" borderId="0" xfId="0" applyNumberFormat="1" applyFont="1" applyFill="1" applyBorder="1" applyAlignment="1">
      <alignment vertical="center" wrapText="1"/>
    </xf>
    <xf numFmtId="178" fontId="0" fillId="4" borderId="1" xfId="0" applyNumberFormat="1" applyFont="1" applyFill="1" applyBorder="1" applyAlignment="1">
      <alignment vertical="center"/>
    </xf>
    <xf numFmtId="0" fontId="0" fillId="4" borderId="27" xfId="0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6" fillId="15" borderId="8" xfId="0" applyFont="1" applyFill="1" applyBorder="1">
      <alignment vertical="center"/>
    </xf>
    <xf numFmtId="0" fontId="6" fillId="15" borderId="3" xfId="0" applyFont="1" applyFill="1" applyBorder="1">
      <alignment vertical="center"/>
    </xf>
    <xf numFmtId="0" fontId="6" fillId="0" borderId="3" xfId="0" applyFont="1" applyBorder="1">
      <alignment vertical="center"/>
    </xf>
    <xf numFmtId="8" fontId="6" fillId="0" borderId="5" xfId="0" applyNumberFormat="1" applyFont="1" applyBorder="1">
      <alignment vertical="center"/>
    </xf>
    <xf numFmtId="0" fontId="6" fillId="0" borderId="9" xfId="0" applyFont="1" applyBorder="1">
      <alignment vertical="center"/>
    </xf>
    <xf numFmtId="0" fontId="6" fillId="0" borderId="0" xfId="0" applyFont="1" applyBorder="1">
      <alignment vertical="center"/>
    </xf>
    <xf numFmtId="8" fontId="6" fillId="0" borderId="6" xfId="0" applyNumberFormat="1" applyFont="1" applyBorder="1">
      <alignment vertical="center"/>
    </xf>
    <xf numFmtId="3" fontId="6" fillId="0" borderId="6" xfId="0" applyNumberFormat="1" applyFont="1" applyBorder="1">
      <alignment vertical="center"/>
    </xf>
    <xf numFmtId="0" fontId="0" fillId="3" borderId="11" xfId="0" applyFont="1" applyFill="1" applyBorder="1">
      <alignment vertical="center"/>
    </xf>
    <xf numFmtId="0" fontId="6" fillId="0" borderId="6" xfId="0" applyNumberFormat="1" applyFont="1" applyBorder="1">
      <alignment vertical="center"/>
    </xf>
    <xf numFmtId="0" fontId="6" fillId="0" borderId="9" xfId="0" applyFont="1" applyFill="1" applyBorder="1">
      <alignment vertical="center"/>
    </xf>
    <xf numFmtId="6" fontId="6" fillId="0" borderId="6" xfId="0" applyNumberFormat="1" applyFont="1" applyBorder="1">
      <alignment vertical="center"/>
    </xf>
    <xf numFmtId="0" fontId="6" fillId="14" borderId="13" xfId="0" applyFont="1" applyFill="1" applyBorder="1">
      <alignment vertical="center"/>
    </xf>
    <xf numFmtId="0" fontId="6" fillId="14" borderId="4" xfId="0" applyFont="1" applyFill="1" applyBorder="1">
      <alignment vertical="center"/>
    </xf>
    <xf numFmtId="8" fontId="6" fillId="14" borderId="7" xfId="0" applyNumberFormat="1" applyFont="1" applyFill="1" applyBorder="1">
      <alignment vertical="center"/>
    </xf>
    <xf numFmtId="0" fontId="0" fillId="4" borderId="12" xfId="0" applyFont="1" applyFill="1" applyBorder="1">
      <alignment vertical="center"/>
    </xf>
    <xf numFmtId="0" fontId="0" fillId="3" borderId="0" xfId="0" applyFont="1" applyFill="1">
      <alignment vertical="center"/>
    </xf>
    <xf numFmtId="8" fontId="6" fillId="0" borderId="1" xfId="0" applyNumberFormat="1" applyFont="1" applyBorder="1">
      <alignment vertical="center"/>
    </xf>
    <xf numFmtId="0" fontId="0" fillId="4" borderId="0" xfId="0" applyFont="1" applyFill="1">
      <alignment vertical="center"/>
    </xf>
    <xf numFmtId="6" fontId="6" fillId="0" borderId="1" xfId="0" applyNumberFormat="1" applyFont="1" applyBorder="1">
      <alignment vertical="center"/>
    </xf>
    <xf numFmtId="0" fontId="0" fillId="3" borderId="8" xfId="0" applyFont="1" applyFill="1" applyBorder="1">
      <alignment vertical="center"/>
    </xf>
    <xf numFmtId="0" fontId="0" fillId="0" borderId="9" xfId="0" applyFont="1" applyBorder="1">
      <alignment vertical="center"/>
    </xf>
    <xf numFmtId="8" fontId="0" fillId="0" borderId="1" xfId="0" applyNumberFormat="1" applyFont="1" applyBorder="1">
      <alignment vertical="center"/>
    </xf>
    <xf numFmtId="0" fontId="0" fillId="0" borderId="13" xfId="0" applyFont="1" applyBorder="1">
      <alignment vertical="center"/>
    </xf>
    <xf numFmtId="8" fontId="0" fillId="4" borderId="1" xfId="0" applyNumberFormat="1" applyFont="1" applyFill="1" applyBorder="1">
      <alignment vertical="center"/>
    </xf>
    <xf numFmtId="180" fontId="0" fillId="0" borderId="0" xfId="6" applyNumberFormat="1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13" borderId="1" xfId="0" applyFont="1" applyFill="1" applyBorder="1">
      <alignment vertical="center"/>
    </xf>
    <xf numFmtId="178" fontId="5" fillId="13" borderId="1" xfId="0" applyNumberFormat="1" applyFont="1" applyFill="1" applyBorder="1">
      <alignment vertical="center"/>
    </xf>
    <xf numFmtId="9" fontId="5" fillId="13" borderId="1" xfId="0" applyNumberFormat="1" applyFont="1" applyFill="1" applyBorder="1">
      <alignment vertical="center"/>
    </xf>
    <xf numFmtId="183" fontId="5" fillId="13" borderId="1" xfId="5" applyNumberFormat="1" applyFont="1" applyFill="1" applyBorder="1">
      <alignment vertical="center"/>
    </xf>
    <xf numFmtId="0" fontId="0" fillId="13" borderId="1" xfId="0" applyFont="1" applyFill="1" applyBorder="1">
      <alignment vertical="center"/>
    </xf>
    <xf numFmtId="6" fontId="0" fillId="13" borderId="1" xfId="0" applyNumberFormat="1" applyFont="1" applyFill="1" applyBorder="1">
      <alignment vertical="center"/>
    </xf>
    <xf numFmtId="0" fontId="0" fillId="0" borderId="15" xfId="0" applyFont="1" applyBorder="1">
      <alignment vertical="center"/>
    </xf>
    <xf numFmtId="0" fontId="0" fillId="0" borderId="16" xfId="0" applyFont="1" applyBorder="1">
      <alignment vertical="center"/>
    </xf>
    <xf numFmtId="8" fontId="0" fillId="0" borderId="26" xfId="0" applyNumberFormat="1" applyFont="1" applyBorder="1">
      <alignment vertical="center"/>
    </xf>
    <xf numFmtId="0" fontId="0" fillId="4" borderId="18" xfId="0" applyFont="1" applyFill="1" applyBorder="1">
      <alignment vertical="center"/>
    </xf>
    <xf numFmtId="0" fontId="0" fillId="4" borderId="17" xfId="0" applyNumberFormat="1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5" xfId="0" applyFont="1" applyBorder="1">
      <alignment vertical="center"/>
    </xf>
    <xf numFmtId="0" fontId="0" fillId="4" borderId="6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4" borderId="7" xfId="0" applyFont="1" applyFill="1" applyBorder="1">
      <alignment vertical="center"/>
    </xf>
    <xf numFmtId="9" fontId="0" fillId="0" borderId="0" xfId="6" applyNumberFormat="1">
      <alignment vertical="center"/>
    </xf>
    <xf numFmtId="0" fontId="0" fillId="0" borderId="7" xfId="0" applyBorder="1">
      <alignment vertical="center"/>
    </xf>
    <xf numFmtId="0" fontId="6" fillId="3" borderId="0" xfId="0" applyFont="1" applyFill="1" applyBorder="1">
      <alignment vertical="center"/>
    </xf>
    <xf numFmtId="0" fontId="6" fillId="0" borderId="0" xfId="0" applyFont="1" applyFill="1" applyBorder="1" applyAlignment="1">
      <alignment vertical="center"/>
    </xf>
    <xf numFmtId="0" fontId="0" fillId="0" borderId="29" xfId="0" applyBorder="1">
      <alignment vertical="center"/>
    </xf>
    <xf numFmtId="0" fontId="6" fillId="0" borderId="29" xfId="0" applyFont="1" applyBorder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78" fontId="6" fillId="0" borderId="0" xfId="0" applyNumberFormat="1" applyFont="1" applyFill="1" applyBorder="1">
      <alignment vertical="center"/>
    </xf>
    <xf numFmtId="0" fontId="6" fillId="0" borderId="6" xfId="0" applyFont="1" applyBorder="1">
      <alignment vertical="center"/>
    </xf>
    <xf numFmtId="0" fontId="6" fillId="4" borderId="9" xfId="0" applyFont="1" applyFill="1" applyBorder="1">
      <alignment vertical="center"/>
    </xf>
    <xf numFmtId="0" fontId="6" fillId="4" borderId="8" xfId="0" applyFont="1" applyFill="1" applyBorder="1">
      <alignment vertical="center"/>
    </xf>
    <xf numFmtId="185" fontId="0" fillId="0" borderId="1" xfId="0" applyNumberFormat="1" applyFont="1" applyBorder="1">
      <alignment vertical="center"/>
    </xf>
    <xf numFmtId="178" fontId="0" fillId="0" borderId="0" xfId="0" applyNumberFormat="1" applyFont="1" applyFill="1" applyBorder="1">
      <alignment vertical="center"/>
    </xf>
    <xf numFmtId="178" fontId="0" fillId="13" borderId="0" xfId="0" applyNumberFormat="1" applyFont="1" applyFill="1" applyBorder="1">
      <alignment vertical="center"/>
    </xf>
    <xf numFmtId="178" fontId="5" fillId="13" borderId="1" xfId="5" applyNumberFormat="1" applyFont="1" applyFill="1" applyBorder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8" fontId="5" fillId="0" borderId="0" xfId="0" applyNumberFormat="1" applyFont="1" applyFill="1" applyBorder="1">
      <alignment vertical="center"/>
    </xf>
    <xf numFmtId="180" fontId="5" fillId="0" borderId="0" xfId="6" applyNumberFormat="1" applyFont="1" applyFill="1" applyBorder="1">
      <alignment vertical="center"/>
    </xf>
    <xf numFmtId="0" fontId="5" fillId="0" borderId="0" xfId="5" applyNumberFormat="1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9" fontId="0" fillId="0" borderId="0" xfId="0" applyNumberFormat="1" applyFill="1" applyBorder="1">
      <alignment vertical="center"/>
    </xf>
    <xf numFmtId="6" fontId="0" fillId="0" borderId="0" xfId="0" applyNumberFormat="1" applyFont="1" applyFill="1" applyBorder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Alignment="1">
      <alignment vertical="center"/>
    </xf>
    <xf numFmtId="8" fontId="0" fillId="0" borderId="1" xfId="0" applyNumberFormat="1" applyFont="1" applyFill="1" applyBorder="1">
      <alignment vertical="center"/>
    </xf>
    <xf numFmtId="0" fontId="0" fillId="0" borderId="1" xfId="0" applyFont="1" applyBorder="1" applyAlignment="1">
      <alignment vertical="center" wrapText="1"/>
    </xf>
    <xf numFmtId="6" fontId="0" fillId="0" borderId="1" xfId="0" applyNumberFormat="1" applyFont="1" applyBorder="1">
      <alignment vertical="center"/>
    </xf>
    <xf numFmtId="8" fontId="5" fillId="13" borderId="1" xfId="0" applyNumberFormat="1" applyFont="1" applyFill="1" applyBorder="1">
      <alignment vertical="center"/>
    </xf>
    <xf numFmtId="10" fontId="5" fillId="13" borderId="1" xfId="6" applyNumberFormat="1" applyFont="1" applyFill="1" applyBorder="1">
      <alignment vertical="center"/>
    </xf>
    <xf numFmtId="0" fontId="5" fillId="13" borderId="1" xfId="5" applyNumberFormat="1" applyFont="1" applyFill="1" applyBorder="1">
      <alignment vertical="center"/>
    </xf>
    <xf numFmtId="8" fontId="0" fillId="13" borderId="1" xfId="0" applyNumberFormat="1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6" fillId="5" borderId="1" xfId="0" applyFont="1" applyFill="1" applyBorder="1" applyAlignment="1">
      <alignment horizont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vertical="center" wrapText="1"/>
    </xf>
    <xf numFmtId="0" fontId="6" fillId="5" borderId="1" xfId="0" applyNumberFormat="1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17" fillId="0" borderId="0" xfId="0" applyFont="1" applyFill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18" fillId="0" borderId="1" xfId="0" applyNumberFormat="1" applyFont="1" applyBorder="1">
      <alignment vertic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7" fillId="2" borderId="0" xfId="0" applyFont="1" applyFill="1">
      <alignment vertical="center"/>
    </xf>
    <xf numFmtId="0" fontId="0" fillId="5" borderId="1" xfId="0" applyNumberFormat="1" applyFont="1" applyFill="1" applyBorder="1">
      <alignment vertical="center"/>
    </xf>
    <xf numFmtId="178" fontId="0" fillId="5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6" fillId="0" borderId="0" xfId="0" applyNumberFormat="1" applyFont="1" applyFill="1" applyBorder="1">
      <alignment vertical="center"/>
    </xf>
    <xf numFmtId="0" fontId="10" fillId="0" borderId="0" xfId="0" applyNumberFormat="1" applyFont="1">
      <alignment vertical="center"/>
    </xf>
    <xf numFmtId="0" fontId="0" fillId="0" borderId="0" xfId="0" applyNumberFormat="1">
      <alignment vertical="center"/>
    </xf>
    <xf numFmtId="0" fontId="5" fillId="4" borderId="2" xfId="0" applyFont="1" applyFill="1" applyBorder="1">
      <alignment vertical="center"/>
    </xf>
    <xf numFmtId="0" fontId="5" fillId="13" borderId="2" xfId="0" applyFont="1" applyFill="1" applyBorder="1">
      <alignment vertical="center"/>
    </xf>
    <xf numFmtId="182" fontId="5" fillId="13" borderId="1" xfId="6" applyNumberFormat="1" applyFont="1" applyFill="1" applyBorder="1">
      <alignment vertical="center"/>
    </xf>
    <xf numFmtId="0" fontId="19" fillId="0" borderId="0" xfId="0" applyFont="1" applyFill="1" applyBorder="1">
      <alignment vertical="center"/>
    </xf>
    <xf numFmtId="6" fontId="6" fillId="0" borderId="0" xfId="0" applyNumberFormat="1" applyFont="1" applyFill="1" applyBorder="1">
      <alignment vertical="center"/>
    </xf>
    <xf numFmtId="180" fontId="6" fillId="0" borderId="0" xfId="6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8" fontId="20" fillId="0" borderId="0" xfId="0" applyNumberFormat="1" applyFont="1" applyFill="1" applyBorder="1">
      <alignment vertical="center"/>
    </xf>
    <xf numFmtId="180" fontId="20" fillId="0" borderId="0" xfId="6" applyNumberFormat="1" applyFont="1" applyFill="1" applyBorder="1">
      <alignment vertical="center"/>
    </xf>
    <xf numFmtId="0" fontId="20" fillId="0" borderId="0" xfId="5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3" borderId="1" xfId="0" applyNumberFormat="1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1" fillId="0" borderId="0" xfId="0" applyFont="1">
      <alignment vertical="center"/>
    </xf>
    <xf numFmtId="10" fontId="0" fillId="0" borderId="0" xfId="6" applyNumberFormat="1" applyFont="1">
      <alignment vertical="center"/>
    </xf>
    <xf numFmtId="0" fontId="0" fillId="3" borderId="2" xfId="0" applyFont="1" applyFill="1" applyBorder="1">
      <alignment vertical="center"/>
    </xf>
    <xf numFmtId="178" fontId="0" fillId="0" borderId="0" xfId="0" applyNumberFormat="1" applyFont="1">
      <alignment vertical="center"/>
    </xf>
    <xf numFmtId="178" fontId="0" fillId="0" borderId="4" xfId="0" applyNumberFormat="1" applyFont="1" applyBorder="1">
      <alignment vertical="center"/>
    </xf>
    <xf numFmtId="178" fontId="0" fillId="4" borderId="0" xfId="0" applyNumberFormat="1" applyFont="1" applyFill="1">
      <alignment vertical="center"/>
    </xf>
    <xf numFmtId="0" fontId="0" fillId="5" borderId="1" xfId="0" applyFont="1" applyFill="1" applyBorder="1">
      <alignment vertical="center"/>
    </xf>
    <xf numFmtId="176" fontId="0" fillId="0" borderId="0" xfId="0" applyNumberFormat="1" applyFont="1">
      <alignment vertical="center"/>
    </xf>
    <xf numFmtId="0" fontId="0" fillId="0" borderId="3" xfId="0" applyFont="1" applyFill="1" applyBorder="1" applyAlignment="1">
      <alignment vertical="center" wrapText="1"/>
    </xf>
    <xf numFmtId="0" fontId="0" fillId="0" borderId="6" xfId="0" applyFont="1" applyBorder="1">
      <alignment vertical="center"/>
    </xf>
    <xf numFmtId="178" fontId="0" fillId="0" borderId="6" xfId="0" applyNumberFormat="1" applyFont="1" applyBorder="1">
      <alignment vertical="center"/>
    </xf>
    <xf numFmtId="0" fontId="0" fillId="0" borderId="7" xfId="0" applyFont="1" applyBorder="1">
      <alignment vertical="center"/>
    </xf>
    <xf numFmtId="0" fontId="0" fillId="8" borderId="1" xfId="0" applyFont="1" applyFill="1" applyBorder="1">
      <alignment vertical="center"/>
    </xf>
    <xf numFmtId="0" fontId="0" fillId="3" borderId="30" xfId="0" applyFont="1" applyFill="1" applyBorder="1" applyAlignment="1">
      <alignment vertical="center"/>
    </xf>
    <xf numFmtId="0" fontId="0" fillId="0" borderId="30" xfId="0" applyFont="1" applyBorder="1">
      <alignment vertical="center"/>
    </xf>
    <xf numFmtId="178" fontId="0" fillId="0" borderId="30" xfId="0" applyNumberFormat="1" applyFont="1" applyBorder="1">
      <alignment vertical="center"/>
    </xf>
    <xf numFmtId="178" fontId="0" fillId="0" borderId="30" xfId="0" applyNumberFormat="1" applyFont="1" applyFill="1" applyBorder="1">
      <alignment vertical="center"/>
    </xf>
    <xf numFmtId="0" fontId="7" fillId="0" borderId="0" xfId="0" applyFont="1" applyFill="1" applyBorder="1">
      <alignment vertical="center"/>
    </xf>
    <xf numFmtId="178" fontId="0" fillId="5" borderId="30" xfId="0" applyNumberFormat="1" applyFont="1" applyFill="1" applyBorder="1">
      <alignment vertical="center"/>
    </xf>
    <xf numFmtId="0" fontId="16" fillId="0" borderId="0" xfId="0" applyFont="1" applyFill="1" applyAlignment="1">
      <alignment vertical="center"/>
    </xf>
    <xf numFmtId="4" fontId="0" fillId="0" borderId="1" xfId="0" applyNumberFormat="1" applyFont="1" applyBorder="1">
      <alignment vertical="center"/>
    </xf>
    <xf numFmtId="0" fontId="0" fillId="5" borderId="0" xfId="0" applyFont="1" applyFill="1">
      <alignment vertical="center"/>
    </xf>
    <xf numFmtId="0" fontId="0" fillId="13" borderId="1" xfId="0" applyNumberFormat="1" applyFont="1" applyFill="1" applyBorder="1">
      <alignment vertical="center"/>
    </xf>
    <xf numFmtId="0" fontId="6" fillId="13" borderId="1" xfId="0" applyNumberFormat="1" applyFont="1" applyFill="1" applyBorder="1">
      <alignment vertical="center"/>
    </xf>
    <xf numFmtId="0" fontId="6" fillId="13" borderId="1" xfId="0" applyFont="1" applyFill="1" applyBorder="1">
      <alignment vertical="center"/>
    </xf>
    <xf numFmtId="0" fontId="6" fillId="13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0" fillId="4" borderId="1" xfId="0" applyFont="1" applyFill="1" applyBorder="1" applyAlignment="1">
      <alignment horizontal="center" vertical="center" wrapText="1"/>
    </xf>
    <xf numFmtId="180" fontId="0" fillId="0" borderId="0" xfId="6" applyNumberFormat="1">
      <alignment vertical="center"/>
    </xf>
    <xf numFmtId="9" fontId="0" fillId="0" borderId="0" xfId="0" applyNumberFormat="1" applyFont="1">
      <alignment vertical="center"/>
    </xf>
    <xf numFmtId="178" fontId="0" fillId="13" borderId="1" xfId="0" applyNumberFormat="1" applyFont="1" applyFill="1" applyBorder="1">
      <alignment vertical="center"/>
    </xf>
    <xf numFmtId="0" fontId="0" fillId="4" borderId="11" xfId="0" applyFont="1" applyFill="1" applyBorder="1">
      <alignment vertical="center"/>
    </xf>
    <xf numFmtId="0" fontId="0" fillId="4" borderId="15" xfId="0" applyFont="1" applyFill="1" applyBorder="1">
      <alignment vertical="center"/>
    </xf>
    <xf numFmtId="0" fontId="0" fillId="13" borderId="12" xfId="0" applyFont="1" applyFill="1" applyBorder="1">
      <alignment vertical="center"/>
    </xf>
    <xf numFmtId="0" fontId="0" fillId="13" borderId="18" xfId="0" applyFont="1" applyFill="1" applyBorder="1">
      <alignment vertical="center"/>
    </xf>
    <xf numFmtId="8" fontId="0" fillId="13" borderId="18" xfId="0" applyNumberFormat="1" applyFont="1" applyFill="1" applyBorder="1">
      <alignment vertical="center"/>
    </xf>
    <xf numFmtId="0" fontId="0" fillId="13" borderId="17" xfId="0" applyFont="1" applyFill="1" applyBorder="1">
      <alignment vertical="center"/>
    </xf>
    <xf numFmtId="0" fontId="0" fillId="0" borderId="14" xfId="0" applyFont="1" applyFill="1" applyBorder="1">
      <alignment vertical="center"/>
    </xf>
    <xf numFmtId="8" fontId="0" fillId="0" borderId="0" xfId="0" applyNumberFormat="1" applyFont="1">
      <alignment vertical="center"/>
    </xf>
    <xf numFmtId="0" fontId="0" fillId="0" borderId="26" xfId="0" applyFont="1" applyBorder="1" applyAlignment="1">
      <alignment vertical="center" wrapText="1"/>
    </xf>
    <xf numFmtId="180" fontId="5" fillId="13" borderId="1" xfId="6" applyNumberFormat="1" applyFont="1" applyFill="1" applyBorder="1">
      <alignment vertical="center"/>
    </xf>
    <xf numFmtId="179" fontId="5" fillId="13" borderId="1" xfId="0" applyNumberFormat="1" applyFont="1" applyFill="1" applyBorder="1">
      <alignment vertical="center"/>
    </xf>
    <xf numFmtId="8" fontId="0" fillId="13" borderId="17" xfId="0" applyNumberFormat="1" applyFont="1" applyFill="1" applyBorder="1">
      <alignment vertical="center"/>
    </xf>
    <xf numFmtId="0" fontId="0" fillId="13" borderId="0" xfId="0" applyFont="1" applyFill="1">
      <alignment vertical="center"/>
    </xf>
    <xf numFmtId="0" fontId="0" fillId="13" borderId="26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3.xml"/><Relationship Id="rId28" Type="http://schemas.openxmlformats.org/officeDocument/2006/relationships/externalLink" Target="externalLinks/externalLink2.xml"/><Relationship Id="rId27" Type="http://schemas.openxmlformats.org/officeDocument/2006/relationships/externalLink" Target="externalLinks/externalLink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'MINERAL CARBONATION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'MINERAL CARBONATION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'MINERAL CARBONATION 3'!$C$7:$F$7</c:f>
              <c:numCache>
                <c:formatCode>0.00_ </c:formatCode>
                <c:ptCount val="4"/>
                <c:pt idx="0">
                  <c:v>5.02282052676524</c:v>
                </c:pt>
                <c:pt idx="1">
                  <c:v>3.0490798405623</c:v>
                </c:pt>
                <c:pt idx="2">
                  <c:v>0.80538002944123</c:v>
                </c:pt>
                <c:pt idx="3">
                  <c:v>0.202505870608466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76109"/>
        <c:axId val="18512463"/>
      </c:scatterChart>
      <c:valAx>
        <c:axId val="5570761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512463"/>
        <c:crosses val="autoZero"/>
        <c:crossBetween val="midCat"/>
      </c:valAx>
      <c:valAx>
        <c:axId val="185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70761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'POLYOL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-0.986818181818181</c:v>
                </c:pt>
                <c:pt idx="2">
                  <c:v>-1.88392561983471</c:v>
                </c:pt>
                <c:pt idx="3">
                  <c:v>-2.69947783621337</c:v>
                </c:pt>
                <c:pt idx="4">
                  <c:v>-3.44088894201216</c:v>
                </c:pt>
                <c:pt idx="5">
                  <c:v>-1.78644407672104</c:v>
                </c:pt>
                <c:pt idx="6">
                  <c:v>-0.583211447418406</c:v>
                </c:pt>
                <c:pt idx="7">
                  <c:v>0.510636397402167</c:v>
                </c:pt>
                <c:pt idx="8">
                  <c:v>1.50504352905723</c:v>
                </c:pt>
                <c:pt idx="9">
                  <c:v>2.40905001238002</c:v>
                </c:pt>
                <c:pt idx="10">
                  <c:v>3.23087408812801</c:v>
                </c:pt>
                <c:pt idx="11">
                  <c:v>3.97798688426255</c:v>
                </c:pt>
                <c:pt idx="12">
                  <c:v>4.65718033529394</c:v>
                </c:pt>
                <c:pt idx="13">
                  <c:v>5.27462892714067</c:v>
                </c:pt>
                <c:pt idx="14">
                  <c:v>5.83594582881951</c:v>
                </c:pt>
                <c:pt idx="15">
                  <c:v>6.34623392125482</c:v>
                </c:pt>
                <c:pt idx="16">
                  <c:v>6.8101321871051</c:v>
                </c:pt>
                <c:pt idx="17">
                  <c:v>7.23185788333263</c:v>
                </c:pt>
                <c:pt idx="18">
                  <c:v>7.61524487990311</c:v>
                </c:pt>
                <c:pt idx="19">
                  <c:v>7.963778513149</c:v>
                </c:pt>
                <c:pt idx="20">
                  <c:v>8.28062727064526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7162"/>
        <c:axId val="677283434"/>
      </c:scatterChart>
      <c:valAx>
        <c:axId val="5835471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283434"/>
        <c:crosses val="autoZero"/>
        <c:crossBetween val="midCat"/>
      </c:valAx>
      <c:valAx>
        <c:axId val="677283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547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'[2]POLYOL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'[2]POLYOL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'ENHANCED OIL RECOVERY 3'!$C$61:$M$61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'ENHANCED OIL RECOVERY 3'!$C$62:$M$62</c:f>
              <c:numCache>
                <c:formatCode>General</c:formatCode>
                <c:ptCount val="11"/>
                <c:pt idx="0">
                  <c:v>0</c:v>
                </c:pt>
                <c:pt idx="1">
                  <c:v>-2.10690629370627</c:v>
                </c:pt>
                <c:pt idx="2">
                  <c:v>-4.02227565162106</c:v>
                </c:pt>
                <c:pt idx="3">
                  <c:v>-5.76352052245269</c:v>
                </c:pt>
                <c:pt idx="4">
                  <c:v>-7.3464704050269</c:v>
                </c:pt>
                <c:pt idx="5">
                  <c:v>-1.46915204003693</c:v>
                </c:pt>
                <c:pt idx="6">
                  <c:v>3.8738646554085</c:v>
                </c:pt>
                <c:pt idx="7">
                  <c:v>8.73115256035888</c:v>
                </c:pt>
                <c:pt idx="8">
                  <c:v>13.1468688375865</c:v>
                </c:pt>
                <c:pt idx="9">
                  <c:v>17.1611563623389</c:v>
                </c:pt>
                <c:pt idx="10">
                  <c:v>20.8105086575683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78943"/>
        <c:axId val="420694701"/>
      </c:scatterChart>
      <c:valAx>
        <c:axId val="67957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0694701"/>
        <c:crosses val="autoZero"/>
        <c:crossBetween val="midCat"/>
      </c:valAx>
      <c:valAx>
        <c:axId val="4206947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957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'ENHANCED OIL RECOVERY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'ENHANCED OIL RECOVERY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0.5</c:v>
                </c:pt>
                <c:pt idx="3">
                  <c:v>0.8</c:v>
                </c:pt>
              </c:numCache>
            </c:numRef>
          </c:xVal>
          <c:yVal>
            <c:numRef>
              <c:f>'ENHANCED OIL RECOVERY 3'!$C$7:$F$7</c:f>
              <c:numCache>
                <c:formatCode>0.00_ </c:formatCode>
                <c:ptCount val="4"/>
                <c:pt idx="0">
                  <c:v>3.31759299566313</c:v>
                </c:pt>
                <c:pt idx="1">
                  <c:v>25.6071472163898</c:v>
                </c:pt>
                <c:pt idx="2">
                  <c:v>0.0141558066589915</c:v>
                </c:pt>
                <c:pt idx="3">
                  <c:v>-1.49402101151497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471706"/>
        <c:axId val="892587540"/>
      </c:scatterChart>
      <c:valAx>
        <c:axId val="4264717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587540"/>
        <c:crosses val="autoZero"/>
        <c:crossBetween val="midCat"/>
      </c:valAx>
      <c:valAx>
        <c:axId val="8925875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4717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'POLYOL 3'!$C$7:$F$7</c:f>
              <c:numCache>
                <c:formatCode>0.00_ </c:formatCode>
                <c:ptCount val="4"/>
                <c:pt idx="0">
                  <c:v>8.28062727064526</c:v>
                </c:pt>
                <c:pt idx="1">
                  <c:v>4.42258556095823</c:v>
                </c:pt>
                <c:pt idx="2">
                  <c:v>0.242459188450256</c:v>
                </c:pt>
                <c:pt idx="3">
                  <c:v>-0.714628623583622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1808"/>
        <c:axId val="91908993"/>
      </c:scatterChart>
      <c:valAx>
        <c:axId val="509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8993"/>
        <c:crosses val="autoZero"/>
        <c:crossBetween val="midCat"/>
      </c:valAx>
      <c:valAx>
        <c:axId val="91908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'POLYOL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-0.986818181818181</c:v>
                </c:pt>
                <c:pt idx="2">
                  <c:v>-1.88392561983471</c:v>
                </c:pt>
                <c:pt idx="3">
                  <c:v>-2.69947783621337</c:v>
                </c:pt>
                <c:pt idx="4">
                  <c:v>-3.44088894201216</c:v>
                </c:pt>
                <c:pt idx="5">
                  <c:v>-1.78644407672104</c:v>
                </c:pt>
                <c:pt idx="6">
                  <c:v>-0.583211447418406</c:v>
                </c:pt>
                <c:pt idx="7">
                  <c:v>0.510636397402167</c:v>
                </c:pt>
                <c:pt idx="8">
                  <c:v>1.50504352905723</c:v>
                </c:pt>
                <c:pt idx="9">
                  <c:v>2.40905001238002</c:v>
                </c:pt>
                <c:pt idx="10">
                  <c:v>3.23087408812801</c:v>
                </c:pt>
                <c:pt idx="11">
                  <c:v>3.97798688426255</c:v>
                </c:pt>
                <c:pt idx="12">
                  <c:v>4.65718033529394</c:v>
                </c:pt>
                <c:pt idx="13">
                  <c:v>5.27462892714067</c:v>
                </c:pt>
                <c:pt idx="14">
                  <c:v>5.83594582881951</c:v>
                </c:pt>
                <c:pt idx="15">
                  <c:v>6.34623392125482</c:v>
                </c:pt>
                <c:pt idx="16">
                  <c:v>6.8101321871051</c:v>
                </c:pt>
                <c:pt idx="17">
                  <c:v>7.23185788333263</c:v>
                </c:pt>
                <c:pt idx="18">
                  <c:v>7.61524487990311</c:v>
                </c:pt>
                <c:pt idx="19">
                  <c:v>7.963778513149</c:v>
                </c:pt>
                <c:pt idx="20">
                  <c:v>8.28062727064526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547162"/>
        <c:axId val="677283434"/>
      </c:scatterChart>
      <c:valAx>
        <c:axId val="5835471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283434"/>
        <c:crosses val="autoZero"/>
        <c:crossBetween val="midCat"/>
      </c:valAx>
      <c:valAx>
        <c:axId val="677283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35471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Sheet1!$D$19</c:f>
              <c:strCache>
                <c:ptCount val="1"/>
                <c:pt idx="0">
                  <c:v>MINERAL CARBONATION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Sheet1!$D$20:$D$40</c:f>
              <c:numCache>
                <c:formatCode>0.00_ </c:formatCode>
                <c:ptCount val="21"/>
                <c:pt idx="0">
                  <c:v>0</c:v>
                </c:pt>
                <c:pt idx="1">
                  <c:v>-0.181818181818182</c:v>
                </c:pt>
                <c:pt idx="2">
                  <c:v>-0.347107438016529</c:v>
                </c:pt>
                <c:pt idx="3">
                  <c:v>-0.497370398196844</c:v>
                </c:pt>
                <c:pt idx="4">
                  <c:v>-0.633973089269858</c:v>
                </c:pt>
                <c:pt idx="5">
                  <c:v>0.111132498401128</c:v>
                </c:pt>
                <c:pt idx="6">
                  <c:v>0.698185385657056</c:v>
                </c:pt>
                <c:pt idx="7">
                  <c:v>1.23186982861699</c:v>
                </c:pt>
                <c:pt idx="8">
                  <c:v>1.71703750403511</c:v>
                </c:pt>
                <c:pt idx="9">
                  <c:v>2.1580990271425</c:v>
                </c:pt>
                <c:pt idx="10">
                  <c:v>2.55906404814921</c:v>
                </c:pt>
                <c:pt idx="11">
                  <c:v>2.92357770360986</c:v>
                </c:pt>
                <c:pt idx="12">
                  <c:v>3.25495375402863</c:v>
                </c:pt>
                <c:pt idx="13">
                  <c:v>3.55620470895478</c:v>
                </c:pt>
                <c:pt idx="14">
                  <c:v>3.83006921343311</c:v>
                </c:pt>
                <c:pt idx="15">
                  <c:v>4.07903694477704</c:v>
                </c:pt>
                <c:pt idx="16">
                  <c:v>4.30537124599879</c:v>
                </c:pt>
                <c:pt idx="17">
                  <c:v>4.51112970165493</c:v>
                </c:pt>
                <c:pt idx="18">
                  <c:v>4.69818284316051</c:v>
                </c:pt>
                <c:pt idx="19">
                  <c:v>4.86823115362013</c:v>
                </c:pt>
                <c:pt idx="20">
                  <c:v>5.02282052676524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Sheet1!$E$19</c:f>
              <c:strCache>
                <c:ptCount val="1"/>
                <c:pt idx="0">
                  <c:v>UREA SYNTHESIS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Sheet1!$E$20:$E$40</c:f>
              <c:numCache>
                <c:formatCode>0.00_ </c:formatCode>
                <c:ptCount val="21"/>
                <c:pt idx="0">
                  <c:v>0</c:v>
                </c:pt>
                <c:pt idx="1">
                  <c:v>-17.7021154545455</c:v>
                </c:pt>
                <c:pt idx="2">
                  <c:v>-33.7949476859504</c:v>
                </c:pt>
                <c:pt idx="3">
                  <c:v>-48.4247951690458</c:v>
                </c:pt>
                <c:pt idx="4">
                  <c:v>-61.7246565173144</c:v>
                </c:pt>
                <c:pt idx="5">
                  <c:v>4.83943709278424</c:v>
                </c:pt>
                <c:pt idx="6">
                  <c:v>65.3522494656012</c:v>
                </c:pt>
                <c:pt idx="7">
                  <c:v>120.363897077253</c:v>
                </c:pt>
                <c:pt idx="8">
                  <c:v>170.374485815118</c:v>
                </c:pt>
                <c:pt idx="9">
                  <c:v>215.838657394996</c:v>
                </c:pt>
                <c:pt idx="10">
                  <c:v>257.169722467611</c:v>
                </c:pt>
                <c:pt idx="11">
                  <c:v>294.743417988171</c:v>
                </c:pt>
                <c:pt idx="12">
                  <c:v>328.901323006862</c:v>
                </c:pt>
                <c:pt idx="13">
                  <c:v>359.953963932945</c:v>
                </c:pt>
                <c:pt idx="14">
                  <c:v>388.183637502111</c:v>
                </c:pt>
                <c:pt idx="15">
                  <c:v>413.846977110443</c:v>
                </c:pt>
                <c:pt idx="16">
                  <c:v>437.177285845291</c:v>
                </c:pt>
                <c:pt idx="17">
                  <c:v>458.386657422426</c:v>
                </c:pt>
                <c:pt idx="18">
                  <c:v>477.66790431073</c:v>
                </c:pt>
                <c:pt idx="19">
                  <c:v>495.196310572825</c:v>
                </c:pt>
                <c:pt idx="20">
                  <c:v>511.131225356547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Sheet1!$F$19</c:f>
              <c:strCache>
                <c:ptCount val="1"/>
                <c:pt idx="0">
                  <c:v>METHANOL SYNTHESIS
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Sheet1!$F$20:$F$40</c:f>
              <c:numCache>
                <c:formatCode>0.00_ </c:formatCode>
                <c:ptCount val="21"/>
                <c:pt idx="0">
                  <c:v>0</c:v>
                </c:pt>
                <c:pt idx="1">
                  <c:v>-0.584090909090909</c:v>
                </c:pt>
                <c:pt idx="2">
                  <c:v>-1.1150826446281</c:v>
                </c:pt>
                <c:pt idx="3">
                  <c:v>-1.59780240420736</c:v>
                </c:pt>
                <c:pt idx="4">
                  <c:v>-2.03663854927942</c:v>
                </c:pt>
                <c:pt idx="5">
                  <c:v>-1.19373785322662</c:v>
                </c:pt>
                <c:pt idx="6">
                  <c:v>-0.580719165188216</c:v>
                </c:pt>
                <c:pt idx="7">
                  <c:v>-0.0234294487896688</c:v>
                </c:pt>
                <c:pt idx="8">
                  <c:v>0.483197566118101</c:v>
                </c:pt>
                <c:pt idx="9">
                  <c:v>0.94376757967062</c:v>
                </c:pt>
                <c:pt idx="10">
                  <c:v>1.36246759199109</c:v>
                </c:pt>
                <c:pt idx="11">
                  <c:v>1.74310396682788</c:v>
                </c:pt>
                <c:pt idx="12">
                  <c:v>2.08913703486133</c:v>
                </c:pt>
                <c:pt idx="13">
                  <c:v>2.40371255125537</c:v>
                </c:pt>
                <c:pt idx="14">
                  <c:v>2.68969029343178</c:v>
                </c:pt>
                <c:pt idx="15">
                  <c:v>2.94967005904669</c:v>
                </c:pt>
                <c:pt idx="16">
                  <c:v>3.18601530051479</c:v>
                </c:pt>
                <c:pt idx="17">
                  <c:v>3.40087461094034</c:v>
                </c:pt>
                <c:pt idx="18">
                  <c:v>3.59620125678174</c:v>
                </c:pt>
                <c:pt idx="19">
                  <c:v>3.77377093481938</c:v>
                </c:pt>
                <c:pt idx="20">
                  <c:v>3.9351979148536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Sheet1!$G$19</c:f>
              <c:strCache>
                <c:ptCount val="1"/>
                <c:pt idx="0">
                  <c:v>POLYOL SYNTHESIS
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Sheet1!$G$20:$G$40</c:f>
              <c:numCache>
                <c:formatCode>0.00_ </c:formatCode>
                <c:ptCount val="21"/>
                <c:pt idx="0">
                  <c:v>0</c:v>
                </c:pt>
                <c:pt idx="1">
                  <c:v>-0.986818181818181</c:v>
                </c:pt>
                <c:pt idx="2">
                  <c:v>-1.88392561983471</c:v>
                </c:pt>
                <c:pt idx="3">
                  <c:v>-2.69947783621337</c:v>
                </c:pt>
                <c:pt idx="4">
                  <c:v>-3.44088894201216</c:v>
                </c:pt>
                <c:pt idx="5">
                  <c:v>-1.78644407672104</c:v>
                </c:pt>
                <c:pt idx="6">
                  <c:v>-0.583211447418406</c:v>
                </c:pt>
                <c:pt idx="7">
                  <c:v>0.510636397402167</c:v>
                </c:pt>
                <c:pt idx="8">
                  <c:v>1.50504352905723</c:v>
                </c:pt>
                <c:pt idx="9">
                  <c:v>2.40905001238002</c:v>
                </c:pt>
                <c:pt idx="10">
                  <c:v>3.23087408812801</c:v>
                </c:pt>
                <c:pt idx="11">
                  <c:v>3.97798688426255</c:v>
                </c:pt>
                <c:pt idx="12">
                  <c:v>4.65718033529394</c:v>
                </c:pt>
                <c:pt idx="13">
                  <c:v>5.27462892714067</c:v>
                </c:pt>
                <c:pt idx="14">
                  <c:v>5.83594582881951</c:v>
                </c:pt>
                <c:pt idx="15">
                  <c:v>6.34623392125482</c:v>
                </c:pt>
                <c:pt idx="16">
                  <c:v>6.8101321871051</c:v>
                </c:pt>
                <c:pt idx="17">
                  <c:v>7.23185788333263</c:v>
                </c:pt>
                <c:pt idx="18">
                  <c:v>7.61524487990311</c:v>
                </c:pt>
                <c:pt idx="19">
                  <c:v>7.963778513149</c:v>
                </c:pt>
                <c:pt idx="20">
                  <c:v>8.28062727064526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Sheet1!$H$19</c:f>
              <c:strCache>
                <c:ptCount val="1"/>
                <c:pt idx="0">
                  <c:v>ENHANCED OIL RECOVERY
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Sheet1!$H$20:$H$40</c:f>
              <c:numCache>
                <c:formatCode>0.00_ </c:formatCode>
                <c:ptCount val="21"/>
                <c:pt idx="0">
                  <c:v>0</c:v>
                </c:pt>
                <c:pt idx="1">
                  <c:v>-2.10690629370627</c:v>
                </c:pt>
                <c:pt idx="2">
                  <c:v>-4.02227565162106</c:v>
                </c:pt>
                <c:pt idx="3">
                  <c:v>-5.76352052245269</c:v>
                </c:pt>
                <c:pt idx="4">
                  <c:v>-7.3464704050269</c:v>
                </c:pt>
                <c:pt idx="5">
                  <c:v>-1.46915204003693</c:v>
                </c:pt>
                <c:pt idx="6">
                  <c:v>3.8738646554085</c:v>
                </c:pt>
                <c:pt idx="7">
                  <c:v>8.73115256035888</c:v>
                </c:pt>
                <c:pt idx="8">
                  <c:v>13.1468688375865</c:v>
                </c:pt>
                <c:pt idx="9">
                  <c:v>17.1611563623389</c:v>
                </c:pt>
                <c:pt idx="10">
                  <c:v>20.8105086575683</c:v>
                </c:pt>
                <c:pt idx="11">
                  <c:v>24.1281016532315</c:v>
                </c:pt>
                <c:pt idx="12">
                  <c:v>27.1440952856525</c:v>
                </c:pt>
                <c:pt idx="13">
                  <c:v>29.8859076787625</c:v>
                </c:pt>
                <c:pt idx="14">
                  <c:v>32.3784643997716</c:v>
                </c:pt>
                <c:pt idx="15">
                  <c:v>34.6444250552345</c:v>
                </c:pt>
                <c:pt idx="16">
                  <c:v>36.7043892874734</c:v>
                </c:pt>
                <c:pt idx="17">
                  <c:v>38.5770840440542</c:v>
                </c:pt>
                <c:pt idx="18">
                  <c:v>40.2795338227641</c:v>
                </c:pt>
                <c:pt idx="19">
                  <c:v>41.8272154397731</c:v>
                </c:pt>
                <c:pt idx="20">
                  <c:v>43.234198727963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Sheet1!$I$19</c:f>
              <c:strCache>
                <c:ptCount val="1"/>
                <c:pt idx="0">
                  <c:v>SALICYLIC ACID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Sheet1!$C$20:$C$40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Sheet1!$I$20:$I$40</c:f>
              <c:numCache>
                <c:formatCode>0.00_ </c:formatCode>
                <c:ptCount val="21"/>
                <c:pt idx="0">
                  <c:v>0</c:v>
                </c:pt>
                <c:pt idx="1">
                  <c:v>-0.466381818181818</c:v>
                </c:pt>
                <c:pt idx="2">
                  <c:v>-0.890365289256198</c:v>
                </c:pt>
                <c:pt idx="3">
                  <c:v>-1.27580480841473</c:v>
                </c:pt>
                <c:pt idx="4">
                  <c:v>-1.62620437128611</c:v>
                </c:pt>
                <c:pt idx="5">
                  <c:v>-0.720435391273572</c:v>
                </c:pt>
                <c:pt idx="6">
                  <c:v>-0.0616943149008141</c:v>
                </c:pt>
                <c:pt idx="7">
                  <c:v>0.53716120907442</c:v>
                </c:pt>
                <c:pt idx="8">
                  <c:v>1.08157532177918</c:v>
                </c:pt>
                <c:pt idx="9">
                  <c:v>1.57649724241987</c:v>
                </c:pt>
                <c:pt idx="10">
                  <c:v>2.02642626118413</c:v>
                </c:pt>
                <c:pt idx="11">
                  <c:v>2.43545264187892</c:v>
                </c:pt>
                <c:pt idx="12">
                  <c:v>2.8072948061469</c:v>
                </c:pt>
                <c:pt idx="13">
                  <c:v>3.14533313729962</c:v>
                </c:pt>
                <c:pt idx="14">
                  <c:v>3.45264071107481</c:v>
                </c:pt>
                <c:pt idx="15">
                  <c:v>3.73201123268863</c:v>
                </c:pt>
                <c:pt idx="16">
                  <c:v>3.98598443415573</c:v>
                </c:pt>
                <c:pt idx="17">
                  <c:v>4.21686916276219</c:v>
                </c:pt>
                <c:pt idx="18">
                  <c:v>4.42676437058624</c:v>
                </c:pt>
                <c:pt idx="19">
                  <c:v>4.61757819588083</c:v>
                </c:pt>
                <c:pt idx="20">
                  <c:v>4.79104530978501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268900"/>
        <c:axId val="456400774"/>
      </c:scatterChart>
      <c:valAx>
        <c:axId val="4872689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400774"/>
        <c:crosses val="autoZero"/>
        <c:crossBetween val="midCat"/>
      </c:valAx>
      <c:valAx>
        <c:axId val="456400774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72689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'POLYOL 3'!$C$7:$F$7</c:f>
              <c:numCache>
                <c:formatCode>0.00_ </c:formatCode>
                <c:ptCount val="4"/>
                <c:pt idx="0">
                  <c:v>8.28062727064526</c:v>
                </c:pt>
                <c:pt idx="1">
                  <c:v>4.42258556095823</c:v>
                </c:pt>
                <c:pt idx="2">
                  <c:v>0.242459188450256</c:v>
                </c:pt>
                <c:pt idx="3">
                  <c:v>-0.714628623583622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1808"/>
        <c:axId val="91908993"/>
      </c:scatterChart>
      <c:valAx>
        <c:axId val="509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8993"/>
        <c:crosses val="autoZero"/>
        <c:crossBetween val="midCat"/>
      </c:valAx>
      <c:valAx>
        <c:axId val="91908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6714861671069"/>
          <c:y val="0.232529827124422"/>
          <c:w val="0.836285277352982"/>
          <c:h val="0.760165570976382"/>
        </c:manualLayout>
      </c:layout>
      <c:scatterChart>
        <c:scatterStyle val="smooth"/>
        <c:varyColors val="0"/>
        <c:ser>
          <c:idx val="0"/>
          <c:order val="0"/>
          <c:tx>
            <c:strRef>
              <c:f>'MINERAL CARBONATION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'MINERAL CARBONATION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'MINERAL CARBONATION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-0.181818181818182</c:v>
                </c:pt>
                <c:pt idx="2">
                  <c:v>-0.347107438016529</c:v>
                </c:pt>
                <c:pt idx="3">
                  <c:v>-0.497370398196844</c:v>
                </c:pt>
                <c:pt idx="4">
                  <c:v>-0.633973089269858</c:v>
                </c:pt>
                <c:pt idx="5">
                  <c:v>0.111132498401128</c:v>
                </c:pt>
                <c:pt idx="6">
                  <c:v>0.698185385657056</c:v>
                </c:pt>
                <c:pt idx="7">
                  <c:v>1.23186982861699</c:v>
                </c:pt>
                <c:pt idx="8">
                  <c:v>1.71703750403511</c:v>
                </c:pt>
                <c:pt idx="9">
                  <c:v>2.1580990271425</c:v>
                </c:pt>
                <c:pt idx="10">
                  <c:v>2.55906404814921</c:v>
                </c:pt>
                <c:pt idx="11">
                  <c:v>2.92357770360986</c:v>
                </c:pt>
                <c:pt idx="12">
                  <c:v>3.25495375402863</c:v>
                </c:pt>
                <c:pt idx="13">
                  <c:v>3.55620470895478</c:v>
                </c:pt>
                <c:pt idx="14">
                  <c:v>3.83006921343311</c:v>
                </c:pt>
                <c:pt idx="15">
                  <c:v>4.07903694477704</c:v>
                </c:pt>
                <c:pt idx="16">
                  <c:v>4.30537124599879</c:v>
                </c:pt>
                <c:pt idx="17">
                  <c:v>4.51112970165493</c:v>
                </c:pt>
                <c:pt idx="18">
                  <c:v>4.69818284316051</c:v>
                </c:pt>
                <c:pt idx="19">
                  <c:v>4.86823115362013</c:v>
                </c:pt>
                <c:pt idx="20">
                  <c:v>5.02282052676524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565119"/>
        <c:axId val="706209119"/>
      </c:scatterChart>
      <c:valAx>
        <c:axId val="60156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6209119"/>
        <c:crosses val="autoZero"/>
        <c:crossBetween val="midCat"/>
      </c:valAx>
      <c:valAx>
        <c:axId val="7062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56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CUMMULATIVE CASH FLOW 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'ILAUNDRY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'ILAUNDRY 3'!$C$61:$V$61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'ILAUNDRY 3'!$C$62:$V$62</c:f>
              <c:numCache>
                <c:formatCode>General</c:formatCode>
                <c:ptCount val="20"/>
                <c:pt idx="0">
                  <c:v>0</c:v>
                </c:pt>
                <c:pt idx="1">
                  <c:v>-7500</c:v>
                </c:pt>
                <c:pt idx="2">
                  <c:v>-15000</c:v>
                </c:pt>
                <c:pt idx="3">
                  <c:v>-22500</c:v>
                </c:pt>
                <c:pt idx="4">
                  <c:v>-30000</c:v>
                </c:pt>
                <c:pt idx="5">
                  <c:v>0</c:v>
                </c:pt>
                <c:pt idx="6">
                  <c:v>27000</c:v>
                </c:pt>
                <c:pt idx="7">
                  <c:v>54000</c:v>
                </c:pt>
                <c:pt idx="8">
                  <c:v>81000</c:v>
                </c:pt>
                <c:pt idx="9">
                  <c:v>108000</c:v>
                </c:pt>
                <c:pt idx="10">
                  <c:v>135000</c:v>
                </c:pt>
                <c:pt idx="11">
                  <c:v>162000</c:v>
                </c:pt>
                <c:pt idx="12">
                  <c:v>189000</c:v>
                </c:pt>
                <c:pt idx="13">
                  <c:v>216000</c:v>
                </c:pt>
                <c:pt idx="14">
                  <c:v>243000</c:v>
                </c:pt>
                <c:pt idx="15">
                  <c:v>270000</c:v>
                </c:pt>
                <c:pt idx="16">
                  <c:v>297000</c:v>
                </c:pt>
                <c:pt idx="17">
                  <c:v>324000</c:v>
                </c:pt>
                <c:pt idx="18">
                  <c:v>351000</c:v>
                </c:pt>
                <c:pt idx="19">
                  <c:v>378000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718753"/>
        <c:axId val="273632640"/>
      </c:scatterChart>
      <c:valAx>
        <c:axId val="6607187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632640"/>
        <c:crosses val="autoZero"/>
        <c:crossBetween val="midCat"/>
      </c:valAx>
      <c:valAx>
        <c:axId val="2736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7187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'POLYOL 3'!$C$7:$F$7</c:f>
              <c:numCache>
                <c:formatCode>0.00_ </c:formatCode>
                <c:ptCount val="4"/>
                <c:pt idx="0">
                  <c:v>8.28062727064526</c:v>
                </c:pt>
                <c:pt idx="1">
                  <c:v>4.42258556095823</c:v>
                </c:pt>
                <c:pt idx="2">
                  <c:v>0.242459188450256</c:v>
                </c:pt>
                <c:pt idx="3">
                  <c:v>-0.714628623583622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1808"/>
        <c:axId val="91908993"/>
      </c:scatterChart>
      <c:valAx>
        <c:axId val="509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8993"/>
        <c:crosses val="autoZero"/>
        <c:crossBetween val="midCat"/>
      </c:valAx>
      <c:valAx>
        <c:axId val="91908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'POLYOL 3'!$C$7:$F$7</c:f>
              <c:numCache>
                <c:formatCode>0.00_ </c:formatCode>
                <c:ptCount val="4"/>
                <c:pt idx="0">
                  <c:v>8.28062727064526</c:v>
                </c:pt>
                <c:pt idx="1">
                  <c:v>4.42258556095823</c:v>
                </c:pt>
                <c:pt idx="2">
                  <c:v>0.242459188450256</c:v>
                </c:pt>
                <c:pt idx="3">
                  <c:v>-0.714628623583622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1808"/>
        <c:axId val="91908993"/>
      </c:scatterChart>
      <c:valAx>
        <c:axId val="509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8993"/>
        <c:crosses val="autoZero"/>
        <c:crossBetween val="midCat"/>
      </c:valAx>
      <c:valAx>
        <c:axId val="91908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3'!$C$125:$E$125</c:f>
              <c:numCache>
                <c:formatCode>General</c:formatCode>
                <c:ptCount val="3"/>
                <c:pt idx="0">
                  <c:v>1350</c:v>
                </c:pt>
                <c:pt idx="1">
                  <c:v>1150</c:v>
                </c:pt>
                <c:pt idx="2">
                  <c:v>950</c:v>
                </c:pt>
              </c:numCache>
            </c:numRef>
          </c:xVal>
          <c:yVal>
            <c:numRef>
              <c:f>'POLYOL 3'!$C$126:$E$126</c:f>
              <c:numCache>
                <c:formatCode>General</c:formatCode>
                <c:ptCount val="3"/>
                <c:pt idx="0">
                  <c:v>8.28062727064526</c:v>
                </c:pt>
                <c:pt idx="1">
                  <c:v>1.07036264983063</c:v>
                </c:pt>
                <c:pt idx="2">
                  <c:v>-6.7141720895148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656762"/>
        <c:axId val="769152856"/>
      </c:scatterChart>
      <c:valAx>
        <c:axId val="88865676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152856"/>
        <c:crosses val="autoZero"/>
        <c:crossBetween val="midCat"/>
      </c:valAx>
      <c:valAx>
        <c:axId val="76915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65676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'JLAUNDRY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'JLAUNDRY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'JLAUNDRY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-92175</c:v>
                </c:pt>
                <c:pt idx="2">
                  <c:v>-22050</c:v>
                </c:pt>
                <c:pt idx="3">
                  <c:v>48075</c:v>
                </c:pt>
                <c:pt idx="4">
                  <c:v>118200</c:v>
                </c:pt>
                <c:pt idx="5">
                  <c:v>188325</c:v>
                </c:pt>
                <c:pt idx="6">
                  <c:v>251437.5</c:v>
                </c:pt>
                <c:pt idx="7">
                  <c:v>314550</c:v>
                </c:pt>
                <c:pt idx="8">
                  <c:v>377662.5</c:v>
                </c:pt>
                <c:pt idx="9">
                  <c:v>440775</c:v>
                </c:pt>
                <c:pt idx="10">
                  <c:v>503887.5</c:v>
                </c:pt>
                <c:pt idx="11">
                  <c:v>567000</c:v>
                </c:pt>
                <c:pt idx="12">
                  <c:v>630112.5</c:v>
                </c:pt>
                <c:pt idx="13">
                  <c:v>693225</c:v>
                </c:pt>
                <c:pt idx="14">
                  <c:v>756337.5</c:v>
                </c:pt>
                <c:pt idx="15">
                  <c:v>819450</c:v>
                </c:pt>
                <c:pt idx="16">
                  <c:v>882562.5</c:v>
                </c:pt>
                <c:pt idx="17">
                  <c:v>945675</c:v>
                </c:pt>
                <c:pt idx="18">
                  <c:v>1008787.5</c:v>
                </c:pt>
                <c:pt idx="19">
                  <c:v>1071900</c:v>
                </c:pt>
                <c:pt idx="20">
                  <c:v>1135012.5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479207"/>
        <c:axId val="666517281"/>
      </c:scatterChart>
      <c:valAx>
        <c:axId val="544479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6517281"/>
        <c:crosses val="autoZero"/>
        <c:crossBetween val="midCat"/>
      </c:valAx>
      <c:valAx>
        <c:axId val="666517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4479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'MINERAL CARBONATION 3'!$A$126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'MINERAL CARBONATION 3'!$B$125:$E$125</c:f>
              <c:numCache>
                <c:formatCode>General</c:formatCode>
                <c:ptCount val="4"/>
                <c:pt idx="0">
                  <c:v>120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</c:numCache>
            </c:numRef>
          </c:xVal>
          <c:yVal>
            <c:numRef>
              <c:f>'MINERAL CARBONATION 3'!$B$126:$E$126</c:f>
              <c:numCache>
                <c:formatCode>General</c:formatCode>
                <c:ptCount val="4"/>
                <c:pt idx="0">
                  <c:v>7.758102</c:v>
                </c:pt>
                <c:pt idx="1">
                  <c:v>5.02282052676524</c:v>
                </c:pt>
                <c:pt idx="2">
                  <c:v>0.700383613454975</c:v>
                </c:pt>
                <c:pt idx="3">
                  <c:v>-3.99789733655508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03154"/>
        <c:axId val="764536038"/>
      </c:scatterChart>
      <c:valAx>
        <c:axId val="551031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4536038"/>
        <c:crosses val="autoZero"/>
        <c:crossBetween val="midCat"/>
      </c:valAx>
      <c:valAx>
        <c:axId val="764536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1031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'UREA SYNTHESIS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'UREA SYNTHESIS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'UREA SYNTHESIS 3'!$C$7:$F$7</c:f>
              <c:numCache>
                <c:formatCode>0.00_ </c:formatCode>
                <c:ptCount val="4"/>
                <c:pt idx="0">
                  <c:v>511.131225356547</c:v>
                </c:pt>
                <c:pt idx="1">
                  <c:v>309.360861112991</c:v>
                </c:pt>
                <c:pt idx="2">
                  <c:v>81.052833486369</c:v>
                </c:pt>
                <c:pt idx="3">
                  <c:v>20.2672488060933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43495"/>
        <c:axId val="453516227"/>
      </c:scatterChart>
      <c:valAx>
        <c:axId val="733443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516227"/>
        <c:crosses val="autoZero"/>
        <c:crossBetween val="midCat"/>
      </c:valAx>
      <c:valAx>
        <c:axId val="453516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43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'UREA SYNTHESIS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'UREA SYNTHESIS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'UREA SYNTHESIS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-17.7021154545455</c:v>
                </c:pt>
                <c:pt idx="2">
                  <c:v>-33.7949476859504</c:v>
                </c:pt>
                <c:pt idx="3">
                  <c:v>-48.4247951690458</c:v>
                </c:pt>
                <c:pt idx="4">
                  <c:v>-61.7246565173144</c:v>
                </c:pt>
                <c:pt idx="5">
                  <c:v>4.83943709278424</c:v>
                </c:pt>
                <c:pt idx="6">
                  <c:v>65.3522494656012</c:v>
                </c:pt>
                <c:pt idx="7">
                  <c:v>120.363897077253</c:v>
                </c:pt>
                <c:pt idx="8">
                  <c:v>170.374485815118</c:v>
                </c:pt>
                <c:pt idx="9">
                  <c:v>215.838657394996</c:v>
                </c:pt>
                <c:pt idx="10">
                  <c:v>257.169722467611</c:v>
                </c:pt>
                <c:pt idx="11">
                  <c:v>294.743417988171</c:v>
                </c:pt>
                <c:pt idx="12">
                  <c:v>328.901323006862</c:v>
                </c:pt>
                <c:pt idx="13">
                  <c:v>359.953963932945</c:v>
                </c:pt>
                <c:pt idx="14">
                  <c:v>388.183637502111</c:v>
                </c:pt>
                <c:pt idx="15">
                  <c:v>413.846977110443</c:v>
                </c:pt>
                <c:pt idx="16">
                  <c:v>437.177285845291</c:v>
                </c:pt>
                <c:pt idx="17">
                  <c:v>458.386657422426</c:v>
                </c:pt>
                <c:pt idx="18">
                  <c:v>477.66790431073</c:v>
                </c:pt>
                <c:pt idx="19">
                  <c:v>495.196310572825</c:v>
                </c:pt>
                <c:pt idx="20">
                  <c:v>511.131225356547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405636"/>
        <c:axId val="570499714"/>
      </c:scatterChart>
      <c:valAx>
        <c:axId val="2214056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0499714"/>
        <c:crosses val="autoZero"/>
        <c:crossBetween val="midCat"/>
      </c:valAx>
      <c:valAx>
        <c:axId val="570499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4056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'UREA SYNTHESIS 3'!$B$126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'UREA SYNTHESIS 3'!$C$125:$E$125</c:f>
              <c:numCache>
                <c:formatCode>General</c:formatCode>
                <c:ptCount val="3"/>
                <c:pt idx="0">
                  <c:v>265</c:v>
                </c:pt>
                <c:pt idx="1">
                  <c:v>215</c:v>
                </c:pt>
                <c:pt idx="2">
                  <c:v>165</c:v>
                </c:pt>
              </c:numCache>
            </c:numRef>
          </c:xVal>
          <c:yVal>
            <c:numRef>
              <c:f>'UREA SYNTHESIS 3'!$C$126:$E$126</c:f>
              <c:numCache>
                <c:formatCode>General</c:formatCode>
                <c:ptCount val="3"/>
                <c:pt idx="0">
                  <c:v>511.131225356547</c:v>
                </c:pt>
                <c:pt idx="1">
                  <c:v>1241.18787304693</c:v>
                </c:pt>
                <c:pt idx="2">
                  <c:v>949.411017243364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65418"/>
        <c:axId val="601454277"/>
      </c:scatterChart>
      <c:valAx>
        <c:axId val="89546541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454277"/>
        <c:crosses val="autoZero"/>
        <c:crossBetween val="midCat"/>
      </c:valAx>
      <c:valAx>
        <c:axId val="601454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546541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'UREA SYNTHESIS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'UREA SYNTHESIS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'UREA SYNTHESIS 3'!$C$7:$F$7</c:f>
              <c:numCache>
                <c:formatCode>0.00_ </c:formatCode>
                <c:ptCount val="4"/>
                <c:pt idx="0">
                  <c:v>511.131225356547</c:v>
                </c:pt>
                <c:pt idx="1">
                  <c:v>309.360861112991</c:v>
                </c:pt>
                <c:pt idx="2">
                  <c:v>81.052833486369</c:v>
                </c:pt>
                <c:pt idx="3">
                  <c:v>20.2672488060933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443495"/>
        <c:axId val="453516227"/>
      </c:scatterChart>
      <c:valAx>
        <c:axId val="733443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3516227"/>
        <c:crosses val="autoZero"/>
        <c:crossBetween val="midCat"/>
      </c:valAx>
      <c:valAx>
        <c:axId val="4535162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3443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'METHANOL SYNTHESIS 3'!$B$62</c:f>
              <c:strCache>
                <c:ptCount val="1"/>
                <c:pt idx="0">
                  <c:v>CUMMULATIVE CASH FLOW (MM$)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'METHANOL SYNTHESIS 3'!$C$61:$W$61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'METHANOL SYNTHESIS 3'!$C$62:$W$62</c:f>
              <c:numCache>
                <c:formatCode>General</c:formatCode>
                <c:ptCount val="21"/>
                <c:pt idx="0">
                  <c:v>0</c:v>
                </c:pt>
                <c:pt idx="1">
                  <c:v>-0.584090909090909</c:v>
                </c:pt>
                <c:pt idx="2">
                  <c:v>-1.1150826446281</c:v>
                </c:pt>
                <c:pt idx="3">
                  <c:v>-1.59780240420736</c:v>
                </c:pt>
                <c:pt idx="4">
                  <c:v>-2.03663854927942</c:v>
                </c:pt>
                <c:pt idx="5">
                  <c:v>-1.19373785322662</c:v>
                </c:pt>
                <c:pt idx="6">
                  <c:v>-0.580719165188216</c:v>
                </c:pt>
                <c:pt idx="7">
                  <c:v>-0.0234294487896688</c:v>
                </c:pt>
                <c:pt idx="8">
                  <c:v>0.483197566118101</c:v>
                </c:pt>
                <c:pt idx="9">
                  <c:v>0.94376757967062</c:v>
                </c:pt>
                <c:pt idx="10">
                  <c:v>1.36246759199109</c:v>
                </c:pt>
                <c:pt idx="11">
                  <c:v>1.74310396682788</c:v>
                </c:pt>
                <c:pt idx="12">
                  <c:v>2.08913703486133</c:v>
                </c:pt>
                <c:pt idx="13">
                  <c:v>2.40371255125537</c:v>
                </c:pt>
                <c:pt idx="14">
                  <c:v>2.68969029343178</c:v>
                </c:pt>
                <c:pt idx="15">
                  <c:v>2.94967005904669</c:v>
                </c:pt>
                <c:pt idx="16">
                  <c:v>3.18601530051479</c:v>
                </c:pt>
                <c:pt idx="17">
                  <c:v>3.40087461094034</c:v>
                </c:pt>
                <c:pt idx="18">
                  <c:v>3.59620125678174</c:v>
                </c:pt>
                <c:pt idx="19">
                  <c:v>3.77377093481938</c:v>
                </c:pt>
                <c:pt idx="20">
                  <c:v>3.9351979148536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160157"/>
        <c:axId val="857969266"/>
      </c:scatterChart>
      <c:valAx>
        <c:axId val="4961601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969266"/>
        <c:crosses val="autoZero"/>
        <c:crossBetween val="midCat"/>
      </c:valAx>
      <c:valAx>
        <c:axId val="8579692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601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'POLYOL 3'!$B$7</c:f>
              <c:strCache>
                <c:ptCount val="1"/>
                <c:pt idx="0">
                  <c:v>NPV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'POLYOL 3'!$C$6:$F$6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0.3</c:v>
                </c:pt>
                <c:pt idx="3">
                  <c:v>0.45</c:v>
                </c:pt>
              </c:numCache>
            </c:numRef>
          </c:xVal>
          <c:yVal>
            <c:numRef>
              <c:f>'POLYOL 3'!$C$7:$F$7</c:f>
              <c:numCache>
                <c:formatCode>0.00_ </c:formatCode>
                <c:ptCount val="4"/>
                <c:pt idx="0">
                  <c:v>8.28062727064526</c:v>
                </c:pt>
                <c:pt idx="1">
                  <c:v>4.42258556095823</c:v>
                </c:pt>
                <c:pt idx="2">
                  <c:v>0.242459188450256</c:v>
                </c:pt>
                <c:pt idx="3">
                  <c:v>-0.714628623583622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91808"/>
        <c:axId val="91908993"/>
      </c:scatterChart>
      <c:valAx>
        <c:axId val="50909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08993"/>
        <c:crosses val="autoZero"/>
        <c:crossBetween val="midCat"/>
      </c:valAx>
      <c:valAx>
        <c:axId val="919089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909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4" Type="http://schemas.openxmlformats.org/officeDocument/2006/relationships/chart" Target="../charts/chart22.xml"/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304165</xdr:colOff>
      <xdr:row>30</xdr:row>
      <xdr:rowOff>149225</xdr:rowOff>
    </xdr:from>
    <xdr:to>
      <xdr:col>8</xdr:col>
      <xdr:colOff>807085</xdr:colOff>
      <xdr:row>50</xdr:row>
      <xdr:rowOff>131445</xdr:rowOff>
    </xdr:to>
    <xdr:graphicFrame>
      <xdr:nvGraphicFramePr>
        <xdr:cNvPr id="6" name="Chart 5"/>
        <xdr:cNvGraphicFramePr/>
      </xdr:nvGraphicFramePr>
      <xdr:xfrm>
        <a:off x="923290" y="8750300"/>
        <a:ext cx="7150735" cy="3792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610235</xdr:colOff>
      <xdr:row>63</xdr:row>
      <xdr:rowOff>132715</xdr:rowOff>
    </xdr:from>
    <xdr:to>
      <xdr:col>8</xdr:col>
      <xdr:colOff>307340</xdr:colOff>
      <xdr:row>95</xdr:row>
      <xdr:rowOff>126365</xdr:rowOff>
    </xdr:to>
    <xdr:graphicFrame>
      <xdr:nvGraphicFramePr>
        <xdr:cNvPr id="8" name="Chart 7"/>
        <xdr:cNvGraphicFramePr/>
      </xdr:nvGraphicFramePr>
      <xdr:xfrm>
        <a:off x="610235" y="15791815"/>
        <a:ext cx="6964045" cy="6089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635</xdr:colOff>
      <xdr:row>189</xdr:row>
      <xdr:rowOff>99060</xdr:rowOff>
    </xdr:from>
    <xdr:to>
      <xdr:col>5</xdr:col>
      <xdr:colOff>183515</xdr:colOff>
      <xdr:row>203</xdr:row>
      <xdr:rowOff>187325</xdr:rowOff>
    </xdr:to>
    <xdr:graphicFrame>
      <xdr:nvGraphicFramePr>
        <xdr:cNvPr id="12" name="Chart 11"/>
        <xdr:cNvGraphicFramePr/>
      </xdr:nvGraphicFramePr>
      <xdr:xfrm>
        <a:off x="635" y="40237410"/>
        <a:ext cx="4573270" cy="275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534035</xdr:colOff>
      <xdr:row>31</xdr:row>
      <xdr:rowOff>59690</xdr:rowOff>
    </xdr:from>
    <xdr:to>
      <xdr:col>6</xdr:col>
      <xdr:colOff>937260</xdr:colOff>
      <xdr:row>51</xdr:row>
      <xdr:rowOff>48895</xdr:rowOff>
    </xdr:to>
    <xdr:graphicFrame>
      <xdr:nvGraphicFramePr>
        <xdr:cNvPr id="11" name="Chart 10"/>
        <xdr:cNvGraphicFramePr/>
      </xdr:nvGraphicFramePr>
      <xdr:xfrm>
        <a:off x="534035" y="9422765"/>
        <a:ext cx="6203950" cy="379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498475</xdr:colOff>
      <xdr:row>65</xdr:row>
      <xdr:rowOff>23495</xdr:rowOff>
    </xdr:from>
    <xdr:to>
      <xdr:col>7</xdr:col>
      <xdr:colOff>182245</xdr:colOff>
      <xdr:row>91</xdr:row>
      <xdr:rowOff>53340</xdr:rowOff>
    </xdr:to>
    <xdr:graphicFrame>
      <xdr:nvGraphicFramePr>
        <xdr:cNvPr id="14" name="Chart 13"/>
        <xdr:cNvGraphicFramePr/>
      </xdr:nvGraphicFramePr>
      <xdr:xfrm>
        <a:off x="498475" y="17387570"/>
        <a:ext cx="6570345" cy="4982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530860</xdr:colOff>
      <xdr:row>178</xdr:row>
      <xdr:rowOff>38100</xdr:rowOff>
    </xdr:from>
    <xdr:to>
      <xdr:col>6</xdr:col>
      <xdr:colOff>654050</xdr:colOff>
      <xdr:row>200</xdr:row>
      <xdr:rowOff>114300</xdr:rowOff>
    </xdr:to>
    <xdr:graphicFrame>
      <xdr:nvGraphicFramePr>
        <xdr:cNvPr id="15" name="Chart 14"/>
        <xdr:cNvGraphicFramePr/>
      </xdr:nvGraphicFramePr>
      <xdr:xfrm>
        <a:off x="530860" y="39738300"/>
        <a:ext cx="5923915" cy="426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534035</xdr:colOff>
      <xdr:row>31</xdr:row>
      <xdr:rowOff>59690</xdr:rowOff>
    </xdr:from>
    <xdr:to>
      <xdr:col>6</xdr:col>
      <xdr:colOff>937260</xdr:colOff>
      <xdr:row>51</xdr:row>
      <xdr:rowOff>48895</xdr:rowOff>
    </xdr:to>
    <xdr:graphicFrame>
      <xdr:nvGraphicFramePr>
        <xdr:cNvPr id="2" name="Chart 1"/>
        <xdr:cNvGraphicFramePr/>
      </xdr:nvGraphicFramePr>
      <xdr:xfrm>
        <a:off x="534035" y="7898765"/>
        <a:ext cx="4643120" cy="379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173355</xdr:colOff>
      <xdr:row>64</xdr:row>
      <xdr:rowOff>36830</xdr:rowOff>
    </xdr:from>
    <xdr:to>
      <xdr:col>9</xdr:col>
      <xdr:colOff>1905</xdr:colOff>
      <xdr:row>83</xdr:row>
      <xdr:rowOff>135255</xdr:rowOff>
    </xdr:to>
    <xdr:graphicFrame>
      <xdr:nvGraphicFramePr>
        <xdr:cNvPr id="5" name="Chart 4"/>
        <xdr:cNvGraphicFramePr/>
      </xdr:nvGraphicFramePr>
      <xdr:xfrm>
        <a:off x="173355" y="15686405"/>
        <a:ext cx="6291580" cy="3717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577850</xdr:colOff>
      <xdr:row>30</xdr:row>
      <xdr:rowOff>103505</xdr:rowOff>
    </xdr:from>
    <xdr:to>
      <xdr:col>8</xdr:col>
      <xdr:colOff>25400</xdr:colOff>
      <xdr:row>44</xdr:row>
      <xdr:rowOff>179705</xdr:rowOff>
    </xdr:to>
    <xdr:graphicFrame>
      <xdr:nvGraphicFramePr>
        <xdr:cNvPr id="5" name="Chart 4"/>
        <xdr:cNvGraphicFramePr/>
      </xdr:nvGraphicFramePr>
      <xdr:xfrm>
        <a:off x="577850" y="9018905"/>
        <a:ext cx="5343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578485</xdr:colOff>
      <xdr:row>62</xdr:row>
      <xdr:rowOff>187325</xdr:rowOff>
    </xdr:from>
    <xdr:to>
      <xdr:col>9</xdr:col>
      <xdr:colOff>26035</xdr:colOff>
      <xdr:row>77</xdr:row>
      <xdr:rowOff>73025</xdr:rowOff>
    </xdr:to>
    <xdr:graphicFrame>
      <xdr:nvGraphicFramePr>
        <xdr:cNvPr id="6" name="Chart 5"/>
        <xdr:cNvGraphicFramePr/>
      </xdr:nvGraphicFramePr>
      <xdr:xfrm>
        <a:off x="1188085" y="15579725"/>
        <a:ext cx="53435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7" name="Chart 6"/>
        <xdr:cNvGraphicFramePr/>
      </xdr:nvGraphicFramePr>
      <xdr:xfrm>
        <a:off x="628650" y="383406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4" name="Chart 3"/>
        <xdr:cNvGraphicFramePr/>
      </xdr:nvGraphicFramePr>
      <xdr:xfrm>
        <a:off x="628650" y="39645590"/>
        <a:ext cx="42957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56515</xdr:colOff>
      <xdr:row>64</xdr:row>
      <xdr:rowOff>85090</xdr:rowOff>
    </xdr:from>
    <xdr:to>
      <xdr:col>6</xdr:col>
      <xdr:colOff>837565</xdr:colOff>
      <xdr:row>78</xdr:row>
      <xdr:rowOff>161290</xdr:rowOff>
    </xdr:to>
    <xdr:graphicFrame>
      <xdr:nvGraphicFramePr>
        <xdr:cNvPr id="7" name="Chart 6"/>
        <xdr:cNvGraphicFramePr/>
      </xdr:nvGraphicFramePr>
      <xdr:xfrm>
        <a:off x="666115" y="174491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4</xdr:row>
      <xdr:rowOff>98425</xdr:rowOff>
    </xdr:from>
    <xdr:to>
      <xdr:col>13</xdr:col>
      <xdr:colOff>149225</xdr:colOff>
      <xdr:row>13</xdr:row>
      <xdr:rowOff>174625</xdr:rowOff>
    </xdr:to>
    <xdr:graphicFrame>
      <xdr:nvGraphicFramePr>
        <xdr:cNvPr id="3" name="Chart 2"/>
        <xdr:cNvGraphicFramePr/>
      </xdr:nvGraphicFramePr>
      <xdr:xfrm>
        <a:off x="5435600" y="1270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577850</xdr:colOff>
      <xdr:row>30</xdr:row>
      <xdr:rowOff>103505</xdr:rowOff>
    </xdr:from>
    <xdr:to>
      <xdr:col>8</xdr:col>
      <xdr:colOff>25400</xdr:colOff>
      <xdr:row>44</xdr:row>
      <xdr:rowOff>179705</xdr:rowOff>
    </xdr:to>
    <xdr:graphicFrame>
      <xdr:nvGraphicFramePr>
        <xdr:cNvPr id="2" name="Chart 1"/>
        <xdr:cNvGraphicFramePr/>
      </xdr:nvGraphicFramePr>
      <xdr:xfrm>
        <a:off x="577850" y="9466580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578485</xdr:colOff>
      <xdr:row>62</xdr:row>
      <xdr:rowOff>187325</xdr:rowOff>
    </xdr:from>
    <xdr:to>
      <xdr:col>9</xdr:col>
      <xdr:colOff>26035</xdr:colOff>
      <xdr:row>77</xdr:row>
      <xdr:rowOff>73025</xdr:rowOff>
    </xdr:to>
    <xdr:graphicFrame>
      <xdr:nvGraphicFramePr>
        <xdr:cNvPr id="3" name="Chart 2"/>
        <xdr:cNvGraphicFramePr/>
      </xdr:nvGraphicFramePr>
      <xdr:xfrm>
        <a:off x="1188085" y="17170400"/>
        <a:ext cx="4895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4" name="Chart 3"/>
        <xdr:cNvGraphicFramePr/>
      </xdr:nvGraphicFramePr>
      <xdr:xfrm>
        <a:off x="628650" y="39931340"/>
        <a:ext cx="38766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20320</xdr:colOff>
      <xdr:row>19</xdr:row>
      <xdr:rowOff>43180</xdr:rowOff>
    </xdr:from>
    <xdr:to>
      <xdr:col>21</xdr:col>
      <xdr:colOff>454025</xdr:colOff>
      <xdr:row>40</xdr:row>
      <xdr:rowOff>93345</xdr:rowOff>
    </xdr:to>
    <xdr:graphicFrame>
      <xdr:nvGraphicFramePr>
        <xdr:cNvPr id="2" name="Chart 1"/>
        <xdr:cNvGraphicFramePr/>
      </xdr:nvGraphicFramePr>
      <xdr:xfrm>
        <a:off x="6725920" y="8291830"/>
        <a:ext cx="6596380" cy="4050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577850</xdr:colOff>
      <xdr:row>30</xdr:row>
      <xdr:rowOff>1905</xdr:rowOff>
    </xdr:from>
    <xdr:to>
      <xdr:col>8</xdr:col>
      <xdr:colOff>25400</xdr:colOff>
      <xdr:row>44</xdr:row>
      <xdr:rowOff>78105</xdr:rowOff>
    </xdr:to>
    <xdr:graphicFrame>
      <xdr:nvGraphicFramePr>
        <xdr:cNvPr id="2" name="Chart 1"/>
        <xdr:cNvGraphicFramePr/>
      </xdr:nvGraphicFramePr>
      <xdr:xfrm>
        <a:off x="577850" y="8002905"/>
        <a:ext cx="535749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4" name="Chart 3"/>
        <xdr:cNvGraphicFramePr/>
      </xdr:nvGraphicFramePr>
      <xdr:xfrm>
        <a:off x="792480" y="38188265"/>
        <a:ext cx="41744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7" name="Chart 6"/>
        <xdr:cNvGraphicFramePr/>
      </xdr:nvGraphicFramePr>
      <xdr:xfrm>
        <a:off x="792480" y="38188265"/>
        <a:ext cx="417449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4445</xdr:colOff>
      <xdr:row>63</xdr:row>
      <xdr:rowOff>187960</xdr:rowOff>
    </xdr:from>
    <xdr:to>
      <xdr:col>8</xdr:col>
      <xdr:colOff>410845</xdr:colOff>
      <xdr:row>80</xdr:row>
      <xdr:rowOff>109855</xdr:rowOff>
    </xdr:to>
    <xdr:graphicFrame>
      <xdr:nvGraphicFramePr>
        <xdr:cNvPr id="8" name="Chart 7"/>
        <xdr:cNvGraphicFramePr/>
      </xdr:nvGraphicFramePr>
      <xdr:xfrm>
        <a:off x="777875" y="15618460"/>
        <a:ext cx="5542915" cy="3160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577850</xdr:colOff>
      <xdr:row>30</xdr:row>
      <xdr:rowOff>103505</xdr:rowOff>
    </xdr:from>
    <xdr:to>
      <xdr:col>8</xdr:col>
      <xdr:colOff>25400</xdr:colOff>
      <xdr:row>44</xdr:row>
      <xdr:rowOff>179705</xdr:rowOff>
    </xdr:to>
    <xdr:graphicFrame>
      <xdr:nvGraphicFramePr>
        <xdr:cNvPr id="2" name="Chart 1"/>
        <xdr:cNvGraphicFramePr/>
      </xdr:nvGraphicFramePr>
      <xdr:xfrm>
        <a:off x="577850" y="9085580"/>
        <a:ext cx="5991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4" name="Chart 3"/>
        <xdr:cNvGraphicFramePr/>
      </xdr:nvGraphicFramePr>
      <xdr:xfrm>
        <a:off x="628650" y="38121590"/>
        <a:ext cx="497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577850</xdr:colOff>
      <xdr:row>30</xdr:row>
      <xdr:rowOff>103505</xdr:rowOff>
    </xdr:from>
    <xdr:to>
      <xdr:col>8</xdr:col>
      <xdr:colOff>25400</xdr:colOff>
      <xdr:row>44</xdr:row>
      <xdr:rowOff>179705</xdr:rowOff>
    </xdr:to>
    <xdr:graphicFrame>
      <xdr:nvGraphicFramePr>
        <xdr:cNvPr id="5" name="Chart 4"/>
        <xdr:cNvGraphicFramePr/>
      </xdr:nvGraphicFramePr>
      <xdr:xfrm>
        <a:off x="577850" y="9085580"/>
        <a:ext cx="59912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178</xdr:row>
      <xdr:rowOff>40640</xdr:rowOff>
    </xdr:from>
    <xdr:to>
      <xdr:col>6</xdr:col>
      <xdr:colOff>523875</xdr:colOff>
      <xdr:row>192</xdr:row>
      <xdr:rowOff>116840</xdr:rowOff>
    </xdr:to>
    <xdr:graphicFrame>
      <xdr:nvGraphicFramePr>
        <xdr:cNvPr id="7" name="Chart 6"/>
        <xdr:cNvGraphicFramePr/>
      </xdr:nvGraphicFramePr>
      <xdr:xfrm>
        <a:off x="628650" y="38121590"/>
        <a:ext cx="49720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549275</xdr:colOff>
      <xdr:row>66</xdr:row>
      <xdr:rowOff>149225</xdr:rowOff>
    </xdr:from>
    <xdr:to>
      <xdr:col>18</xdr:col>
      <xdr:colOff>158750</xdr:colOff>
      <xdr:row>81</xdr:row>
      <xdr:rowOff>34925</xdr:rowOff>
    </xdr:to>
    <xdr:graphicFrame>
      <xdr:nvGraphicFramePr>
        <xdr:cNvPr id="11" name="Chart 10"/>
        <xdr:cNvGraphicFramePr/>
      </xdr:nvGraphicFramePr>
      <xdr:xfrm>
        <a:off x="9207500" y="163703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rbon economics 2.201910120456059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CID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COVE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OLYOL 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2"/>
  <sheetViews>
    <sheetView zoomScale="65" zoomScaleNormal="65" topLeftCell="A3" workbookViewId="0">
      <selection activeCell="D24" sqref="D24"/>
    </sheetView>
  </sheetViews>
  <sheetFormatPr defaultColWidth="9.14285714285714" defaultRowHeight="15"/>
  <cols>
    <col min="1" max="1" width="9" customWidth="1"/>
    <col min="3" max="3" width="19.8571428571429" customWidth="1"/>
    <col min="4" max="4" width="17.2857142857143"/>
    <col min="6" max="6" width="15.2857142857143" customWidth="1"/>
    <col min="7" max="7" width="8" customWidth="1"/>
    <col min="8" max="8" width="9" customWidth="1"/>
    <col min="9" max="9" width="12.5714285714286" customWidth="1"/>
    <col min="10" max="10" width="13.2857142857143" customWidth="1"/>
    <col min="11" max="11" width="8.71428571428571" customWidth="1"/>
    <col min="12" max="12" width="10.2857142857143" customWidth="1"/>
    <col min="13" max="13" width="11.1428571428571" customWidth="1"/>
    <col min="14" max="14" width="10" customWidth="1"/>
    <col min="15" max="15" width="12.8571428571429"/>
    <col min="16" max="16" width="14"/>
    <col min="18" max="18" width="14"/>
    <col min="20" max="20" width="12.8571428571429"/>
    <col min="21" max="21" width="14"/>
  </cols>
  <sheetData>
    <row r="1" ht="30" spans="1:18">
      <c r="A1" s="194" t="s">
        <v>0</v>
      </c>
      <c r="B1" s="264"/>
      <c r="C1" s="264"/>
      <c r="D1" s="264"/>
      <c r="E1" s="264"/>
      <c r="F1" s="264"/>
      <c r="G1" s="265"/>
      <c r="H1" s="80"/>
      <c r="I1" s="80"/>
      <c r="J1" s="80"/>
      <c r="K1" s="80"/>
      <c r="L1" s="125"/>
      <c r="M1" s="126"/>
      <c r="N1" s="57"/>
      <c r="R1" s="74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ht="15.75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1:15">
      <c r="A4" s="31"/>
      <c r="B4" s="31"/>
      <c r="C4" s="338" t="s">
        <v>1</v>
      </c>
      <c r="D4" s="339"/>
      <c r="E4" s="229"/>
      <c r="F4" s="229"/>
      <c r="G4" s="230"/>
      <c r="H4" s="31"/>
      <c r="I4" s="338" t="s">
        <v>2</v>
      </c>
      <c r="J4" s="229"/>
      <c r="K4" s="229"/>
      <c r="L4" s="229"/>
      <c r="M4" s="230"/>
      <c r="N4" s="31"/>
      <c r="O4" s="31"/>
    </row>
    <row r="5" spans="1:15">
      <c r="A5" s="31"/>
      <c r="B5" s="31"/>
      <c r="C5" s="99" t="s">
        <v>3</v>
      </c>
      <c r="D5" s="31"/>
      <c r="E5" s="31"/>
      <c r="F5" s="31">
        <f>2*10^6</f>
        <v>2000000</v>
      </c>
      <c r="G5" s="129"/>
      <c r="H5" s="31"/>
      <c r="I5" s="99" t="s">
        <v>4</v>
      </c>
      <c r="J5" s="31"/>
      <c r="K5" s="31"/>
      <c r="L5" s="31"/>
      <c r="M5" s="129"/>
      <c r="N5" s="31"/>
      <c r="O5" s="31"/>
    </row>
    <row r="6" spans="1:15">
      <c r="A6" s="31"/>
      <c r="B6" s="31"/>
      <c r="C6" s="99" t="s">
        <v>5</v>
      </c>
      <c r="D6" s="31"/>
      <c r="E6" s="31"/>
      <c r="F6" s="31">
        <f>4*10^6</f>
        <v>4000000</v>
      </c>
      <c r="G6" s="129"/>
      <c r="H6" s="31"/>
      <c r="I6" s="99" t="s">
        <v>6</v>
      </c>
      <c r="J6" s="31"/>
      <c r="K6" s="31"/>
      <c r="L6" s="31"/>
      <c r="M6" s="129">
        <v>100</v>
      </c>
      <c r="N6" s="31"/>
      <c r="O6" s="31"/>
    </row>
    <row r="7" spans="1:15">
      <c r="A7" s="31"/>
      <c r="B7" s="31"/>
      <c r="C7" s="99"/>
      <c r="D7" s="31"/>
      <c r="E7" s="31"/>
      <c r="F7" s="31"/>
      <c r="G7" s="129"/>
      <c r="H7" s="31"/>
      <c r="I7" s="99" t="s">
        <v>7</v>
      </c>
      <c r="J7" s="31"/>
      <c r="K7" s="31"/>
      <c r="L7" s="31"/>
      <c r="M7" s="129">
        <f>40000*4000/4000</f>
        <v>40000</v>
      </c>
      <c r="N7" s="31"/>
      <c r="O7" s="31"/>
    </row>
    <row r="8" ht="15.75" spans="1:15">
      <c r="A8" s="31"/>
      <c r="B8" s="31"/>
      <c r="C8" s="340" t="s">
        <v>8</v>
      </c>
      <c r="D8" s="341"/>
      <c r="E8" s="341"/>
      <c r="F8" s="342">
        <f>SUM(F5:F7)*4000/(10^6*4000)</f>
        <v>6</v>
      </c>
      <c r="G8" s="343"/>
      <c r="H8" s="31"/>
      <c r="I8" s="340" t="s">
        <v>8</v>
      </c>
      <c r="J8" s="341"/>
      <c r="K8" s="341"/>
      <c r="L8" s="341"/>
      <c r="M8" s="349">
        <f>3*4000/4000</f>
        <v>3</v>
      </c>
      <c r="N8" s="31"/>
      <c r="O8" s="31"/>
    </row>
    <row r="9" spans="1: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ht="15.75" spans="1: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</row>
    <row r="11" spans="1:15">
      <c r="A11" s="31"/>
      <c r="B11" s="31"/>
      <c r="C11" s="338" t="s">
        <v>9</v>
      </c>
      <c r="D11" s="339"/>
      <c r="E11" s="339"/>
      <c r="F11" s="229"/>
      <c r="G11" s="230"/>
      <c r="H11" s="31"/>
      <c r="I11" s="213" t="s">
        <v>10</v>
      </c>
      <c r="J11" s="31"/>
      <c r="K11" s="31"/>
      <c r="L11" s="31"/>
      <c r="M11" s="31"/>
      <c r="N11" s="31"/>
      <c r="O11" s="31"/>
    </row>
    <row r="12" spans="1:15">
      <c r="A12" s="31"/>
      <c r="B12" s="31"/>
      <c r="C12" s="344" t="s">
        <v>11</v>
      </c>
      <c r="D12" s="108"/>
      <c r="E12" s="31"/>
      <c r="F12" s="345">
        <f>800000</f>
        <v>800000</v>
      </c>
      <c r="G12" s="129" t="s">
        <v>12</v>
      </c>
      <c r="H12" s="31"/>
      <c r="I12" s="350" t="s">
        <v>13</v>
      </c>
      <c r="J12" s="350"/>
      <c r="K12" s="350">
        <f>4</f>
        <v>4</v>
      </c>
      <c r="L12" s="350" t="s">
        <v>14</v>
      </c>
      <c r="M12" s="31"/>
      <c r="N12" s="31"/>
      <c r="O12" s="31"/>
    </row>
    <row r="13" ht="45.75" spans="1:15">
      <c r="A13" s="31"/>
      <c r="B13" s="31"/>
      <c r="C13" s="99" t="s">
        <v>15</v>
      </c>
      <c r="D13" s="31"/>
      <c r="E13" s="31"/>
      <c r="F13" s="345">
        <v>35</v>
      </c>
      <c r="G13" s="346" t="s">
        <v>16</v>
      </c>
      <c r="H13" s="31"/>
      <c r="I13" s="31"/>
      <c r="J13" s="31"/>
      <c r="K13" s="31"/>
      <c r="L13" s="31"/>
      <c r="M13" s="31"/>
      <c r="N13" s="31"/>
      <c r="O13" s="31"/>
    </row>
    <row r="14" ht="45" spans="1:15">
      <c r="A14" s="31"/>
      <c r="B14" s="31"/>
      <c r="C14" s="99" t="s">
        <v>17</v>
      </c>
      <c r="D14" s="31"/>
      <c r="E14" s="31"/>
      <c r="F14" s="31">
        <f>4000</f>
        <v>4000</v>
      </c>
      <c r="G14" s="346" t="s">
        <v>18</v>
      </c>
      <c r="H14" s="31"/>
      <c r="I14" s="338" t="s">
        <v>19</v>
      </c>
      <c r="J14" s="229"/>
      <c r="K14" s="230"/>
      <c r="L14" s="31"/>
      <c r="M14" s="31"/>
      <c r="N14" s="31"/>
      <c r="O14" s="31"/>
    </row>
    <row r="15" spans="1:15">
      <c r="A15" s="31"/>
      <c r="B15" s="31"/>
      <c r="C15" s="99" t="s">
        <v>20</v>
      </c>
      <c r="D15" s="31"/>
      <c r="E15" s="31"/>
      <c r="F15" s="345">
        <f>1660000-1000000</f>
        <v>660000</v>
      </c>
      <c r="G15" s="129" t="s">
        <v>12</v>
      </c>
      <c r="H15" s="31"/>
      <c r="I15" s="99" t="s">
        <v>21</v>
      </c>
      <c r="J15" s="105"/>
      <c r="K15" s="351">
        <f>20%</f>
        <v>0.2</v>
      </c>
      <c r="L15" s="31"/>
      <c r="M15" s="31"/>
      <c r="N15" s="31"/>
      <c r="O15" s="31"/>
    </row>
    <row r="16" ht="45.75" spans="1:15">
      <c r="A16" s="31"/>
      <c r="B16" s="31"/>
      <c r="C16" s="99" t="s">
        <v>22</v>
      </c>
      <c r="D16" s="31"/>
      <c r="E16" s="31"/>
      <c r="F16" s="345">
        <f>300000</f>
        <v>300000</v>
      </c>
      <c r="G16" s="346" t="s">
        <v>23</v>
      </c>
      <c r="H16" s="31"/>
      <c r="I16" s="100" t="s">
        <v>24</v>
      </c>
      <c r="J16" s="134"/>
      <c r="K16" s="343">
        <f>10%</f>
        <v>0.1</v>
      </c>
      <c r="L16" s="31"/>
      <c r="M16" s="31"/>
      <c r="N16" s="31"/>
      <c r="O16" s="31"/>
    </row>
    <row r="17" ht="15.75" spans="1:15">
      <c r="A17" s="31"/>
      <c r="B17" s="31"/>
      <c r="C17" s="340" t="s">
        <v>25</v>
      </c>
      <c r="D17" s="341"/>
      <c r="E17" s="341"/>
      <c r="F17" s="342">
        <f>(((F13*F14)+F15+F16+F12)*4000/(10^6*4000))-0.2</f>
        <v>1.7</v>
      </c>
      <c r="G17" s="343" t="s">
        <v>12</v>
      </c>
      <c r="H17" s="31"/>
      <c r="I17" s="31"/>
      <c r="J17" s="31"/>
      <c r="K17" s="31"/>
      <c r="L17" s="31"/>
      <c r="M17" s="31"/>
      <c r="N17" s="31"/>
      <c r="O17" s="31"/>
    </row>
    <row r="18" spans="1:15">
      <c r="A18" s="31"/>
      <c r="B18" s="31"/>
      <c r="C18" s="108"/>
      <c r="D18" s="108"/>
      <c r="E18" s="108"/>
      <c r="F18" s="31"/>
      <c r="G18" s="31"/>
      <c r="H18" s="31"/>
      <c r="I18" s="31"/>
      <c r="J18" s="31"/>
      <c r="K18" s="31"/>
      <c r="L18" s="31"/>
      <c r="M18" s="31"/>
      <c r="N18" s="31"/>
      <c r="O18" s="31"/>
    </row>
    <row r="19" spans="1:15">
      <c r="A19" s="31"/>
      <c r="B19" s="31"/>
      <c r="C19" s="90"/>
      <c r="D19" s="183"/>
      <c r="E19" s="90"/>
      <c r="F19" s="31"/>
      <c r="G19" s="31"/>
      <c r="H19" s="31"/>
      <c r="I19" s="31"/>
      <c r="J19" s="31"/>
      <c r="K19" s="31"/>
      <c r="L19" s="31"/>
      <c r="M19" s="31"/>
      <c r="N19" s="31"/>
      <c r="O19" s="31"/>
    </row>
    <row r="20" spans="1:15">
      <c r="A20" s="31"/>
      <c r="B20" s="31"/>
      <c r="C20" s="90"/>
      <c r="D20" s="220"/>
      <c r="E20" s="90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>
      <c r="A21" s="31"/>
      <c r="B21" s="31"/>
      <c r="C21" s="221" t="s">
        <v>26</v>
      </c>
      <c r="D21" s="221"/>
      <c r="E21" s="222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>
      <c r="A22" s="31"/>
      <c r="B22" s="31"/>
      <c r="C22" s="223" t="s">
        <v>27</v>
      </c>
      <c r="D22" s="269">
        <f>'MINERAL CARBONATION 2'!P25</f>
        <v>5.02282052676524</v>
      </c>
      <c r="E22" s="223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>
      <c r="A23" s="31"/>
      <c r="B23" s="31"/>
      <c r="C23" s="223" t="s">
        <v>28</v>
      </c>
      <c r="D23" s="347">
        <f>IRR('MINERAL CARBONATION 2'!M4:M24)</f>
        <v>0.596471161953289</v>
      </c>
      <c r="E23" s="223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>
      <c r="A24" s="31"/>
      <c r="B24" s="31"/>
      <c r="C24" s="223" t="s">
        <v>29</v>
      </c>
      <c r="D24" s="348">
        <f>D22/F8</f>
        <v>0.837136754460874</v>
      </c>
      <c r="E24" s="223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>
      <c r="A25" s="31"/>
      <c r="B25" s="31"/>
      <c r="C25" s="223" t="s">
        <v>30</v>
      </c>
      <c r="D25" s="348">
        <f>1+D24</f>
        <v>1.83713675446087</v>
      </c>
      <c r="E25" s="223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>
      <c r="A26" s="31"/>
      <c r="B26" s="31"/>
      <c r="C26" s="223" t="s">
        <v>31</v>
      </c>
      <c r="D26" s="271">
        <f>'MINERAL CARBONATION 3'!D56</f>
        <v>4.69176365384615</v>
      </c>
      <c r="E26" s="223" t="s">
        <v>14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>
      <c r="A27" s="31"/>
      <c r="B27" s="31"/>
      <c r="C27" s="227" t="s">
        <v>32</v>
      </c>
      <c r="D27" s="272">
        <f>'MINERAL CARBONATION 3'!C123</f>
        <v>76.7593113444953</v>
      </c>
      <c r="E27" s="227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1" spans="1: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</row>
    <row r="32" spans="1: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zoomScale="59" zoomScaleNormal="59" workbookViewId="0">
      <selection activeCell="C21" sqref="C21:D27"/>
    </sheetView>
  </sheetViews>
  <sheetFormatPr defaultColWidth="9.14285714285714" defaultRowHeight="15"/>
  <cols>
    <col min="3" max="3" width="25.5714285714286" customWidth="1"/>
    <col min="4" max="4" width="10.847619047619" customWidth="1"/>
    <col min="5" max="5" width="17.2857142857143" customWidth="1"/>
    <col min="6" max="6" width="15.2857142857143" customWidth="1"/>
    <col min="12" max="13" width="12.8571428571429"/>
  </cols>
  <sheetData>
    <row r="1" ht="30" spans="1:13">
      <c r="A1" s="194" t="s">
        <v>130</v>
      </c>
      <c r="B1" s="264"/>
      <c r="C1" s="264"/>
      <c r="D1" s="264"/>
      <c r="E1" s="264"/>
      <c r="F1" s="265"/>
      <c r="G1" s="80"/>
      <c r="H1" s="80"/>
      <c r="I1" s="80"/>
      <c r="J1" s="80"/>
      <c r="K1" s="125"/>
      <c r="L1" s="126"/>
      <c r="M1" s="57"/>
    </row>
    <row r="2" spans="1:13">
      <c r="A2" s="31"/>
      <c r="B2" s="33" t="s">
        <v>131</v>
      </c>
      <c r="C2" s="33"/>
      <c r="D2" s="33"/>
      <c r="E2" s="33"/>
      <c r="F2" s="217">
        <f>1400000</f>
        <v>1400000</v>
      </c>
      <c r="G2" s="31"/>
      <c r="H2" s="31"/>
      <c r="I2" s="31"/>
      <c r="J2" s="31"/>
      <c r="K2" s="31"/>
      <c r="L2" s="31"/>
      <c r="M2" s="31"/>
    </row>
    <row r="3" ht="15.75" spans="1:13">
      <c r="A3" s="31"/>
      <c r="B3" s="33" t="s">
        <v>132</v>
      </c>
      <c r="C3" s="69"/>
      <c r="D3" s="33"/>
      <c r="E3" s="33"/>
      <c r="F3" s="217">
        <v>2500000</v>
      </c>
      <c r="G3" s="31"/>
      <c r="H3" s="31"/>
      <c r="I3" s="31"/>
      <c r="J3" s="31"/>
      <c r="K3" s="31"/>
      <c r="L3" s="31"/>
      <c r="M3" s="31"/>
    </row>
    <row r="4" spans="1:13">
      <c r="A4" s="31"/>
      <c r="B4" s="33" t="s">
        <v>133</v>
      </c>
      <c r="C4" s="33"/>
      <c r="D4" s="33"/>
      <c r="E4" s="33"/>
      <c r="F4" s="217">
        <f>1500000</f>
        <v>1500000</v>
      </c>
      <c r="G4" s="31"/>
      <c r="H4" s="203" t="s">
        <v>2</v>
      </c>
      <c r="I4" s="229"/>
      <c r="J4" s="229"/>
      <c r="K4" s="229"/>
      <c r="L4" s="230"/>
      <c r="M4" s="230"/>
    </row>
    <row r="5" spans="1:13">
      <c r="A5" s="31"/>
      <c r="B5" s="33" t="s">
        <v>134</v>
      </c>
      <c r="C5" s="33"/>
      <c r="D5" s="33"/>
      <c r="E5" s="33"/>
      <c r="F5" s="217">
        <f>1000000</f>
        <v>1000000</v>
      </c>
      <c r="G5" s="31"/>
      <c r="H5" s="99"/>
      <c r="I5" s="31"/>
      <c r="J5" s="31"/>
      <c r="K5" s="31"/>
      <c r="L5" s="129"/>
      <c r="M5" s="129"/>
    </row>
    <row r="6" spans="1:13">
      <c r="A6" s="31"/>
      <c r="B6" s="33" t="s">
        <v>5</v>
      </c>
      <c r="C6" s="33"/>
      <c r="D6" s="33"/>
      <c r="E6" s="33"/>
      <c r="F6" s="217">
        <f>5000000</f>
        <v>5000000</v>
      </c>
      <c r="G6" s="31"/>
      <c r="H6" s="99" t="s">
        <v>103</v>
      </c>
      <c r="I6" s="31"/>
      <c r="J6" s="31"/>
      <c r="K6" s="31"/>
      <c r="L6" s="129">
        <f>5000</f>
        <v>5000</v>
      </c>
      <c r="M6" s="129">
        <f>5000*4000/1100</f>
        <v>18181.8181818182</v>
      </c>
    </row>
    <row r="7" spans="1:13">
      <c r="A7" s="31"/>
      <c r="B7" s="69" t="s">
        <v>135</v>
      </c>
      <c r="C7" s="69"/>
      <c r="D7" s="69"/>
      <c r="E7" s="266"/>
      <c r="F7" s="217">
        <v>3600000</v>
      </c>
      <c r="G7" s="31"/>
      <c r="H7" s="99"/>
      <c r="I7" s="31"/>
      <c r="J7" s="31"/>
      <c r="K7" s="129" t="s">
        <v>136</v>
      </c>
      <c r="L7" s="231">
        <f>1350</f>
        <v>1350</v>
      </c>
      <c r="M7" s="129"/>
    </row>
    <row r="8" spans="1:13">
      <c r="A8" s="31"/>
      <c r="B8" s="188" t="s">
        <v>25</v>
      </c>
      <c r="C8" s="188"/>
      <c r="D8" s="188"/>
      <c r="E8" s="188"/>
      <c r="F8" s="219">
        <f>SUM(F2:F7)*1100/1100</f>
        <v>15000000</v>
      </c>
      <c r="G8" s="31"/>
      <c r="H8" s="210" t="s">
        <v>25</v>
      </c>
      <c r="I8" s="232"/>
      <c r="J8" s="232"/>
      <c r="K8" s="232"/>
      <c r="L8" s="233">
        <f>L6*L7</f>
        <v>6750000</v>
      </c>
      <c r="M8" s="233">
        <f>SUM(M5:M7)</f>
        <v>18181.8181818182</v>
      </c>
    </row>
    <row r="9" spans="1:13">
      <c r="A9" s="31"/>
      <c r="B9" s="31"/>
      <c r="C9" s="31"/>
      <c r="D9" s="31"/>
      <c r="E9" s="31"/>
      <c r="F9" s="31"/>
      <c r="G9" s="31"/>
      <c r="H9" s="31" t="s">
        <v>120</v>
      </c>
      <c r="I9" s="31"/>
      <c r="J9" s="31"/>
      <c r="K9" s="31"/>
      <c r="L9" s="31">
        <f>L7</f>
        <v>1350</v>
      </c>
      <c r="M9" s="31"/>
    </row>
    <row r="10" spans="1:13">
      <c r="A10" s="31"/>
      <c r="B10" s="35" t="s">
        <v>104</v>
      </c>
      <c r="C10" s="35"/>
      <c r="D10" s="33"/>
      <c r="E10" s="33"/>
      <c r="F10" s="33"/>
      <c r="G10" s="90"/>
      <c r="H10" s="31"/>
      <c r="I10" s="31"/>
      <c r="J10" s="31"/>
      <c r="K10" s="31"/>
      <c r="L10" s="31"/>
      <c r="M10" s="31"/>
    </row>
    <row r="11" spans="1:13">
      <c r="A11" s="31"/>
      <c r="B11" s="69" t="s">
        <v>15</v>
      </c>
      <c r="C11" s="69"/>
      <c r="D11" s="69"/>
      <c r="E11" s="33" t="s">
        <v>121</v>
      </c>
      <c r="F11" s="33">
        <v>1100</v>
      </c>
      <c r="G11" s="90"/>
      <c r="H11" s="211" t="s">
        <v>10</v>
      </c>
      <c r="I11" s="31"/>
      <c r="J11" s="31"/>
      <c r="K11" s="31"/>
      <c r="L11" s="31"/>
      <c r="M11" s="31"/>
    </row>
    <row r="12" spans="1:13">
      <c r="A12" s="31"/>
      <c r="B12" s="69" t="s">
        <v>122</v>
      </c>
      <c r="C12" s="69"/>
      <c r="D12" s="69"/>
      <c r="E12" s="33" t="s">
        <v>137</v>
      </c>
      <c r="F12" s="217">
        <v>35</v>
      </c>
      <c r="G12" s="90"/>
      <c r="H12" s="213" t="s">
        <v>13</v>
      </c>
      <c r="I12" s="213"/>
      <c r="J12" s="213"/>
      <c r="K12" s="213">
        <v>4</v>
      </c>
      <c r="L12" s="213" t="s">
        <v>14</v>
      </c>
      <c r="M12" s="31"/>
    </row>
    <row r="13" spans="1:13">
      <c r="A13" s="31"/>
      <c r="B13" s="69" t="s">
        <v>106</v>
      </c>
      <c r="C13" s="69"/>
      <c r="D13" s="69"/>
      <c r="E13" s="33" t="s">
        <v>124</v>
      </c>
      <c r="F13" s="33">
        <v>1</v>
      </c>
      <c r="G13" s="90"/>
      <c r="H13" s="31"/>
      <c r="I13" s="31"/>
      <c r="J13" s="31"/>
      <c r="K13" s="31"/>
      <c r="L13" s="31"/>
      <c r="M13" s="31"/>
    </row>
    <row r="14" spans="1:13">
      <c r="A14" s="31"/>
      <c r="B14" s="33" t="s">
        <v>125</v>
      </c>
      <c r="C14" s="33"/>
      <c r="D14" s="33"/>
      <c r="E14" s="267" t="s">
        <v>126</v>
      </c>
      <c r="F14" s="217">
        <v>1027</v>
      </c>
      <c r="G14" s="98"/>
      <c r="H14" s="215" t="s">
        <v>19</v>
      </c>
      <c r="I14" s="234"/>
      <c r="J14" s="234"/>
      <c r="K14" s="235"/>
      <c r="L14" s="31"/>
      <c r="M14" s="31"/>
    </row>
    <row r="15" spans="1:13">
      <c r="A15" s="31"/>
      <c r="B15" s="33" t="s">
        <v>107</v>
      </c>
      <c r="C15" s="33"/>
      <c r="D15" s="33"/>
      <c r="E15" s="33"/>
      <c r="F15" s="268">
        <v>20000</v>
      </c>
      <c r="G15" s="90"/>
      <c r="H15" s="216" t="s">
        <v>21</v>
      </c>
      <c r="I15" s="105"/>
      <c r="J15" s="90"/>
      <c r="K15" s="236">
        <f>20%</f>
        <v>0.2</v>
      </c>
      <c r="L15" s="31"/>
      <c r="M15" s="31"/>
    </row>
    <row r="16" spans="1:13">
      <c r="A16" s="31"/>
      <c r="B16" s="33" t="s">
        <v>108</v>
      </c>
      <c r="C16" s="33"/>
      <c r="D16" s="33"/>
      <c r="E16" s="33"/>
      <c r="F16" s="217">
        <f>3000000</f>
        <v>3000000</v>
      </c>
      <c r="G16" s="90"/>
      <c r="H16" s="218" t="s">
        <v>24</v>
      </c>
      <c r="I16" s="237"/>
      <c r="J16" s="273"/>
      <c r="K16" s="238">
        <f>10%</f>
        <v>0.1</v>
      </c>
      <c r="L16" s="31"/>
      <c r="M16" s="31"/>
    </row>
    <row r="17" spans="1:13">
      <c r="A17" s="31"/>
      <c r="B17" s="188" t="s">
        <v>25</v>
      </c>
      <c r="C17" s="188"/>
      <c r="D17" s="188"/>
      <c r="E17" s="188" t="s">
        <v>12</v>
      </c>
      <c r="F17" s="219">
        <f>((F11*F12)+(F13*F14*1000)+SUM(F15:F16))</f>
        <v>4085500</v>
      </c>
      <c r="G17" s="90"/>
      <c r="H17" s="31"/>
      <c r="I17" s="31"/>
      <c r="J17" s="31"/>
      <c r="K17" s="31"/>
      <c r="L17" s="31"/>
      <c r="M17" s="31"/>
    </row>
    <row r="18" spans="1:13">
      <c r="A18" s="31"/>
      <c r="B18" s="108"/>
      <c r="C18" s="108"/>
      <c r="D18" s="108"/>
      <c r="E18" s="31"/>
      <c r="F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90"/>
      <c r="C19" s="183"/>
      <c r="D19" s="90"/>
      <c r="E19" s="31"/>
      <c r="F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90"/>
      <c r="C20" s="220"/>
      <c r="D20" s="90"/>
      <c r="E20" s="31"/>
      <c r="F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112"/>
      <c r="C21" s="221" t="s">
        <v>26</v>
      </c>
      <c r="D21" s="221"/>
      <c r="E21" s="222"/>
      <c r="F21" s="31"/>
      <c r="G21" s="31"/>
      <c r="H21" s="108"/>
      <c r="I21" s="108"/>
      <c r="J21" s="108"/>
      <c r="K21" s="31"/>
      <c r="L21" s="31"/>
      <c r="M21" s="31"/>
    </row>
    <row r="22" spans="1:13">
      <c r="A22" s="31"/>
      <c r="B22" s="112"/>
      <c r="C22" s="223" t="s">
        <v>27</v>
      </c>
      <c r="D22" s="269">
        <f>'POLYOL 2'!P25</f>
        <v>8.28062727064526</v>
      </c>
      <c r="E22" s="223"/>
      <c r="F22" s="31"/>
      <c r="G22" s="31"/>
      <c r="H22" s="108"/>
      <c r="I22" s="108"/>
      <c r="J22" s="108"/>
      <c r="K22" s="31"/>
      <c r="L22" s="31"/>
      <c r="M22" s="31"/>
    </row>
    <row r="23" spans="1:13">
      <c r="A23" s="31"/>
      <c r="B23" s="112"/>
      <c r="C23" s="223" t="s">
        <v>28</v>
      </c>
      <c r="D23" s="270">
        <f>IRR('POLYOL 2'!M5:M24)</f>
        <v>0.322726383290189</v>
      </c>
      <c r="E23" s="223"/>
      <c r="F23" s="31"/>
      <c r="G23" s="31"/>
      <c r="H23" s="108"/>
      <c r="I23" s="108"/>
      <c r="J23" s="108"/>
      <c r="K23" s="31"/>
      <c r="L23" s="31"/>
      <c r="M23" s="31"/>
    </row>
    <row r="24" spans="1:13">
      <c r="A24" s="31"/>
      <c r="B24" s="112"/>
      <c r="C24" s="223" t="s">
        <v>29</v>
      </c>
      <c r="D24" s="223">
        <f>D22/F8*10^6</f>
        <v>0.552041818043017</v>
      </c>
      <c r="E24" s="223"/>
      <c r="F24" s="31"/>
      <c r="G24" s="31"/>
      <c r="H24" s="108"/>
      <c r="I24" s="108"/>
      <c r="J24" s="108"/>
      <c r="K24" s="31"/>
      <c r="L24" s="31"/>
      <c r="M24" s="31"/>
    </row>
    <row r="25" spans="1:13">
      <c r="A25" s="31"/>
      <c r="B25" s="112"/>
      <c r="C25" s="223" t="s">
        <v>30</v>
      </c>
      <c r="D25" s="223">
        <f>1+D24</f>
        <v>1.55204181804302</v>
      </c>
      <c r="E25" s="223"/>
      <c r="F25" s="31"/>
      <c r="G25" s="31"/>
      <c r="H25" s="31"/>
      <c r="I25" s="31"/>
      <c r="J25" s="31"/>
      <c r="K25" s="31"/>
      <c r="L25" s="31"/>
      <c r="M25" s="31"/>
    </row>
    <row r="26" spans="1:13">
      <c r="A26" s="31"/>
      <c r="B26" s="112"/>
      <c r="C26" s="223" t="s">
        <v>31</v>
      </c>
      <c r="D26" s="271">
        <f>'POLYOL 3'!D56</f>
        <v>6.53317419802027</v>
      </c>
      <c r="E26" s="223" t="s">
        <v>14</v>
      </c>
      <c r="F26" s="31"/>
      <c r="G26" s="31"/>
      <c r="H26" s="31"/>
      <c r="I26" s="31"/>
      <c r="J26" s="31"/>
      <c r="K26" s="31"/>
      <c r="L26" s="31"/>
      <c r="M26" s="31"/>
    </row>
    <row r="27" spans="1:13">
      <c r="A27" s="31"/>
      <c r="B27" s="31"/>
      <c r="C27" s="227" t="s">
        <v>32</v>
      </c>
      <c r="D27" s="272">
        <f>'POLYOL 3'!C123</f>
        <v>1126.56494781309</v>
      </c>
      <c r="E27" s="227"/>
      <c r="F27" s="31"/>
      <c r="G27" s="31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  <row r="31" spans="1:13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</row>
    <row r="32" spans="1:13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</row>
    <row r="33" spans="1:1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zoomScale="64" zoomScaleNormal="64" workbookViewId="0">
      <selection activeCell="A3" sqref="A3:Q25"/>
    </sheetView>
  </sheetViews>
  <sheetFormatPr defaultColWidth="9.14285714285714" defaultRowHeight="15"/>
  <cols>
    <col min="2" max="2" width="12.8571428571429"/>
    <col min="4" max="4" width="14"/>
    <col min="5" max="6" width="12.8571428571429"/>
    <col min="7" max="7" width="9.57142857142857"/>
    <col min="9" max="11" width="14"/>
    <col min="12" max="12" width="12.8571428571429"/>
    <col min="13" max="14" width="14"/>
    <col min="15" max="15" width="12.8571428571429"/>
    <col min="17" max="17" width="10.4285714285714"/>
  </cols>
  <sheetData>
    <row r="1" ht="30" spans="1:14">
      <c r="A1" s="56" t="s">
        <v>138</v>
      </c>
      <c r="B1" s="57"/>
      <c r="C1" s="57"/>
      <c r="D1" s="57"/>
      <c r="E1" s="57"/>
      <c r="F1" s="57"/>
      <c r="G1" s="57"/>
      <c r="H1" s="57"/>
      <c r="I1" s="57"/>
      <c r="J1" s="65"/>
      <c r="K1" s="65"/>
      <c r="L1" s="65"/>
      <c r="M1" s="65"/>
      <c r="N1" s="65"/>
    </row>
    <row r="3" ht="75" spans="1:17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45</v>
      </c>
      <c r="M3" s="67" t="s">
        <v>46</v>
      </c>
      <c r="N3" s="67" t="s">
        <v>47</v>
      </c>
      <c r="O3" s="67" t="s">
        <v>48</v>
      </c>
      <c r="P3" s="67" t="s">
        <v>49</v>
      </c>
      <c r="Q3" s="67" t="s">
        <v>50</v>
      </c>
    </row>
    <row r="4" spans="1:17">
      <c r="A4" s="60">
        <v>0</v>
      </c>
      <c r="B4" s="61"/>
      <c r="C4" s="62"/>
      <c r="D4" s="63"/>
      <c r="E4" s="62"/>
      <c r="F4" s="62"/>
      <c r="G4" s="62">
        <f>POLYOL!F8</f>
        <v>15000000</v>
      </c>
      <c r="H4" s="62"/>
      <c r="I4" s="62"/>
      <c r="J4" s="62"/>
      <c r="K4" s="33">
        <f t="shared" ref="K4:K9" si="0">J4</f>
        <v>0</v>
      </c>
      <c r="L4" s="68">
        <f>IF(K4&gt;0,K4*POLYOL!$K$15,0)</f>
        <v>0</v>
      </c>
      <c r="M4" s="33">
        <f>I4-L4</f>
        <v>0</v>
      </c>
      <c r="N4" s="33">
        <v>0</v>
      </c>
      <c r="O4" s="33">
        <f>(1+POLYOL!$K$16)^-A4</f>
        <v>1</v>
      </c>
      <c r="P4" s="69">
        <f>N4*O4</f>
        <v>0</v>
      </c>
      <c r="Q4" s="72">
        <f>P4</f>
        <v>0</v>
      </c>
    </row>
    <row r="5" spans="1:17">
      <c r="A5" s="35">
        <v>1</v>
      </c>
      <c r="B5" s="250">
        <f>POLYOL!$L$6</f>
        <v>5000</v>
      </c>
      <c r="C5" s="33">
        <f>POLYOL!$L$7</f>
        <v>1350</v>
      </c>
      <c r="D5" s="64">
        <f>B5*C5/10^6</f>
        <v>6.75</v>
      </c>
      <c r="E5" s="64">
        <f>POLYOL!$F$17/10^6</f>
        <v>4.0855</v>
      </c>
      <c r="F5" s="64">
        <f>D5-E5</f>
        <v>2.6645</v>
      </c>
      <c r="G5" s="33"/>
      <c r="H5" s="33">
        <f>POLYOL!$F$8/POLYOL!$K$12/10^6</f>
        <v>3.75</v>
      </c>
      <c r="I5" s="64">
        <f>F5-H5</f>
        <v>-1.0855</v>
      </c>
      <c r="J5" s="64">
        <f>I5</f>
        <v>-1.0855</v>
      </c>
      <c r="K5" s="64">
        <f t="shared" si="0"/>
        <v>-1.0855</v>
      </c>
      <c r="L5" s="68">
        <f>IF(K5&gt;0,K5*POLYOL!$K$15,0)</f>
        <v>0</v>
      </c>
      <c r="M5" s="64">
        <f>I5-L5</f>
        <v>-1.0855</v>
      </c>
      <c r="N5" s="64">
        <f>N4+M5</f>
        <v>-1.0855</v>
      </c>
      <c r="O5" s="64">
        <f>(1+POLYOL!$K$16)^-A5</f>
        <v>0.909090909090909</v>
      </c>
      <c r="P5" s="70">
        <f t="shared" ref="P5:P24" si="1">M5*O5</f>
        <v>-0.986818181818181</v>
      </c>
      <c r="Q5" s="73">
        <f t="shared" ref="Q5:Q24" si="2">Q4+P5</f>
        <v>-0.986818181818181</v>
      </c>
    </row>
    <row r="6" spans="1:17">
      <c r="A6" s="60">
        <v>2</v>
      </c>
      <c r="B6" s="250">
        <f>POLYOL!$L$6</f>
        <v>5000</v>
      </c>
      <c r="C6" s="33">
        <f>$C$5</f>
        <v>1350</v>
      </c>
      <c r="D6" s="64">
        <f t="shared" ref="D6:D24" si="3">B6*C6/10^6</f>
        <v>6.75</v>
      </c>
      <c r="E6" s="64">
        <f>POLYOL!$F$17/10^6</f>
        <v>4.0855</v>
      </c>
      <c r="F6" s="64">
        <f t="shared" ref="F6:F24" si="4">D6-E6</f>
        <v>2.6645</v>
      </c>
      <c r="G6" s="33"/>
      <c r="H6" s="33">
        <f>POLYOL!$F$8/POLYOL!$K$12/10^6</f>
        <v>3.75</v>
      </c>
      <c r="I6" s="64">
        <f t="shared" ref="I6:I24" si="5">F6-H6</f>
        <v>-1.0855</v>
      </c>
      <c r="J6" s="64">
        <f>IF((J5+I6)&lt;0,(J5+I6),0)</f>
        <v>-2.171</v>
      </c>
      <c r="K6" s="64">
        <f t="shared" si="0"/>
        <v>-2.171</v>
      </c>
      <c r="L6" s="68">
        <f>IF(K6&gt;0,K6*POLYOL!$K$15,0)</f>
        <v>0</v>
      </c>
      <c r="M6" s="64">
        <f t="shared" ref="M6:M24" si="6">I6-L6</f>
        <v>-1.0855</v>
      </c>
      <c r="N6" s="64">
        <f t="shared" ref="N6:N24" si="7">N5+M6</f>
        <v>-2.171</v>
      </c>
      <c r="O6" s="64">
        <f>(1+POLYOL!$K$16)^-A6</f>
        <v>0.826446280991735</v>
      </c>
      <c r="P6" s="70">
        <f t="shared" si="1"/>
        <v>-0.897107438016528</v>
      </c>
      <c r="Q6" s="73">
        <f t="shared" si="2"/>
        <v>-1.88392561983471</v>
      </c>
    </row>
    <row r="7" spans="1:17">
      <c r="A7" s="35">
        <v>3</v>
      </c>
      <c r="B7" s="250">
        <f>POLYOL!$L$6</f>
        <v>5000</v>
      </c>
      <c r="C7" s="33">
        <f>$C$5</f>
        <v>1350</v>
      </c>
      <c r="D7" s="64">
        <f t="shared" si="3"/>
        <v>6.75</v>
      </c>
      <c r="E7" s="64">
        <f>POLYOL!$F$17/10^6</f>
        <v>4.0855</v>
      </c>
      <c r="F7" s="64">
        <f t="shared" si="4"/>
        <v>2.6645</v>
      </c>
      <c r="G7" s="33"/>
      <c r="H7" s="33">
        <f>POLYOL!$F$8/POLYOL!$K$12/10^6</f>
        <v>3.75</v>
      </c>
      <c r="I7" s="64">
        <f t="shared" si="5"/>
        <v>-1.0855</v>
      </c>
      <c r="J7" s="64">
        <f>IF((J6+I7)&lt;0,(J6+I7),0)</f>
        <v>-3.2565</v>
      </c>
      <c r="K7" s="64">
        <f t="shared" si="0"/>
        <v>-3.2565</v>
      </c>
      <c r="L7" s="68">
        <f>IF(K7&gt;0,K7*POLYOL!$K$15,0)</f>
        <v>0</v>
      </c>
      <c r="M7" s="64">
        <f t="shared" si="6"/>
        <v>-1.0855</v>
      </c>
      <c r="N7" s="64">
        <f t="shared" si="7"/>
        <v>-3.2565</v>
      </c>
      <c r="O7" s="64">
        <f>(1+POLYOL!$K$16)^-A7</f>
        <v>0.751314800901578</v>
      </c>
      <c r="P7" s="70">
        <f t="shared" si="1"/>
        <v>-0.815552216378663</v>
      </c>
      <c r="Q7" s="73">
        <f t="shared" si="2"/>
        <v>-2.69947783621337</v>
      </c>
    </row>
    <row r="8" spans="1:17">
      <c r="A8" s="60">
        <v>4</v>
      </c>
      <c r="B8" s="250">
        <f>POLYOL!$L$6</f>
        <v>5000</v>
      </c>
      <c r="C8" s="33">
        <f>$C$5</f>
        <v>1350</v>
      </c>
      <c r="D8" s="64">
        <f t="shared" si="3"/>
        <v>6.75</v>
      </c>
      <c r="E8" s="64">
        <f>POLYOL!$F$17/10^6</f>
        <v>4.0855</v>
      </c>
      <c r="F8" s="64">
        <f t="shared" si="4"/>
        <v>2.6645</v>
      </c>
      <c r="G8" s="33"/>
      <c r="H8" s="33">
        <f>POLYOL!$F$8/POLYOL!$K$12/10^6</f>
        <v>3.75</v>
      </c>
      <c r="I8" s="64">
        <f t="shared" si="5"/>
        <v>-1.0855</v>
      </c>
      <c r="J8" s="64">
        <f>IF((J7+I8)&lt;0,(J7+I8),0)</f>
        <v>-4.342</v>
      </c>
      <c r="K8" s="64">
        <f t="shared" si="0"/>
        <v>-4.342</v>
      </c>
      <c r="L8" s="68">
        <f>IF(K8&gt;0,K8*POLYOL!$K$15,0)</f>
        <v>0</v>
      </c>
      <c r="M8" s="64">
        <f t="shared" si="6"/>
        <v>-1.0855</v>
      </c>
      <c r="N8" s="64">
        <f t="shared" si="7"/>
        <v>-4.342</v>
      </c>
      <c r="O8" s="64">
        <f>(1+POLYOL!$K$16)^-A8</f>
        <v>0.683013455365071</v>
      </c>
      <c r="P8" s="70">
        <f t="shared" si="1"/>
        <v>-0.741411105798784</v>
      </c>
      <c r="Q8" s="73">
        <f t="shared" si="2"/>
        <v>-3.44088894201216</v>
      </c>
    </row>
    <row r="9" spans="1:17">
      <c r="A9" s="35">
        <v>5</v>
      </c>
      <c r="B9" s="250">
        <f>POLYOL!$L$6</f>
        <v>5000</v>
      </c>
      <c r="C9" s="33">
        <f>$C$5</f>
        <v>1350</v>
      </c>
      <c r="D9" s="64">
        <f t="shared" si="3"/>
        <v>6.75</v>
      </c>
      <c r="E9" s="64">
        <f>POLYOL!$F$17/10^6</f>
        <v>4.0855</v>
      </c>
      <c r="F9" s="64">
        <f t="shared" si="4"/>
        <v>2.6645</v>
      </c>
      <c r="G9" s="33"/>
      <c r="H9" s="33"/>
      <c r="I9" s="64">
        <f t="shared" si="5"/>
        <v>2.6645</v>
      </c>
      <c r="J9" s="64">
        <f>IF((J8+I9)&lt;0,(J8+I9),0)</f>
        <v>-1.6775</v>
      </c>
      <c r="K9" s="64">
        <f t="shared" si="0"/>
        <v>-1.6775</v>
      </c>
      <c r="L9" s="68">
        <f>IF(K9&gt;0,K9*POLYOL!$K$15,0)</f>
        <v>0</v>
      </c>
      <c r="M9" s="64">
        <f t="shared" si="6"/>
        <v>2.6645</v>
      </c>
      <c r="N9" s="64">
        <f t="shared" si="7"/>
        <v>-1.6775</v>
      </c>
      <c r="O9" s="64">
        <f>(1+POLYOL!$K$16)^-A9</f>
        <v>0.620921323059155</v>
      </c>
      <c r="P9" s="70">
        <f t="shared" si="1"/>
        <v>1.65444486529112</v>
      </c>
      <c r="Q9" s="73">
        <f t="shared" si="2"/>
        <v>-1.78644407672104</v>
      </c>
    </row>
    <row r="10" spans="1:17">
      <c r="A10" s="60">
        <v>6</v>
      </c>
      <c r="B10" s="250">
        <f>POLYOL!$L$6</f>
        <v>5000</v>
      </c>
      <c r="C10" s="33">
        <f>$C$5</f>
        <v>1350</v>
      </c>
      <c r="D10" s="64">
        <f t="shared" si="3"/>
        <v>6.75</v>
      </c>
      <c r="E10" s="64">
        <f>POLYOL!$F$17/10^6</f>
        <v>4.0855</v>
      </c>
      <c r="F10" s="64">
        <f t="shared" si="4"/>
        <v>2.6645</v>
      </c>
      <c r="G10" s="33"/>
      <c r="H10" s="33"/>
      <c r="I10" s="64">
        <f t="shared" si="5"/>
        <v>2.6645</v>
      </c>
      <c r="J10" s="64">
        <f>IF((J9+I10)&lt;0,(J9+I10),0)</f>
        <v>0</v>
      </c>
      <c r="K10" s="64">
        <f>I10</f>
        <v>2.6645</v>
      </c>
      <c r="L10" s="71">
        <f>IF(K10&gt;0,K10*POLYOL!$K$15,0)</f>
        <v>0.5329</v>
      </c>
      <c r="M10" s="64">
        <f t="shared" si="6"/>
        <v>2.1316</v>
      </c>
      <c r="N10" s="64">
        <f t="shared" si="7"/>
        <v>0.454100000000002</v>
      </c>
      <c r="O10" s="64">
        <f>(1+POLYOL!$K$16)^-A10</f>
        <v>0.564473930053777</v>
      </c>
      <c r="P10" s="70">
        <f t="shared" si="1"/>
        <v>1.20323262930263</v>
      </c>
      <c r="Q10" s="73">
        <f t="shared" si="2"/>
        <v>-0.583211447418406</v>
      </c>
    </row>
    <row r="11" spans="1:17">
      <c r="A11" s="35">
        <v>7</v>
      </c>
      <c r="B11" s="250">
        <f>POLYOL!$L$6</f>
        <v>5000</v>
      </c>
      <c r="C11" s="33">
        <f>$C$5</f>
        <v>1350</v>
      </c>
      <c r="D11" s="64">
        <f t="shared" si="3"/>
        <v>6.75</v>
      </c>
      <c r="E11" s="64">
        <f>POLYOL!$F$17/10^6</f>
        <v>4.0855</v>
      </c>
      <c r="F11" s="64">
        <f t="shared" si="4"/>
        <v>2.6645</v>
      </c>
      <c r="G11" s="33"/>
      <c r="H11" s="33"/>
      <c r="I11" s="64">
        <f t="shared" si="5"/>
        <v>2.6645</v>
      </c>
      <c r="J11" s="33">
        <f t="shared" ref="J10:J25" si="8">IF((J10+I11)&lt;0,(J10+I11),0)</f>
        <v>0</v>
      </c>
      <c r="K11" s="64">
        <f t="shared" ref="K11:K24" si="9">I11</f>
        <v>2.6645</v>
      </c>
      <c r="L11" s="71">
        <f>IF(K11&gt;0,K11*POLYOL!$K$15,0)</f>
        <v>0.5329</v>
      </c>
      <c r="M11" s="64">
        <f t="shared" si="6"/>
        <v>2.1316</v>
      </c>
      <c r="N11" s="64">
        <f t="shared" si="7"/>
        <v>2.5857</v>
      </c>
      <c r="O11" s="64">
        <f>(1+POLYOL!$K$16)^-A11</f>
        <v>0.513158118230706</v>
      </c>
      <c r="P11" s="70">
        <f t="shared" si="1"/>
        <v>1.09384784482057</v>
      </c>
      <c r="Q11" s="73">
        <f t="shared" si="2"/>
        <v>0.510636397402167</v>
      </c>
    </row>
    <row r="12" spans="1:17">
      <c r="A12" s="60">
        <v>8</v>
      </c>
      <c r="B12" s="250">
        <f>POLYOL!$L$6</f>
        <v>5000</v>
      </c>
      <c r="C12" s="33">
        <f>$C$5</f>
        <v>1350</v>
      </c>
      <c r="D12" s="64">
        <f t="shared" si="3"/>
        <v>6.75</v>
      </c>
      <c r="E12" s="64">
        <f>POLYOL!$F$17/10^6</f>
        <v>4.0855</v>
      </c>
      <c r="F12" s="64">
        <f t="shared" si="4"/>
        <v>2.6645</v>
      </c>
      <c r="G12" s="33"/>
      <c r="H12" s="33"/>
      <c r="I12" s="64">
        <f t="shared" si="5"/>
        <v>2.6645</v>
      </c>
      <c r="J12" s="33">
        <f t="shared" si="8"/>
        <v>0</v>
      </c>
      <c r="K12" s="64">
        <f t="shared" si="9"/>
        <v>2.6645</v>
      </c>
      <c r="L12" s="71">
        <f>IF(K12&gt;0,K12*POLYOL!$K$15,0)</f>
        <v>0.5329</v>
      </c>
      <c r="M12" s="64">
        <f t="shared" si="6"/>
        <v>2.1316</v>
      </c>
      <c r="N12" s="64">
        <f t="shared" si="7"/>
        <v>4.7173</v>
      </c>
      <c r="O12" s="64">
        <f>(1+POLYOL!$K$16)^-A12</f>
        <v>0.466507380209733</v>
      </c>
      <c r="P12" s="70">
        <f t="shared" si="1"/>
        <v>0.994407131655067</v>
      </c>
      <c r="Q12" s="73">
        <f t="shared" si="2"/>
        <v>1.50504352905723</v>
      </c>
    </row>
    <row r="13" spans="1:17">
      <c r="A13" s="35">
        <v>9</v>
      </c>
      <c r="B13" s="250">
        <f>POLYOL!$L$6</f>
        <v>5000</v>
      </c>
      <c r="C13" s="33">
        <f>$C$5</f>
        <v>1350</v>
      </c>
      <c r="D13" s="64">
        <f t="shared" si="3"/>
        <v>6.75</v>
      </c>
      <c r="E13" s="64">
        <f>POLYOL!$F$17/10^6</f>
        <v>4.0855</v>
      </c>
      <c r="F13" s="64">
        <f t="shared" si="4"/>
        <v>2.6645</v>
      </c>
      <c r="G13" s="33"/>
      <c r="H13" s="33"/>
      <c r="I13" s="64">
        <f t="shared" si="5"/>
        <v>2.6645</v>
      </c>
      <c r="J13" s="33">
        <f t="shared" si="8"/>
        <v>0</v>
      </c>
      <c r="K13" s="64">
        <f t="shared" si="9"/>
        <v>2.6645</v>
      </c>
      <c r="L13" s="71">
        <f>IF(K13&gt;0,K13*POLYOL!$K$15,0)</f>
        <v>0.5329</v>
      </c>
      <c r="M13" s="64">
        <f t="shared" si="6"/>
        <v>2.1316</v>
      </c>
      <c r="N13" s="64">
        <f t="shared" si="7"/>
        <v>6.8489</v>
      </c>
      <c r="O13" s="64">
        <f>(1+POLYOL!$K$16)^-A13</f>
        <v>0.424097618372485</v>
      </c>
      <c r="P13" s="70">
        <f t="shared" si="1"/>
        <v>0.904006483322789</v>
      </c>
      <c r="Q13" s="73">
        <f t="shared" si="2"/>
        <v>2.40905001238002</v>
      </c>
    </row>
    <row r="14" spans="1:17">
      <c r="A14" s="60">
        <v>10</v>
      </c>
      <c r="B14" s="250">
        <f>POLYOL!$L$6</f>
        <v>5000</v>
      </c>
      <c r="C14" s="33">
        <f>$C$5</f>
        <v>1350</v>
      </c>
      <c r="D14" s="64">
        <f t="shared" si="3"/>
        <v>6.75</v>
      </c>
      <c r="E14" s="64">
        <f>POLYOL!$F$17/10^6</f>
        <v>4.0855</v>
      </c>
      <c r="F14" s="64">
        <f t="shared" si="4"/>
        <v>2.6645</v>
      </c>
      <c r="G14" s="33"/>
      <c r="H14" s="33"/>
      <c r="I14" s="64">
        <f t="shared" si="5"/>
        <v>2.6645</v>
      </c>
      <c r="J14" s="33">
        <f t="shared" si="8"/>
        <v>0</v>
      </c>
      <c r="K14" s="64">
        <f t="shared" si="9"/>
        <v>2.6645</v>
      </c>
      <c r="L14" s="71">
        <f>IF(K14&gt;0,K14*POLYOL!$K$15,0)</f>
        <v>0.5329</v>
      </c>
      <c r="M14" s="64">
        <f t="shared" si="6"/>
        <v>2.1316</v>
      </c>
      <c r="N14" s="64">
        <f t="shared" si="7"/>
        <v>8.9805</v>
      </c>
      <c r="O14" s="64">
        <f>(1+POLYOL!$K$16)^-A14</f>
        <v>0.385543289429531</v>
      </c>
      <c r="P14" s="70">
        <f t="shared" si="1"/>
        <v>0.821824075747988</v>
      </c>
      <c r="Q14" s="73">
        <f t="shared" si="2"/>
        <v>3.23087408812801</v>
      </c>
    </row>
    <row r="15" spans="1:17">
      <c r="A15" s="35">
        <v>11</v>
      </c>
      <c r="B15" s="250">
        <f>POLYOL!$L$6</f>
        <v>5000</v>
      </c>
      <c r="C15" s="33">
        <f>$C$5</f>
        <v>1350</v>
      </c>
      <c r="D15" s="64">
        <f t="shared" si="3"/>
        <v>6.75</v>
      </c>
      <c r="E15" s="64">
        <f>POLYOL!$F$17/10^6</f>
        <v>4.0855</v>
      </c>
      <c r="F15" s="64">
        <f t="shared" si="4"/>
        <v>2.6645</v>
      </c>
      <c r="G15" s="33"/>
      <c r="H15" s="33"/>
      <c r="I15" s="64">
        <f t="shared" si="5"/>
        <v>2.6645</v>
      </c>
      <c r="J15" s="33">
        <f t="shared" si="8"/>
        <v>0</v>
      </c>
      <c r="K15" s="64">
        <f t="shared" si="9"/>
        <v>2.6645</v>
      </c>
      <c r="L15" s="71">
        <f>IF(K15&gt;0,K15*POLYOL!$K$15,0)</f>
        <v>0.5329</v>
      </c>
      <c r="M15" s="64">
        <f t="shared" si="6"/>
        <v>2.1316</v>
      </c>
      <c r="N15" s="64">
        <f t="shared" si="7"/>
        <v>11.1121</v>
      </c>
      <c r="O15" s="64">
        <f>(1+POLYOL!$K$16)^-A15</f>
        <v>0.350493899481392</v>
      </c>
      <c r="P15" s="70">
        <f t="shared" si="1"/>
        <v>0.747112796134535</v>
      </c>
      <c r="Q15" s="73">
        <f t="shared" si="2"/>
        <v>3.97798688426255</v>
      </c>
    </row>
    <row r="16" spans="1:20">
      <c r="A16" s="60">
        <v>12</v>
      </c>
      <c r="B16" s="250">
        <f>POLYOL!$L$6</f>
        <v>5000</v>
      </c>
      <c r="C16" s="33">
        <f>$C$5</f>
        <v>1350</v>
      </c>
      <c r="D16" s="64">
        <f t="shared" si="3"/>
        <v>6.75</v>
      </c>
      <c r="E16" s="64">
        <f>POLYOL!$F$17/10^6</f>
        <v>4.0855</v>
      </c>
      <c r="F16" s="64">
        <f t="shared" si="4"/>
        <v>2.6645</v>
      </c>
      <c r="G16" s="33"/>
      <c r="H16" s="33"/>
      <c r="I16" s="64">
        <f t="shared" si="5"/>
        <v>2.6645</v>
      </c>
      <c r="J16" s="33">
        <f t="shared" si="8"/>
        <v>0</v>
      </c>
      <c r="K16" s="64">
        <f t="shared" si="9"/>
        <v>2.6645</v>
      </c>
      <c r="L16" s="71">
        <f>IF(K16&gt;0,K16*POLYOL!$K$15,0)</f>
        <v>0.5329</v>
      </c>
      <c r="M16" s="64">
        <f t="shared" si="6"/>
        <v>2.1316</v>
      </c>
      <c r="N16" s="64">
        <f t="shared" si="7"/>
        <v>13.2437</v>
      </c>
      <c r="O16" s="64">
        <f>(1+POLYOL!$K$16)^-A16</f>
        <v>0.318630817710357</v>
      </c>
      <c r="P16" s="70">
        <f t="shared" si="1"/>
        <v>0.679193451031397</v>
      </c>
      <c r="Q16" s="73">
        <f t="shared" si="2"/>
        <v>4.65718033529394</v>
      </c>
      <c r="T16" s="74"/>
    </row>
    <row r="17" spans="1:17">
      <c r="A17" s="35">
        <v>13</v>
      </c>
      <c r="B17" s="250">
        <f>POLYOL!$L$6</f>
        <v>5000</v>
      </c>
      <c r="C17" s="33">
        <f>$C$5</f>
        <v>1350</v>
      </c>
      <c r="D17" s="64">
        <f t="shared" si="3"/>
        <v>6.75</v>
      </c>
      <c r="E17" s="64">
        <f>POLYOL!$F$17/10^6</f>
        <v>4.0855</v>
      </c>
      <c r="F17" s="64">
        <f t="shared" si="4"/>
        <v>2.6645</v>
      </c>
      <c r="G17" s="33"/>
      <c r="H17" s="33"/>
      <c r="I17" s="64">
        <f t="shared" si="5"/>
        <v>2.6645</v>
      </c>
      <c r="J17" s="33">
        <f t="shared" si="8"/>
        <v>0</v>
      </c>
      <c r="K17" s="64">
        <f t="shared" si="9"/>
        <v>2.6645</v>
      </c>
      <c r="L17" s="71">
        <f>IF(K17&gt;0,K17*POLYOL!$K$15,0)</f>
        <v>0.5329</v>
      </c>
      <c r="M17" s="64">
        <f t="shared" si="6"/>
        <v>2.1316</v>
      </c>
      <c r="N17" s="64">
        <f t="shared" si="7"/>
        <v>15.3753</v>
      </c>
      <c r="O17" s="64">
        <f>(1+POLYOL!$K$16)^-A17</f>
        <v>0.289664379736688</v>
      </c>
      <c r="P17" s="70">
        <f t="shared" si="1"/>
        <v>0.617448591846724</v>
      </c>
      <c r="Q17" s="73">
        <f t="shared" si="2"/>
        <v>5.27462892714067</v>
      </c>
    </row>
    <row r="18" spans="1:17">
      <c r="A18" s="60">
        <v>14</v>
      </c>
      <c r="B18" s="250">
        <f>POLYOL!$L$6</f>
        <v>5000</v>
      </c>
      <c r="C18" s="33">
        <f>$C$5</f>
        <v>1350</v>
      </c>
      <c r="D18" s="64">
        <f t="shared" si="3"/>
        <v>6.75</v>
      </c>
      <c r="E18" s="64">
        <f>POLYOL!$F$17/10^6</f>
        <v>4.0855</v>
      </c>
      <c r="F18" s="64">
        <f t="shared" si="4"/>
        <v>2.6645</v>
      </c>
      <c r="G18" s="33"/>
      <c r="H18" s="33"/>
      <c r="I18" s="64">
        <f t="shared" si="5"/>
        <v>2.6645</v>
      </c>
      <c r="J18" s="33">
        <f t="shared" si="8"/>
        <v>0</v>
      </c>
      <c r="K18" s="64">
        <f t="shared" si="9"/>
        <v>2.6645</v>
      </c>
      <c r="L18" s="71">
        <f>IF(K18&gt;0,K18*POLYOL!$K$15,0)</f>
        <v>0.5329</v>
      </c>
      <c r="M18" s="64">
        <f t="shared" si="6"/>
        <v>2.1316</v>
      </c>
      <c r="N18" s="64">
        <f t="shared" si="7"/>
        <v>17.5069</v>
      </c>
      <c r="O18" s="64">
        <f>(1+POLYOL!$K$16)^-A18</f>
        <v>0.26333125430608</v>
      </c>
      <c r="P18" s="70">
        <f t="shared" si="1"/>
        <v>0.56131690167884</v>
      </c>
      <c r="Q18" s="73">
        <f t="shared" si="2"/>
        <v>5.83594582881951</v>
      </c>
    </row>
    <row r="19" spans="1:17">
      <c r="A19" s="35">
        <v>15</v>
      </c>
      <c r="B19" s="250">
        <f>POLYOL!$L$6</f>
        <v>5000</v>
      </c>
      <c r="C19" s="33">
        <f>$C$5</f>
        <v>1350</v>
      </c>
      <c r="D19" s="64">
        <f t="shared" si="3"/>
        <v>6.75</v>
      </c>
      <c r="E19" s="64">
        <f>POLYOL!$F$17/10^6</f>
        <v>4.0855</v>
      </c>
      <c r="F19" s="64">
        <f t="shared" si="4"/>
        <v>2.6645</v>
      </c>
      <c r="G19" s="33"/>
      <c r="H19" s="33"/>
      <c r="I19" s="64">
        <f t="shared" si="5"/>
        <v>2.6645</v>
      </c>
      <c r="J19" s="33">
        <f t="shared" si="8"/>
        <v>0</v>
      </c>
      <c r="K19" s="64">
        <f t="shared" si="9"/>
        <v>2.6645</v>
      </c>
      <c r="L19" s="71">
        <f>IF(K19&gt;0,K19*POLYOL!$K$15,0)</f>
        <v>0.5329</v>
      </c>
      <c r="M19" s="64">
        <f t="shared" si="6"/>
        <v>2.1316</v>
      </c>
      <c r="N19" s="64">
        <f t="shared" si="7"/>
        <v>19.6385</v>
      </c>
      <c r="O19" s="64">
        <f>(1+POLYOL!$K$16)^-A19</f>
        <v>0.239392049369163</v>
      </c>
      <c r="P19" s="70">
        <f t="shared" si="1"/>
        <v>0.510288092435308</v>
      </c>
      <c r="Q19" s="73">
        <f t="shared" si="2"/>
        <v>6.34623392125482</v>
      </c>
    </row>
    <row r="20" spans="1:17">
      <c r="A20" s="60">
        <v>16</v>
      </c>
      <c r="B20" s="250">
        <f>POLYOL!$L$6</f>
        <v>5000</v>
      </c>
      <c r="C20" s="33">
        <f>$C$5</f>
        <v>1350</v>
      </c>
      <c r="D20" s="64">
        <f t="shared" si="3"/>
        <v>6.75</v>
      </c>
      <c r="E20" s="64">
        <f>POLYOL!$F$17/10^6</f>
        <v>4.0855</v>
      </c>
      <c r="F20" s="64">
        <f t="shared" si="4"/>
        <v>2.6645</v>
      </c>
      <c r="G20" s="33"/>
      <c r="H20" s="33"/>
      <c r="I20" s="64">
        <f t="shared" si="5"/>
        <v>2.6645</v>
      </c>
      <c r="J20" s="33">
        <f t="shared" si="8"/>
        <v>0</v>
      </c>
      <c r="K20" s="64">
        <f t="shared" si="9"/>
        <v>2.6645</v>
      </c>
      <c r="L20" s="71">
        <f>IF(K20&gt;0,K20*POLYOL!$K$15,0)</f>
        <v>0.5329</v>
      </c>
      <c r="M20" s="64">
        <f t="shared" si="6"/>
        <v>2.1316</v>
      </c>
      <c r="N20" s="64">
        <f t="shared" si="7"/>
        <v>21.7701</v>
      </c>
      <c r="O20" s="64">
        <f>(1+POLYOL!$K$16)^-A20</f>
        <v>0.217629135790149</v>
      </c>
      <c r="P20" s="70">
        <f t="shared" si="1"/>
        <v>0.463898265850282</v>
      </c>
      <c r="Q20" s="73">
        <f t="shared" si="2"/>
        <v>6.8101321871051</v>
      </c>
    </row>
    <row r="21" spans="1:17">
      <c r="A21" s="35">
        <v>17</v>
      </c>
      <c r="B21" s="250">
        <f>POLYOL!$L$6</f>
        <v>5000</v>
      </c>
      <c r="C21" s="33">
        <f>$C$5</f>
        <v>1350</v>
      </c>
      <c r="D21" s="64">
        <f t="shared" si="3"/>
        <v>6.75</v>
      </c>
      <c r="E21" s="64">
        <f>POLYOL!$F$17/10^6</f>
        <v>4.0855</v>
      </c>
      <c r="F21" s="64">
        <f t="shared" si="4"/>
        <v>2.6645</v>
      </c>
      <c r="G21" s="33"/>
      <c r="H21" s="33"/>
      <c r="I21" s="64">
        <f t="shared" si="5"/>
        <v>2.6645</v>
      </c>
      <c r="J21" s="33">
        <f t="shared" si="8"/>
        <v>0</v>
      </c>
      <c r="K21" s="64">
        <f t="shared" si="9"/>
        <v>2.6645</v>
      </c>
      <c r="L21" s="71">
        <f>IF(K21&gt;0,K21*POLYOL!$K$15,0)</f>
        <v>0.5329</v>
      </c>
      <c r="M21" s="64">
        <f t="shared" si="6"/>
        <v>2.1316</v>
      </c>
      <c r="N21" s="64">
        <f t="shared" si="7"/>
        <v>23.9017</v>
      </c>
      <c r="O21" s="64">
        <f>(1+POLYOL!$K$16)^-A21</f>
        <v>0.197844668900135</v>
      </c>
      <c r="P21" s="70">
        <f t="shared" si="1"/>
        <v>0.421725696227528</v>
      </c>
      <c r="Q21" s="73">
        <f t="shared" si="2"/>
        <v>7.23185788333263</v>
      </c>
    </row>
    <row r="22" spans="1:17">
      <c r="A22" s="60">
        <v>18</v>
      </c>
      <c r="B22" s="250">
        <f>POLYOL!$L$6</f>
        <v>5000</v>
      </c>
      <c r="C22" s="33">
        <f>$C$5</f>
        <v>1350</v>
      </c>
      <c r="D22" s="64">
        <f t="shared" si="3"/>
        <v>6.75</v>
      </c>
      <c r="E22" s="64">
        <f>POLYOL!$F$17/10^6</f>
        <v>4.0855</v>
      </c>
      <c r="F22" s="64">
        <f t="shared" si="4"/>
        <v>2.6645</v>
      </c>
      <c r="G22" s="33"/>
      <c r="H22" s="33"/>
      <c r="I22" s="64">
        <f t="shared" si="5"/>
        <v>2.6645</v>
      </c>
      <c r="J22" s="33">
        <f t="shared" si="8"/>
        <v>0</v>
      </c>
      <c r="K22" s="64">
        <f t="shared" si="9"/>
        <v>2.6645</v>
      </c>
      <c r="L22" s="71">
        <f>IF(K22&gt;0,K22*POLYOL!$K$15,0)</f>
        <v>0.5329</v>
      </c>
      <c r="M22" s="64">
        <f t="shared" si="6"/>
        <v>2.1316</v>
      </c>
      <c r="N22" s="64">
        <f t="shared" si="7"/>
        <v>26.0333</v>
      </c>
      <c r="O22" s="64">
        <f>(1+POLYOL!$K$16)^-A22</f>
        <v>0.179858789909214</v>
      </c>
      <c r="P22" s="70">
        <f t="shared" si="1"/>
        <v>0.383386996570481</v>
      </c>
      <c r="Q22" s="73">
        <f t="shared" si="2"/>
        <v>7.61524487990311</v>
      </c>
    </row>
    <row r="23" spans="1:17">
      <c r="A23" s="35">
        <v>19</v>
      </c>
      <c r="B23" s="250">
        <f>POLYOL!$L$6</f>
        <v>5000</v>
      </c>
      <c r="C23" s="33">
        <f>$C$5</f>
        <v>1350</v>
      </c>
      <c r="D23" s="64">
        <f t="shared" si="3"/>
        <v>6.75</v>
      </c>
      <c r="E23" s="64">
        <f>POLYOL!$F$17/10^6</f>
        <v>4.0855</v>
      </c>
      <c r="F23" s="64">
        <f t="shared" si="4"/>
        <v>2.6645</v>
      </c>
      <c r="G23" s="33"/>
      <c r="H23" s="33"/>
      <c r="I23" s="64">
        <f t="shared" si="5"/>
        <v>2.6645</v>
      </c>
      <c r="J23" s="33">
        <f t="shared" si="8"/>
        <v>0</v>
      </c>
      <c r="K23" s="64">
        <f t="shared" si="9"/>
        <v>2.6645</v>
      </c>
      <c r="L23" s="71">
        <f>IF(K23&gt;0,K23*POLYOL!$K$15,0)</f>
        <v>0.5329</v>
      </c>
      <c r="M23" s="64">
        <f t="shared" si="6"/>
        <v>2.1316</v>
      </c>
      <c r="N23" s="64">
        <f t="shared" si="7"/>
        <v>28.1649</v>
      </c>
      <c r="O23" s="64">
        <f>(1+POLYOL!$K$16)^-A23</f>
        <v>0.163507990826558</v>
      </c>
      <c r="P23" s="70">
        <f t="shared" si="1"/>
        <v>0.348533633245891</v>
      </c>
      <c r="Q23" s="73">
        <f t="shared" si="2"/>
        <v>7.963778513149</v>
      </c>
    </row>
    <row r="24" spans="1:17">
      <c r="A24" s="60">
        <v>20</v>
      </c>
      <c r="B24" s="250">
        <f>POLYOL!$L$6</f>
        <v>5000</v>
      </c>
      <c r="C24" s="33">
        <f>$C$5</f>
        <v>1350</v>
      </c>
      <c r="D24" s="64">
        <f t="shared" si="3"/>
        <v>6.75</v>
      </c>
      <c r="E24" s="64">
        <f>POLYOL!$F$17/10^6</f>
        <v>4.0855</v>
      </c>
      <c r="F24" s="64">
        <f t="shared" si="4"/>
        <v>2.6645</v>
      </c>
      <c r="G24" s="33"/>
      <c r="H24" s="33"/>
      <c r="I24" s="64">
        <f t="shared" si="5"/>
        <v>2.6645</v>
      </c>
      <c r="J24" s="33">
        <f t="shared" si="8"/>
        <v>0</v>
      </c>
      <c r="K24" s="64">
        <f t="shared" si="9"/>
        <v>2.6645</v>
      </c>
      <c r="L24" s="71">
        <f>IF(K24&gt;0,K24*POLYOL!$K$15,0)</f>
        <v>0.5329</v>
      </c>
      <c r="M24" s="64">
        <f t="shared" si="6"/>
        <v>2.1316</v>
      </c>
      <c r="N24" s="64">
        <f t="shared" si="7"/>
        <v>30.2965</v>
      </c>
      <c r="O24" s="64">
        <f>(1+POLYOL!$K$16)^-A24</f>
        <v>0.148643628024143</v>
      </c>
      <c r="P24" s="70">
        <f t="shared" si="1"/>
        <v>0.316848757496263</v>
      </c>
      <c r="Q24" s="73">
        <f t="shared" si="2"/>
        <v>8.28062727064526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70">
        <f>SUM(P4:P24)</f>
        <v>8.28062727064526</v>
      </c>
      <c r="Q25" s="33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8"/>
  <sheetViews>
    <sheetView topLeftCell="B48" workbookViewId="0">
      <selection activeCell="D60" sqref="D60"/>
    </sheetView>
  </sheetViews>
  <sheetFormatPr defaultColWidth="9.14285714285714" defaultRowHeight="15"/>
  <cols>
    <col min="2" max="2" width="20.7142857142857" customWidth="1"/>
    <col min="3" max="3" width="12.8571428571429"/>
    <col min="15" max="15" width="11"/>
    <col min="16" max="17" width="12"/>
  </cols>
  <sheetData>
    <row r="1" ht="27" customHeight="1" spans="1:6">
      <c r="A1" s="1" t="s">
        <v>114</v>
      </c>
      <c r="B1" s="2"/>
      <c r="C1" s="2"/>
      <c r="D1" s="2"/>
      <c r="E1" s="2"/>
      <c r="F1" s="2"/>
    </row>
    <row r="4" spans="1:2">
      <c r="A4" s="3" t="s">
        <v>52</v>
      </c>
      <c r="B4" s="4">
        <f>FORECAST(0,D6:E6,D7:E7)</f>
        <v>0.308700425543766</v>
      </c>
    </row>
    <row r="6" spans="2:12">
      <c r="B6" s="5" t="s">
        <v>53</v>
      </c>
      <c r="C6" s="6">
        <f>POLYOL!K16</f>
        <v>0.1</v>
      </c>
      <c r="D6" s="6">
        <f>D11</f>
        <v>0.15</v>
      </c>
      <c r="E6" s="6">
        <f>$D$18</f>
        <v>0.3</v>
      </c>
      <c r="F6" s="6">
        <f>D25</f>
        <v>0.45</v>
      </c>
      <c r="H6" s="8" t="s">
        <v>54</v>
      </c>
      <c r="I6" s="9">
        <f t="shared" ref="I6:L6" si="0">C7</f>
        <v>8.28062727064526</v>
      </c>
      <c r="J6" s="9">
        <f t="shared" si="0"/>
        <v>4.42258556095823</v>
      </c>
      <c r="K6" s="9">
        <f t="shared" si="0"/>
        <v>0.242459188450256</v>
      </c>
      <c r="L6" s="9">
        <f t="shared" si="0"/>
        <v>-0.714628623583622</v>
      </c>
    </row>
    <row r="7" ht="30" spans="2:12">
      <c r="B7" s="8" t="s">
        <v>54</v>
      </c>
      <c r="C7" s="9">
        <f>'POLYOL 2'!Q24</f>
        <v>8.28062727064526</v>
      </c>
      <c r="D7" s="9">
        <f>W15</f>
        <v>4.42258556095823</v>
      </c>
      <c r="E7" s="9">
        <f>W22</f>
        <v>0.242459188450256</v>
      </c>
      <c r="F7" s="9">
        <f>W29</f>
        <v>-0.714628623583622</v>
      </c>
      <c r="H7" s="5" t="s">
        <v>24</v>
      </c>
      <c r="I7" s="6">
        <f t="shared" ref="I7:L7" si="1">C6</f>
        <v>0.1</v>
      </c>
      <c r="J7" s="6">
        <f t="shared" si="1"/>
        <v>0.15</v>
      </c>
      <c r="K7" s="6">
        <f t="shared" si="1"/>
        <v>0.3</v>
      </c>
      <c r="L7" s="6">
        <f t="shared" si="1"/>
        <v>0.45</v>
      </c>
    </row>
    <row r="11" spans="1:23">
      <c r="A11" s="11"/>
      <c r="B11" s="12" t="s">
        <v>55</v>
      </c>
      <c r="C11" s="8"/>
      <c r="D11" s="8">
        <f>POLYOL!K16+5%</f>
        <v>0.15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13"/>
      <c r="W11" s="26" t="s">
        <v>56</v>
      </c>
    </row>
    <row r="12" spans="1:23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 s="27"/>
    </row>
    <row r="13" ht="60" spans="1:23">
      <c r="A13" s="11" t="s">
        <v>57</v>
      </c>
      <c r="B13" s="14">
        <f>'POLYOL 2'!M4</f>
        <v>0</v>
      </c>
      <c r="C13" s="14">
        <f>'POLYOL 2'!M5</f>
        <v>-1.0855</v>
      </c>
      <c r="D13" s="14">
        <f>'POLYOL 2'!M6</f>
        <v>-1.0855</v>
      </c>
      <c r="E13" s="14">
        <f>'POLYOL 2'!M7</f>
        <v>-1.0855</v>
      </c>
      <c r="F13" s="14">
        <f>'POLYOL 2'!M8</f>
        <v>-1.0855</v>
      </c>
      <c r="G13" s="14">
        <f>'POLYOL 2'!M9</f>
        <v>2.6645</v>
      </c>
      <c r="H13" s="14">
        <f>'POLYOL 2'!M10</f>
        <v>2.1316</v>
      </c>
      <c r="I13" s="14">
        <f>'POLYOL 2'!M11</f>
        <v>2.1316</v>
      </c>
      <c r="J13" s="14">
        <f>'POLYOL 2'!M12</f>
        <v>2.1316</v>
      </c>
      <c r="K13" s="14">
        <f>'POLYOL 2'!M13</f>
        <v>2.1316</v>
      </c>
      <c r="L13" s="14">
        <f>'POLYOL 2'!M14</f>
        <v>2.1316</v>
      </c>
      <c r="M13" s="14">
        <f>'POLYOL 2'!M15</f>
        <v>2.1316</v>
      </c>
      <c r="N13" s="14">
        <f>'POLYOL 2'!M16</f>
        <v>2.1316</v>
      </c>
      <c r="O13" s="14">
        <f>'POLYOL 2'!M17</f>
        <v>2.1316</v>
      </c>
      <c r="P13" s="14">
        <f>'POLYOL 2'!M18</f>
        <v>2.1316</v>
      </c>
      <c r="Q13" s="14">
        <f>'POLYOL 2'!M19</f>
        <v>2.1316</v>
      </c>
      <c r="R13" s="14">
        <f>'POLYOL 2'!M20</f>
        <v>2.1316</v>
      </c>
      <c r="S13" s="14">
        <f>'POLYOL 2'!M21</f>
        <v>2.1316</v>
      </c>
      <c r="T13" s="14">
        <f>'POLYOL 2'!M22</f>
        <v>2.1316</v>
      </c>
      <c r="U13" s="14">
        <f>'POLYOL 2'!M23</f>
        <v>2.1316</v>
      </c>
      <c r="V13" s="14">
        <f>'POLYOL 2'!M24</f>
        <v>2.1316</v>
      </c>
      <c r="W13" s="28"/>
    </row>
    <row r="14" ht="30" spans="1:23">
      <c r="A14" s="11" t="s">
        <v>58</v>
      </c>
      <c r="B14" s="14">
        <f>(1+$D$11)^-B12</f>
        <v>1</v>
      </c>
      <c r="C14" s="14">
        <f>(1+$D$11)^-C12</f>
        <v>0.869565217391304</v>
      </c>
      <c r="D14" s="14">
        <f>(1+$D$11)^-D12</f>
        <v>0.756143667296787</v>
      </c>
      <c r="E14" s="14">
        <f>(1+$D$11)^-E12</f>
        <v>0.657516232431988</v>
      </c>
      <c r="F14" s="14">
        <f>(1+$D$11)^-F12</f>
        <v>0.571753245593033</v>
      </c>
      <c r="G14" s="14">
        <f>(1+$D$11)^-G12</f>
        <v>0.49717673529829</v>
      </c>
      <c r="H14" s="14">
        <f>(1+$D$11)^-H12</f>
        <v>0.432327595911557</v>
      </c>
      <c r="I14" s="14">
        <f>(1+$D$11)^-I12</f>
        <v>0.375937039923093</v>
      </c>
      <c r="J14" s="14">
        <f>(1+$D$11)^-J12</f>
        <v>0.326901773846168</v>
      </c>
      <c r="K14" s="14">
        <f>(1+$D$11)^-K12</f>
        <v>0.284262412040146</v>
      </c>
      <c r="L14" s="14">
        <f>(1+$D$11)^-L12</f>
        <v>0.247184706121866</v>
      </c>
      <c r="M14" s="14">
        <f>(1+$D$11)^-M12</f>
        <v>0.214943222714666</v>
      </c>
      <c r="N14" s="14">
        <f>(1+$D$11)^-N12</f>
        <v>0.186907150186666</v>
      </c>
      <c r="O14" s="14">
        <f>(1+$D$11)^-O12</f>
        <v>0.162527956684057</v>
      </c>
      <c r="P14" s="14">
        <f>(1+$D$11)^-P12</f>
        <v>0.141328657986137</v>
      </c>
      <c r="Q14" s="14">
        <f>(1+$D$11)^-Q12</f>
        <v>0.122894485205336</v>
      </c>
      <c r="R14" s="14">
        <f>(1+$D$11)^-R12</f>
        <v>0.106864769743771</v>
      </c>
      <c r="S14" s="14">
        <f>(1+$D$11)^-S12</f>
        <v>0.0929258867337138</v>
      </c>
      <c r="T14" s="14">
        <f>(1+$D$11)^-T12</f>
        <v>0.0808051188988816</v>
      </c>
      <c r="U14" s="14">
        <f>(1+$D$11)^-U12</f>
        <v>0.0702653207816362</v>
      </c>
      <c r="V14" s="14">
        <f>(1+$D$11)^-V12</f>
        <v>0.0611002789405532</v>
      </c>
      <c r="W14" s="27"/>
    </row>
    <row r="15" ht="30" spans="1:23">
      <c r="A15" s="11" t="s">
        <v>59</v>
      </c>
      <c r="B15" s="15">
        <f t="shared" ref="B15:N15" si="2">B13*B14</f>
        <v>0</v>
      </c>
      <c r="C15" s="15">
        <f t="shared" si="2"/>
        <v>-0.94391304347826</v>
      </c>
      <c r="D15" s="15">
        <f t="shared" si="2"/>
        <v>-0.820793950850662</v>
      </c>
      <c r="E15" s="15">
        <f t="shared" si="2"/>
        <v>-0.713733870304923</v>
      </c>
      <c r="F15" s="15">
        <f t="shared" si="2"/>
        <v>-0.620638148091237</v>
      </c>
      <c r="G15" s="15">
        <f t="shared" si="2"/>
        <v>1.32472741120229</v>
      </c>
      <c r="H15" s="15">
        <f t="shared" si="2"/>
        <v>0.921549503445075</v>
      </c>
      <c r="I15" s="15">
        <f t="shared" si="2"/>
        <v>0.801347394300065</v>
      </c>
      <c r="J15" s="15">
        <f t="shared" si="2"/>
        <v>0.696823821130492</v>
      </c>
      <c r="K15" s="15">
        <f t="shared" si="2"/>
        <v>0.605933757504775</v>
      </c>
      <c r="L15" s="15">
        <f t="shared" si="2"/>
        <v>0.52689891956937</v>
      </c>
      <c r="M15" s="15">
        <f t="shared" si="2"/>
        <v>0.458172973538582</v>
      </c>
      <c r="N15" s="15">
        <f t="shared" si="2"/>
        <v>0.398411281337897</v>
      </c>
      <c r="O15" s="15">
        <f t="shared" ref="O15:V15" si="3">N13*O14</f>
        <v>0.346444592467736</v>
      </c>
      <c r="P15" s="15">
        <f t="shared" si="3"/>
        <v>0.30125616736325</v>
      </c>
      <c r="Q15" s="15">
        <f t="shared" si="3"/>
        <v>0.261961884663694</v>
      </c>
      <c r="R15" s="15">
        <f t="shared" si="3"/>
        <v>0.227792943185822</v>
      </c>
      <c r="S15" s="15">
        <f t="shared" si="3"/>
        <v>0.198080820161584</v>
      </c>
      <c r="T15" s="15">
        <f t="shared" si="3"/>
        <v>0.172244191444856</v>
      </c>
      <c r="U15" s="15">
        <f t="shared" si="3"/>
        <v>0.149777557778136</v>
      </c>
      <c r="V15" s="15">
        <f t="shared" si="3"/>
        <v>0.130241354589683</v>
      </c>
      <c r="W15" s="240">
        <f>SUM(B15:V15)</f>
        <v>4.42258556095823</v>
      </c>
    </row>
    <row r="18" spans="1:24">
      <c r="A18" s="16"/>
      <c r="B18" s="12" t="s">
        <v>55</v>
      </c>
      <c r="C18" s="8"/>
      <c r="D18" s="8">
        <f>D11+15%</f>
        <v>0.3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  <c r="W18" s="26" t="s">
        <v>56</v>
      </c>
      <c r="X18" s="20"/>
    </row>
    <row r="19" spans="1:23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 s="27"/>
    </row>
    <row r="20" ht="60" spans="1:23">
      <c r="A20" s="17" t="s">
        <v>57</v>
      </c>
      <c r="B20" s="14">
        <f t="shared" ref="B20:N20" si="4">B13</f>
        <v>0</v>
      </c>
      <c r="C20" s="14">
        <f t="shared" si="4"/>
        <v>-1.0855</v>
      </c>
      <c r="D20" s="14">
        <f t="shared" si="4"/>
        <v>-1.0855</v>
      </c>
      <c r="E20" s="14">
        <f t="shared" si="4"/>
        <v>-1.0855</v>
      </c>
      <c r="F20" s="14">
        <f t="shared" si="4"/>
        <v>-1.0855</v>
      </c>
      <c r="G20" s="14">
        <f t="shared" si="4"/>
        <v>2.6645</v>
      </c>
      <c r="H20" s="14">
        <f t="shared" si="4"/>
        <v>2.1316</v>
      </c>
      <c r="I20" s="14">
        <f t="shared" si="4"/>
        <v>2.1316</v>
      </c>
      <c r="J20" s="14">
        <f t="shared" si="4"/>
        <v>2.1316</v>
      </c>
      <c r="K20" s="14">
        <f t="shared" si="4"/>
        <v>2.1316</v>
      </c>
      <c r="L20" s="14">
        <f t="shared" si="4"/>
        <v>2.1316</v>
      </c>
      <c r="M20" s="14">
        <f t="shared" si="4"/>
        <v>2.1316</v>
      </c>
      <c r="N20" s="14">
        <f t="shared" si="4"/>
        <v>2.1316</v>
      </c>
      <c r="O20" s="14">
        <f t="shared" ref="O20:Q20" si="5">N13</f>
        <v>2.1316</v>
      </c>
      <c r="P20" s="14">
        <f t="shared" si="5"/>
        <v>2.1316</v>
      </c>
      <c r="Q20" s="14">
        <f t="shared" si="5"/>
        <v>2.1316</v>
      </c>
      <c r="R20" s="14">
        <f t="shared" ref="R20:V20" si="6">R13</f>
        <v>2.1316</v>
      </c>
      <c r="S20" s="14">
        <f t="shared" si="6"/>
        <v>2.1316</v>
      </c>
      <c r="T20" s="14">
        <f t="shared" si="6"/>
        <v>2.1316</v>
      </c>
      <c r="U20" s="14">
        <f t="shared" si="6"/>
        <v>2.1316</v>
      </c>
      <c r="V20" s="14">
        <f t="shared" si="6"/>
        <v>2.1316</v>
      </c>
      <c r="W20" s="27"/>
    </row>
    <row r="21" ht="30" spans="1:23">
      <c r="A21" s="17" t="s">
        <v>58</v>
      </c>
      <c r="B21" s="14">
        <f>(1+$D$18)^-B19</f>
        <v>1</v>
      </c>
      <c r="C21" s="14">
        <f>(1+$D$18)^-C19</f>
        <v>0.769230769230769</v>
      </c>
      <c r="D21" s="14">
        <f>(1+$D$18)^-D19</f>
        <v>0.591715976331361</v>
      </c>
      <c r="E21" s="14">
        <f>(1+$D$18)^-E19</f>
        <v>0.455166135639508</v>
      </c>
      <c r="F21" s="14">
        <f>(1+$D$18)^-F19</f>
        <v>0.350127796645776</v>
      </c>
      <c r="G21" s="14">
        <f>(1+$D$18)^-G19</f>
        <v>0.269329074342904</v>
      </c>
      <c r="H21" s="14">
        <f>(1+$D$18)^-H19</f>
        <v>0.207176211033003</v>
      </c>
      <c r="I21" s="14">
        <f>(1+$D$18)^-I19</f>
        <v>0.159366316179233</v>
      </c>
      <c r="J21" s="14">
        <f>(1+$D$18)^-J19</f>
        <v>0.122589473984026</v>
      </c>
      <c r="K21" s="14">
        <f>(1+$D$18)^-K19</f>
        <v>0.0942995953723274</v>
      </c>
      <c r="L21" s="14">
        <f>(1+$D$18)^-L19</f>
        <v>0.0725381502864057</v>
      </c>
      <c r="M21" s="14">
        <f>(1+$D$18)^-M19</f>
        <v>0.055798577143389</v>
      </c>
      <c r="N21" s="24">
        <f>(1+$D$18)^-N19</f>
        <v>0.0429219824179915</v>
      </c>
      <c r="O21" s="14">
        <f>(1+$D$18)^-O19</f>
        <v>0.0330169095523012</v>
      </c>
      <c r="P21" s="14">
        <f>(1+$D$18)^-P19</f>
        <v>0.0253976227325394</v>
      </c>
      <c r="Q21" s="14">
        <f>(1+$D$18)^-Q19</f>
        <v>0.0195366328711841</v>
      </c>
      <c r="R21" s="14">
        <f>(1+$D$18)^-R19</f>
        <v>0.0150281791316801</v>
      </c>
      <c r="S21" s="14">
        <f>(1+$D$18)^-S19</f>
        <v>0.0115601377936001</v>
      </c>
      <c r="T21" s="14">
        <f>(1+$D$18)^-T19</f>
        <v>0.00889241368738467</v>
      </c>
      <c r="U21" s="14">
        <f>(1+$D$18)^-U19</f>
        <v>0.00684031822106513</v>
      </c>
      <c r="V21" s="14">
        <f>(1+$D$18)^-V19</f>
        <v>0.00526178324697318</v>
      </c>
      <c r="W21" s="27"/>
    </row>
    <row r="22" ht="30" spans="1:23">
      <c r="A22" s="17" t="s">
        <v>59</v>
      </c>
      <c r="B22" s="15">
        <f t="shared" ref="B22:V22" si="7">B20*B21</f>
        <v>0</v>
      </c>
      <c r="C22" s="15">
        <f t="shared" si="7"/>
        <v>-0.835</v>
      </c>
      <c r="D22" s="15">
        <f t="shared" si="7"/>
        <v>-0.642307692307692</v>
      </c>
      <c r="E22" s="15">
        <f t="shared" si="7"/>
        <v>-0.494082840236686</v>
      </c>
      <c r="F22" s="15">
        <f t="shared" si="7"/>
        <v>-0.38006372325899</v>
      </c>
      <c r="G22" s="15">
        <f t="shared" si="7"/>
        <v>0.717627318586668</v>
      </c>
      <c r="H22" s="15">
        <f t="shared" si="7"/>
        <v>0.441616811437949</v>
      </c>
      <c r="I22" s="15">
        <f t="shared" si="7"/>
        <v>0.339705239567653</v>
      </c>
      <c r="J22" s="15">
        <f t="shared" si="7"/>
        <v>0.26131172274435</v>
      </c>
      <c r="K22" s="15">
        <f t="shared" si="7"/>
        <v>0.201009017495653</v>
      </c>
      <c r="L22" s="15">
        <f t="shared" si="7"/>
        <v>0.154622321150502</v>
      </c>
      <c r="M22" s="15">
        <f t="shared" si="7"/>
        <v>0.118940247038848</v>
      </c>
      <c r="N22" s="15">
        <f t="shared" si="7"/>
        <v>0.0914924977221907</v>
      </c>
      <c r="O22" s="15">
        <f t="shared" si="7"/>
        <v>0.0703788444016853</v>
      </c>
      <c r="P22" s="15">
        <f t="shared" si="7"/>
        <v>0.054137572616681</v>
      </c>
      <c r="Q22" s="15">
        <f t="shared" si="7"/>
        <v>0.041644286628216</v>
      </c>
      <c r="R22" s="15">
        <f t="shared" si="7"/>
        <v>0.0320340666370893</v>
      </c>
      <c r="S22" s="15">
        <f t="shared" si="7"/>
        <v>0.024641589720838</v>
      </c>
      <c r="T22" s="15">
        <f t="shared" si="7"/>
        <v>0.0189550690160292</v>
      </c>
      <c r="U22" s="15">
        <f t="shared" si="7"/>
        <v>0.0145808223200224</v>
      </c>
      <c r="V22" s="15">
        <f t="shared" si="7"/>
        <v>0.011216017169248</v>
      </c>
      <c r="W22" s="240">
        <f>SUM(B22:V22)</f>
        <v>0.242459188450256</v>
      </c>
    </row>
    <row r="25" spans="1:23">
      <c r="A25" s="16"/>
      <c r="B25" s="12" t="s">
        <v>55</v>
      </c>
      <c r="C25" s="8"/>
      <c r="D25" s="8">
        <f>D18+15%</f>
        <v>0.45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  <c r="W25" s="26" t="s">
        <v>56</v>
      </c>
    </row>
    <row r="26" spans="1:23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 s="27"/>
    </row>
    <row r="27" ht="60" spans="1:23">
      <c r="A27" s="17" t="s">
        <v>57</v>
      </c>
      <c r="B27" s="14">
        <f t="shared" ref="B27:N27" si="8">B20</f>
        <v>0</v>
      </c>
      <c r="C27" s="14">
        <f t="shared" si="8"/>
        <v>-1.0855</v>
      </c>
      <c r="D27" s="14">
        <f t="shared" si="8"/>
        <v>-1.0855</v>
      </c>
      <c r="E27" s="14">
        <f t="shared" si="8"/>
        <v>-1.0855</v>
      </c>
      <c r="F27" s="14">
        <f t="shared" si="8"/>
        <v>-1.0855</v>
      </c>
      <c r="G27" s="14">
        <f t="shared" si="8"/>
        <v>2.6645</v>
      </c>
      <c r="H27" s="14">
        <f t="shared" si="8"/>
        <v>2.1316</v>
      </c>
      <c r="I27" s="14">
        <f t="shared" si="8"/>
        <v>2.1316</v>
      </c>
      <c r="J27" s="14">
        <f t="shared" si="8"/>
        <v>2.1316</v>
      </c>
      <c r="K27" s="14">
        <f t="shared" si="8"/>
        <v>2.1316</v>
      </c>
      <c r="L27" s="14">
        <f t="shared" si="8"/>
        <v>2.1316</v>
      </c>
      <c r="M27" s="14">
        <f t="shared" si="8"/>
        <v>2.1316</v>
      </c>
      <c r="N27" s="14">
        <f t="shared" si="8"/>
        <v>2.1316</v>
      </c>
      <c r="O27" s="14">
        <f t="shared" ref="O27:Q27" si="9">N20</f>
        <v>2.1316</v>
      </c>
      <c r="P27" s="14">
        <f t="shared" si="9"/>
        <v>2.1316</v>
      </c>
      <c r="Q27" s="14">
        <f t="shared" si="9"/>
        <v>2.1316</v>
      </c>
      <c r="R27" s="14">
        <f t="shared" ref="R27:V27" si="10">R20</f>
        <v>2.1316</v>
      </c>
      <c r="S27" s="14">
        <f t="shared" si="10"/>
        <v>2.1316</v>
      </c>
      <c r="T27" s="14">
        <f t="shared" si="10"/>
        <v>2.1316</v>
      </c>
      <c r="U27" s="14">
        <f t="shared" si="10"/>
        <v>2.1316</v>
      </c>
      <c r="V27" s="14">
        <f t="shared" si="10"/>
        <v>2.1316</v>
      </c>
      <c r="W27" s="27"/>
    </row>
    <row r="28" ht="30" spans="1:23">
      <c r="A28" s="17" t="s">
        <v>58</v>
      </c>
      <c r="B28" s="14">
        <f>(1+$D$18)^-B26</f>
        <v>1</v>
      </c>
      <c r="C28" s="14">
        <f>(1+$D$25)^-C26</f>
        <v>0.689655172413793</v>
      </c>
      <c r="D28" s="14">
        <f>(1+$D$25)^-D26</f>
        <v>0.475624256837099</v>
      </c>
      <c r="E28" s="14">
        <f>(1+$D$25)^-E26</f>
        <v>0.328016728853171</v>
      </c>
      <c r="F28" s="14">
        <f>(1+$D$25)^-F26</f>
        <v>0.226218433691842</v>
      </c>
      <c r="G28" s="14">
        <f>(1+$D$25)^-G26</f>
        <v>0.156012712890926</v>
      </c>
      <c r="H28" s="14">
        <f>(1+$D$25)^-H26</f>
        <v>0.107594974407535</v>
      </c>
      <c r="I28" s="14">
        <f>(1+$D$25)^-I26</f>
        <v>0.0742034306258862</v>
      </c>
      <c r="J28" s="14">
        <f>(1+$D$25)^-J26</f>
        <v>0.0511747797419905</v>
      </c>
      <c r="K28" s="14">
        <f>(1+$D$25)^-K26</f>
        <v>0.0352929515462003</v>
      </c>
      <c r="L28" s="14">
        <f>(1+$D$25)^-L26</f>
        <v>0.0243399665835864</v>
      </c>
      <c r="M28" s="14">
        <f>(1+$D$25)^-M26</f>
        <v>0.0167861838507493</v>
      </c>
      <c r="N28" s="14">
        <f>(1+$D$25)^-N26</f>
        <v>0.0115766785177581</v>
      </c>
      <c r="O28" s="14">
        <f>(1+$D$25)^-O26</f>
        <v>0.00798391621914352</v>
      </c>
      <c r="P28" s="14">
        <f>(1+$D$25)^-P26</f>
        <v>0.0055061491166507</v>
      </c>
      <c r="Q28" s="14">
        <f>(1+$D$25)^-Q26</f>
        <v>0.00379734421837979</v>
      </c>
      <c r="R28" s="14">
        <f>(1+$D$25)^-R26</f>
        <v>0.00261885808164124</v>
      </c>
      <c r="S28" s="14">
        <f>(1+$D$25)^-S26</f>
        <v>0.00180610902182154</v>
      </c>
      <c r="T28" s="14">
        <f>(1+$D$25)^-T26</f>
        <v>0.00124559242884244</v>
      </c>
      <c r="U28" s="14">
        <f>(1+$D$25)^-U26</f>
        <v>0.00085902926127065</v>
      </c>
      <c r="V28" s="14">
        <f>(1+$D$25)^-V26</f>
        <v>0.000592433973290104</v>
      </c>
      <c r="W28" s="27"/>
    </row>
    <row r="29" ht="30" spans="1:23">
      <c r="A29" s="17" t="s">
        <v>59</v>
      </c>
      <c r="B29" s="15">
        <f t="shared" ref="B29:V29" si="11">B27*B28</f>
        <v>0</v>
      </c>
      <c r="C29" s="15">
        <f t="shared" si="11"/>
        <v>-0.748620689655172</v>
      </c>
      <c r="D29" s="15">
        <f t="shared" si="11"/>
        <v>-0.516290130796671</v>
      </c>
      <c r="E29" s="15">
        <f t="shared" si="11"/>
        <v>-0.356062159170117</v>
      </c>
      <c r="F29" s="15">
        <f t="shared" si="11"/>
        <v>-0.245560109772494</v>
      </c>
      <c r="G29" s="15">
        <f t="shared" si="11"/>
        <v>0.415695873497872</v>
      </c>
      <c r="H29" s="15">
        <f t="shared" si="11"/>
        <v>0.229349447447102</v>
      </c>
      <c r="I29" s="15">
        <f t="shared" si="11"/>
        <v>0.158172032722139</v>
      </c>
      <c r="J29" s="15">
        <f t="shared" si="11"/>
        <v>0.109084160498027</v>
      </c>
      <c r="K29" s="15">
        <f t="shared" si="11"/>
        <v>0.0752304555158806</v>
      </c>
      <c r="L29" s="15">
        <f t="shared" si="11"/>
        <v>0.0518830727695728</v>
      </c>
      <c r="M29" s="15">
        <f t="shared" si="11"/>
        <v>0.0357814294962572</v>
      </c>
      <c r="N29" s="15">
        <f t="shared" si="11"/>
        <v>0.0246768479284532</v>
      </c>
      <c r="O29" s="15">
        <f t="shared" si="11"/>
        <v>0.0170185158127263</v>
      </c>
      <c r="P29" s="15">
        <f t="shared" si="11"/>
        <v>0.0117369074570526</v>
      </c>
      <c r="Q29" s="15">
        <f t="shared" si="11"/>
        <v>0.00809441893589836</v>
      </c>
      <c r="R29" s="15">
        <f t="shared" si="11"/>
        <v>0.00558235788682647</v>
      </c>
      <c r="S29" s="15">
        <f t="shared" si="11"/>
        <v>0.00384990199091479</v>
      </c>
      <c r="T29" s="15">
        <f t="shared" si="11"/>
        <v>0.00265510482132055</v>
      </c>
      <c r="U29" s="15">
        <f t="shared" si="11"/>
        <v>0.00183110677332452</v>
      </c>
      <c r="V29" s="15">
        <f t="shared" si="11"/>
        <v>0.00126283225746519</v>
      </c>
      <c r="W29" s="240">
        <f>SUM(B29:V29)</f>
        <v>-0.714628623583622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FORECAST(0,I61:J61,I60:J60)</f>
        <v>6.53317419802027</v>
      </c>
    </row>
    <row r="60" ht="30" spans="2:23">
      <c r="B60" s="17" t="s">
        <v>62</v>
      </c>
      <c r="C60" s="20">
        <f>'POLYOL 2'!Q4</f>
        <v>0</v>
      </c>
      <c r="D60" s="20">
        <f>'POLYOL 2'!Q5</f>
        <v>-0.986818181818181</v>
      </c>
      <c r="E60" s="20">
        <f>'POLYOL 2'!Q6</f>
        <v>-1.88392561983471</v>
      </c>
      <c r="F60" s="20">
        <f>'POLYOL 2'!Q7</f>
        <v>-2.69947783621337</v>
      </c>
      <c r="G60" s="20">
        <f>'POLYOL 2'!Q8</f>
        <v>-3.44088894201216</v>
      </c>
      <c r="H60" s="20">
        <f>'POLYOL 2'!Q9</f>
        <v>-1.78644407672104</v>
      </c>
      <c r="I60" s="20">
        <f>'POLYOL 2'!Q10</f>
        <v>-0.583211447418406</v>
      </c>
      <c r="J60" s="20">
        <f>'POLYOL 2'!Q11</f>
        <v>0.510636397402167</v>
      </c>
      <c r="K60" s="20">
        <f>'POLYOL 2'!Q12</f>
        <v>1.50504352905723</v>
      </c>
      <c r="L60" s="20">
        <f>'POLYOL 2'!Q13</f>
        <v>2.40905001238002</v>
      </c>
      <c r="M60" s="20">
        <f>'POLYOL 2'!Q14</f>
        <v>3.23087408812801</v>
      </c>
      <c r="N60" s="20">
        <f>'POLYOL 2'!Q15</f>
        <v>3.97798688426255</v>
      </c>
      <c r="O60" s="20">
        <f>'POLYOL 2'!Q16</f>
        <v>4.65718033529394</v>
      </c>
      <c r="P60" s="20">
        <f>'POLYOL 2'!Q17</f>
        <v>5.27462892714067</v>
      </c>
      <c r="Q60" s="20">
        <f>'POLYOL 2'!Q18</f>
        <v>5.83594582881951</v>
      </c>
      <c r="R60" s="20">
        <f>'POLYOL 2'!Q19</f>
        <v>6.34623392125482</v>
      </c>
      <c r="S60" s="20">
        <f>'POLYOL 2'!Q20</f>
        <v>6.8101321871051</v>
      </c>
      <c r="T60" s="20">
        <f>'POLYOL 2'!Q21</f>
        <v>7.23185788333263</v>
      </c>
      <c r="U60" s="20">
        <f>'POLYOL 2'!Q22</f>
        <v>7.61524487990311</v>
      </c>
      <c r="V60" s="20">
        <f>'POLYOL 2'!Q23</f>
        <v>7.963778513149</v>
      </c>
      <c r="W60" s="20">
        <f>'POLYOL 2'!Q24</f>
        <v>8.28062727064526</v>
      </c>
    </row>
    <row r="61" spans="2:23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</row>
    <row r="62" ht="30" spans="2:23">
      <c r="B62" s="17" t="s">
        <v>62</v>
      </c>
      <c r="C62" s="21">
        <f t="shared" ref="C62:W62" si="12">C60</f>
        <v>0</v>
      </c>
      <c r="D62" s="21">
        <f t="shared" si="12"/>
        <v>-0.986818181818181</v>
      </c>
      <c r="E62" s="21">
        <f t="shared" si="12"/>
        <v>-1.88392561983471</v>
      </c>
      <c r="F62" s="21">
        <f t="shared" si="12"/>
        <v>-2.69947783621337</v>
      </c>
      <c r="G62" s="21">
        <f t="shared" si="12"/>
        <v>-3.44088894201216</v>
      </c>
      <c r="H62" s="21">
        <f t="shared" si="12"/>
        <v>-1.78644407672104</v>
      </c>
      <c r="I62" s="21">
        <f t="shared" si="12"/>
        <v>-0.583211447418406</v>
      </c>
      <c r="J62" s="21">
        <f t="shared" si="12"/>
        <v>0.510636397402167</v>
      </c>
      <c r="K62" s="21">
        <f t="shared" si="12"/>
        <v>1.50504352905723</v>
      </c>
      <c r="L62" s="21">
        <f t="shared" si="12"/>
        <v>2.40905001238002</v>
      </c>
      <c r="M62" s="21">
        <f t="shared" si="12"/>
        <v>3.23087408812801</v>
      </c>
      <c r="N62" s="21">
        <f t="shared" si="12"/>
        <v>3.97798688426255</v>
      </c>
      <c r="O62" s="21">
        <f t="shared" si="12"/>
        <v>4.65718033529394</v>
      </c>
      <c r="P62" s="21">
        <f t="shared" si="12"/>
        <v>5.27462892714067</v>
      </c>
      <c r="Q62" s="21">
        <f t="shared" si="12"/>
        <v>5.83594582881951</v>
      </c>
      <c r="R62" s="21">
        <f t="shared" si="12"/>
        <v>6.34623392125482</v>
      </c>
      <c r="S62" s="21">
        <f t="shared" si="12"/>
        <v>6.8101321871051</v>
      </c>
      <c r="T62" s="21">
        <f t="shared" si="12"/>
        <v>7.23185788333263</v>
      </c>
      <c r="U62" s="21">
        <f t="shared" si="12"/>
        <v>7.61524487990311</v>
      </c>
      <c r="V62" s="21">
        <f t="shared" si="12"/>
        <v>7.963778513149</v>
      </c>
      <c r="W62" s="21">
        <f t="shared" si="12"/>
        <v>8.28062727064526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POLYOL!K16</f>
        <v>0.1</v>
      </c>
      <c r="D104" s="33"/>
    </row>
    <row r="105" spans="1:4">
      <c r="A105" s="31"/>
      <c r="B105" s="33" t="s">
        <v>72</v>
      </c>
      <c r="C105" s="33">
        <f>POLYOL!F8/10^6</f>
        <v>15</v>
      </c>
      <c r="D105" s="33" t="s">
        <v>73</v>
      </c>
    </row>
    <row r="106" spans="1:4">
      <c r="A106" s="31"/>
      <c r="B106" s="33" t="s">
        <v>74</v>
      </c>
      <c r="C106" s="33">
        <f>C7</f>
        <v>8.28062727064526</v>
      </c>
      <c r="D106" s="33" t="s">
        <v>73</v>
      </c>
    </row>
    <row r="107" spans="1:4">
      <c r="A107" s="31"/>
      <c r="B107" s="33" t="s">
        <v>66</v>
      </c>
      <c r="C107" s="33">
        <f>POLYOL!F8/10^6</f>
        <v>15</v>
      </c>
      <c r="D107" s="33"/>
    </row>
    <row r="108" spans="1:4">
      <c r="A108" s="31"/>
      <c r="B108" s="35" t="s">
        <v>64</v>
      </c>
      <c r="C108" s="35">
        <f>C106/C107</f>
        <v>0.552041818043017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0.552041818043017</v>
      </c>
      <c r="D113" s="31"/>
    </row>
    <row r="114" spans="1:4">
      <c r="A114" s="31"/>
      <c r="B114" s="37" t="s">
        <v>76</v>
      </c>
      <c r="C114" s="37">
        <f>1+C113</f>
        <v>1.55204181804302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8.28062727064526</v>
      </c>
    </row>
    <row r="123" spans="1:3">
      <c r="A123" s="3" t="s">
        <v>83</v>
      </c>
      <c r="B123" s="3"/>
      <c r="C123">
        <f>FORECAST(0,C125:E125,C126:E126)</f>
        <v>1126.56494781309</v>
      </c>
    </row>
    <row r="125" spans="2:5">
      <c r="B125" t="s">
        <v>84</v>
      </c>
      <c r="C125" s="6">
        <f>POLYOL!L7</f>
        <v>1350</v>
      </c>
      <c r="D125" s="6">
        <f>B131</f>
        <v>1150</v>
      </c>
      <c r="E125" s="6">
        <f>B155</f>
        <v>950</v>
      </c>
    </row>
    <row r="126" spans="2:5">
      <c r="B126" t="s">
        <v>54</v>
      </c>
      <c r="C126" s="6">
        <f>'POLYOL 2'!Q24</f>
        <v>8.28062727064526</v>
      </c>
      <c r="D126" s="6">
        <f>Q153</f>
        <v>1.07036264983063</v>
      </c>
      <c r="E126" s="6">
        <f>Q177</f>
        <v>-6.7141720895148</v>
      </c>
    </row>
    <row r="131" spans="1:2">
      <c r="A131" t="s">
        <v>85</v>
      </c>
      <c r="B131">
        <f>C125-200</f>
        <v>1150</v>
      </c>
    </row>
    <row r="132" ht="45" spans="1:17">
      <c r="A132" s="40" t="s">
        <v>34</v>
      </c>
      <c r="B132" s="41" t="s">
        <v>35</v>
      </c>
      <c r="C132" s="41" t="s">
        <v>36</v>
      </c>
      <c r="D132" s="41" t="s">
        <v>86</v>
      </c>
      <c r="E132" s="41" t="s">
        <v>87</v>
      </c>
      <c r="F132" s="41" t="s">
        <v>88</v>
      </c>
      <c r="G132" s="41" t="s">
        <v>40</v>
      </c>
      <c r="H132" s="41" t="s">
        <v>89</v>
      </c>
      <c r="I132" s="41" t="s">
        <v>90</v>
      </c>
      <c r="J132" s="41" t="s">
        <v>91</v>
      </c>
      <c r="K132" s="48" t="s">
        <v>92</v>
      </c>
      <c r="L132" s="49" t="s">
        <v>93</v>
      </c>
      <c r="M132" s="49" t="s">
        <v>94</v>
      </c>
      <c r="N132" s="49" t="s">
        <v>95</v>
      </c>
      <c r="O132" s="49" t="s">
        <v>48</v>
      </c>
      <c r="P132" s="49" t="s">
        <v>96</v>
      </c>
      <c r="Q132" s="49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POLYOL!F8</f>
        <v>15000000</v>
      </c>
      <c r="H133" s="44"/>
      <c r="I133" s="44"/>
      <c r="J133" s="44"/>
      <c r="K133" s="47">
        <f>J133</f>
        <v>0</v>
      </c>
      <c r="L133" s="50">
        <f>IF(K133&gt;0,K133*POLYOL!$K$15,0)</f>
        <v>0</v>
      </c>
      <c r="M133" s="47">
        <f t="shared" ref="M133:M153" si="13">I133-L133</f>
        <v>0</v>
      </c>
      <c r="N133" s="47">
        <v>0</v>
      </c>
      <c r="O133" s="47">
        <f>(1+POLYOL!$K$16)^-A133</f>
        <v>1</v>
      </c>
      <c r="P133" s="51">
        <f>N133*O133</f>
        <v>0</v>
      </c>
      <c r="Q133" s="54">
        <f>P133</f>
        <v>0</v>
      </c>
    </row>
    <row r="134" spans="1:17">
      <c r="A134" s="46">
        <v>1</v>
      </c>
      <c r="B134" s="47">
        <f>POLYOL!$L$6</f>
        <v>5000</v>
      </c>
      <c r="C134" s="47">
        <f>B131</f>
        <v>1150</v>
      </c>
      <c r="D134" s="47">
        <f t="shared" ref="D134:D153" si="14">B134*C134/10^6</f>
        <v>5.75</v>
      </c>
      <c r="E134" s="47">
        <f>POLYOL!$F$17/10^6</f>
        <v>4.0855</v>
      </c>
      <c r="F134" s="47">
        <f t="shared" ref="F134:F153" si="15">D134-E134</f>
        <v>1.6645</v>
      </c>
      <c r="G134" s="47"/>
      <c r="H134" s="47">
        <f>POLYOL!$F$8/POLYOL!$K$12/10^6</f>
        <v>3.75</v>
      </c>
      <c r="I134" s="47">
        <f t="shared" ref="I134:I153" si="16">F134-H134</f>
        <v>-2.0855</v>
      </c>
      <c r="J134" s="47">
        <f t="shared" ref="J134:J141" si="17">IF((J133+I134)&lt;0,(J133+I134),0)</f>
        <v>-2.0855</v>
      </c>
      <c r="K134" s="47">
        <f t="shared" ref="K134:K140" si="18">IF(J134&gt;0,I134,J134)</f>
        <v>-2.0855</v>
      </c>
      <c r="L134" s="50">
        <f>IF(K134&gt;0,K134*POLYOL!$K$15,0)</f>
        <v>0</v>
      </c>
      <c r="M134" s="47">
        <f t="shared" si="13"/>
        <v>-2.0855</v>
      </c>
      <c r="N134" s="47">
        <f t="shared" ref="N134:N153" si="19">N133+M134</f>
        <v>-2.0855</v>
      </c>
      <c r="O134" s="47">
        <f>(1+POLYOL!$K$16)^-A134</f>
        <v>0.909090909090909</v>
      </c>
      <c r="P134" s="51">
        <f t="shared" ref="P134:P153" si="20">M134*O134</f>
        <v>-1.89590909090909</v>
      </c>
      <c r="Q134" s="55">
        <f t="shared" ref="Q134:Q153" si="21">Q133+P134</f>
        <v>-1.89590909090909</v>
      </c>
    </row>
    <row r="135" spans="1:17">
      <c r="A135" s="42">
        <v>2</v>
      </c>
      <c r="B135" s="47">
        <f>POLYOL!$L$6</f>
        <v>5000</v>
      </c>
      <c r="C135" s="47">
        <f t="shared" ref="C135:C153" si="22">$C$134</f>
        <v>1150</v>
      </c>
      <c r="D135" s="47">
        <f t="shared" si="14"/>
        <v>5.75</v>
      </c>
      <c r="E135" s="47">
        <f>POLYOL!$F$17/10^6</f>
        <v>4.0855</v>
      </c>
      <c r="F135" s="47">
        <f t="shared" si="15"/>
        <v>1.6645</v>
      </c>
      <c r="G135" s="47"/>
      <c r="H135" s="47">
        <f>POLYOL!$F$8/POLYOL!$K$12/10^6</f>
        <v>3.75</v>
      </c>
      <c r="I135" s="47">
        <f t="shared" si="16"/>
        <v>-2.0855</v>
      </c>
      <c r="J135" s="47">
        <f t="shared" si="17"/>
        <v>-4.171</v>
      </c>
      <c r="K135" s="47">
        <f t="shared" si="18"/>
        <v>-4.171</v>
      </c>
      <c r="L135" s="50">
        <f>IF(K135&gt;0,K135*POLYOL!$K$15,0)</f>
        <v>0</v>
      </c>
      <c r="M135" s="47">
        <f t="shared" si="13"/>
        <v>-2.0855</v>
      </c>
      <c r="N135" s="47">
        <f t="shared" si="19"/>
        <v>-4.171</v>
      </c>
      <c r="O135" s="47">
        <f>(1+POLYOL!$K$16)^-A135</f>
        <v>0.826446280991735</v>
      </c>
      <c r="P135" s="51">
        <f t="shared" si="20"/>
        <v>-1.72355371900826</v>
      </c>
      <c r="Q135" s="55">
        <f t="shared" si="21"/>
        <v>-3.61946280991735</v>
      </c>
    </row>
    <row r="136" spans="1:17">
      <c r="A136" s="46">
        <v>3</v>
      </c>
      <c r="B136" s="47">
        <f>POLYOL!$L$6</f>
        <v>5000</v>
      </c>
      <c r="C136" s="47">
        <f t="shared" si="22"/>
        <v>1150</v>
      </c>
      <c r="D136" s="47">
        <f t="shared" si="14"/>
        <v>5.75</v>
      </c>
      <c r="E136" s="47">
        <f>POLYOL!$F$17/10^6</f>
        <v>4.0855</v>
      </c>
      <c r="F136" s="47">
        <f t="shared" si="15"/>
        <v>1.6645</v>
      </c>
      <c r="G136" s="47"/>
      <c r="H136" s="47">
        <f>POLYOL!$F$8/POLYOL!$K$12/10^6</f>
        <v>3.75</v>
      </c>
      <c r="I136" s="47">
        <f t="shared" si="16"/>
        <v>-2.0855</v>
      </c>
      <c r="J136" s="47">
        <f t="shared" si="17"/>
        <v>-6.2565</v>
      </c>
      <c r="K136" s="47">
        <f t="shared" si="18"/>
        <v>-6.2565</v>
      </c>
      <c r="L136" s="50">
        <f>IF(K136&gt;0,K136*POLYOL!$K$15,0)</f>
        <v>0</v>
      </c>
      <c r="M136" s="47">
        <f t="shared" si="13"/>
        <v>-2.0855</v>
      </c>
      <c r="N136" s="47">
        <f t="shared" si="19"/>
        <v>-6.2565</v>
      </c>
      <c r="O136" s="47">
        <f>(1+POLYOL!$K$16)^-A136</f>
        <v>0.751314800901578</v>
      </c>
      <c r="P136" s="51">
        <f t="shared" si="20"/>
        <v>-1.56686701728024</v>
      </c>
      <c r="Q136" s="55">
        <f t="shared" si="21"/>
        <v>-5.18632982719759</v>
      </c>
    </row>
    <row r="137" spans="1:17">
      <c r="A137" s="42">
        <v>4</v>
      </c>
      <c r="B137" s="47">
        <f>POLYOL!$L$6</f>
        <v>5000</v>
      </c>
      <c r="C137" s="47">
        <f t="shared" si="22"/>
        <v>1150</v>
      </c>
      <c r="D137" s="47">
        <f t="shared" si="14"/>
        <v>5.75</v>
      </c>
      <c r="E137" s="47">
        <f>POLYOL!$F$17/10^6</f>
        <v>4.0855</v>
      </c>
      <c r="F137" s="47">
        <f t="shared" si="15"/>
        <v>1.6645</v>
      </c>
      <c r="G137" s="47"/>
      <c r="H137" s="47">
        <f>POLYOL!$F$8/POLYOL!$K$12/10^6</f>
        <v>3.75</v>
      </c>
      <c r="I137" s="47">
        <f t="shared" si="16"/>
        <v>-2.0855</v>
      </c>
      <c r="J137" s="47">
        <f t="shared" si="17"/>
        <v>-8.342</v>
      </c>
      <c r="K137" s="47">
        <f t="shared" si="18"/>
        <v>-8.342</v>
      </c>
      <c r="L137" s="50">
        <f>IF(K137&gt;0,K137*POLYOL!$K$15,0)</f>
        <v>0</v>
      </c>
      <c r="M137" s="47">
        <f t="shared" si="13"/>
        <v>-2.0855</v>
      </c>
      <c r="N137" s="47">
        <f t="shared" si="19"/>
        <v>-8.342</v>
      </c>
      <c r="O137" s="47">
        <f>(1+POLYOL!$K$16)^-A137</f>
        <v>0.683013455365071</v>
      </c>
      <c r="P137" s="51">
        <f t="shared" si="20"/>
        <v>-1.42442456116386</v>
      </c>
      <c r="Q137" s="55">
        <f t="shared" si="21"/>
        <v>-6.61075438836145</v>
      </c>
    </row>
    <row r="138" spans="1:17">
      <c r="A138" s="46">
        <v>5</v>
      </c>
      <c r="B138" s="47">
        <f>POLYOL!$L$6</f>
        <v>5000</v>
      </c>
      <c r="C138" s="47">
        <f t="shared" si="22"/>
        <v>1150</v>
      </c>
      <c r="D138" s="47">
        <f t="shared" si="14"/>
        <v>5.75</v>
      </c>
      <c r="E138" s="47">
        <f>POLYOL!$F$17/10^6</f>
        <v>4.0855</v>
      </c>
      <c r="F138" s="47">
        <f t="shared" si="15"/>
        <v>1.6645</v>
      </c>
      <c r="G138" s="47"/>
      <c r="H138" s="47"/>
      <c r="I138" s="47">
        <f t="shared" si="16"/>
        <v>1.6645</v>
      </c>
      <c r="J138" s="47">
        <f t="shared" si="17"/>
        <v>-6.6775</v>
      </c>
      <c r="K138" s="47">
        <f t="shared" si="18"/>
        <v>-6.6775</v>
      </c>
      <c r="L138" s="50">
        <f>IF(K138&gt;0,K138*POLYOL!$K$15,0)</f>
        <v>0</v>
      </c>
      <c r="M138" s="47">
        <f t="shared" si="13"/>
        <v>1.6645</v>
      </c>
      <c r="N138" s="47">
        <f t="shared" si="19"/>
        <v>-6.6775</v>
      </c>
      <c r="O138" s="47">
        <f>(1+POLYOL!$K$16)^-A138</f>
        <v>0.620921323059155</v>
      </c>
      <c r="P138" s="51">
        <f t="shared" si="20"/>
        <v>1.03352354223196</v>
      </c>
      <c r="Q138" s="55">
        <f t="shared" si="21"/>
        <v>-5.57723084612948</v>
      </c>
    </row>
    <row r="139" spans="1:17">
      <c r="A139" s="42">
        <v>6</v>
      </c>
      <c r="B139" s="47">
        <f>POLYOL!$L$6</f>
        <v>5000</v>
      </c>
      <c r="C139" s="47">
        <f t="shared" si="22"/>
        <v>1150</v>
      </c>
      <c r="D139" s="47">
        <f t="shared" si="14"/>
        <v>5.75</v>
      </c>
      <c r="E139" s="47">
        <f>POLYOL!$F$17/10^6</f>
        <v>4.0855</v>
      </c>
      <c r="F139" s="47">
        <f t="shared" si="15"/>
        <v>1.6645</v>
      </c>
      <c r="G139" s="47"/>
      <c r="H139" s="47"/>
      <c r="I139" s="47">
        <f t="shared" si="16"/>
        <v>1.6645</v>
      </c>
      <c r="J139" s="47">
        <f t="shared" si="17"/>
        <v>-5.013</v>
      </c>
      <c r="K139" s="47">
        <f t="shared" si="18"/>
        <v>-5.013</v>
      </c>
      <c r="L139" s="50">
        <f>IF(K139&gt;0,K139*POLYOL!$K$15,0)</f>
        <v>0</v>
      </c>
      <c r="M139" s="47">
        <f t="shared" si="13"/>
        <v>1.6645</v>
      </c>
      <c r="N139" s="47">
        <f t="shared" si="19"/>
        <v>-5.013</v>
      </c>
      <c r="O139" s="47">
        <f>(1+POLYOL!$K$16)^-A139</f>
        <v>0.564473930053777</v>
      </c>
      <c r="P139" s="51">
        <f t="shared" si="20"/>
        <v>0.939566856574512</v>
      </c>
      <c r="Q139" s="55">
        <f t="shared" si="21"/>
        <v>-4.63766398955497</v>
      </c>
    </row>
    <row r="140" spans="1:17">
      <c r="A140" s="46">
        <v>7</v>
      </c>
      <c r="B140" s="47">
        <f>POLYOL!$L$6</f>
        <v>5000</v>
      </c>
      <c r="C140" s="47">
        <f t="shared" si="22"/>
        <v>1150</v>
      </c>
      <c r="D140" s="47">
        <f t="shared" si="14"/>
        <v>5.75</v>
      </c>
      <c r="E140" s="47">
        <f>POLYOL!$F$17/10^6</f>
        <v>4.0855</v>
      </c>
      <c r="F140" s="47">
        <f t="shared" si="15"/>
        <v>1.6645</v>
      </c>
      <c r="G140" s="47"/>
      <c r="H140" s="47"/>
      <c r="I140" s="47">
        <f t="shared" si="16"/>
        <v>1.6645</v>
      </c>
      <c r="J140" s="47">
        <f t="shared" si="17"/>
        <v>-3.3485</v>
      </c>
      <c r="K140" s="47">
        <f t="shared" si="18"/>
        <v>-3.3485</v>
      </c>
      <c r="L140" s="50">
        <f>IF(K140&gt;0,K140*POLYOL!$K$15,0)</f>
        <v>0</v>
      </c>
      <c r="M140" s="47">
        <f t="shared" si="13"/>
        <v>1.6645</v>
      </c>
      <c r="N140" s="47">
        <f t="shared" si="19"/>
        <v>-3.3485</v>
      </c>
      <c r="O140" s="47">
        <f>(1+POLYOL!$K$16)^-A140</f>
        <v>0.513158118230706</v>
      </c>
      <c r="P140" s="51">
        <f t="shared" si="20"/>
        <v>0.85415168779501</v>
      </c>
      <c r="Q140" s="55">
        <f t="shared" si="21"/>
        <v>-3.78351230175996</v>
      </c>
    </row>
    <row r="141" spans="1:17">
      <c r="A141" s="42">
        <v>8</v>
      </c>
      <c r="B141" s="47">
        <f>POLYOL!$L$6</f>
        <v>5000</v>
      </c>
      <c r="C141" s="47">
        <f t="shared" si="22"/>
        <v>1150</v>
      </c>
      <c r="D141" s="47">
        <f t="shared" si="14"/>
        <v>5.75</v>
      </c>
      <c r="E141" s="47">
        <f>POLYOL!$F$17/10^6</f>
        <v>4.0855</v>
      </c>
      <c r="F141" s="47">
        <f t="shared" si="15"/>
        <v>1.6645</v>
      </c>
      <c r="G141" s="47"/>
      <c r="H141" s="47"/>
      <c r="I141" s="47">
        <f t="shared" si="16"/>
        <v>1.6645</v>
      </c>
      <c r="J141" s="47">
        <f t="shared" si="17"/>
        <v>-1.684</v>
      </c>
      <c r="K141" s="47">
        <f>I141</f>
        <v>1.6645</v>
      </c>
      <c r="L141" s="50">
        <f>IF(K141&gt;0,K141*POLYOL!$K$15,0)</f>
        <v>0.3329</v>
      </c>
      <c r="M141" s="47">
        <f t="shared" si="13"/>
        <v>1.3316</v>
      </c>
      <c r="N141" s="47">
        <f t="shared" si="19"/>
        <v>-2.0169</v>
      </c>
      <c r="O141" s="47">
        <f>(1+POLYOL!$K$16)^-A141</f>
        <v>0.466507380209733</v>
      </c>
      <c r="P141" s="51">
        <f t="shared" si="20"/>
        <v>0.621201227487281</v>
      </c>
      <c r="Q141" s="55">
        <f t="shared" si="21"/>
        <v>-3.16231107427268</v>
      </c>
    </row>
    <row r="142" spans="1:17">
      <c r="A142" s="46">
        <v>9</v>
      </c>
      <c r="B142" s="47">
        <f>POLYOL!$L$6</f>
        <v>5000</v>
      </c>
      <c r="C142" s="47">
        <f t="shared" si="22"/>
        <v>1150</v>
      </c>
      <c r="D142" s="47">
        <f t="shared" si="14"/>
        <v>5.75</v>
      </c>
      <c r="E142" s="47">
        <f>POLYOL!$F$17/10^6</f>
        <v>4.0855</v>
      </c>
      <c r="F142" s="47">
        <f t="shared" si="15"/>
        <v>1.6645</v>
      </c>
      <c r="G142" s="47"/>
      <c r="H142" s="47"/>
      <c r="I142" s="47">
        <f t="shared" si="16"/>
        <v>1.6645</v>
      </c>
      <c r="J142" s="47">
        <f t="shared" ref="J142:J155" si="23">IF((J141+I142)&lt;0,(J141+I142),0)</f>
        <v>-0.0194999999999972</v>
      </c>
      <c r="K142" s="47">
        <f t="shared" ref="K142:K153" si="24">I142</f>
        <v>1.6645</v>
      </c>
      <c r="L142" s="50">
        <f>IF(K142&gt;0,K142*POLYOL!$K$15,0)</f>
        <v>0.3329</v>
      </c>
      <c r="M142" s="47">
        <f t="shared" si="13"/>
        <v>1.3316</v>
      </c>
      <c r="N142" s="47">
        <f t="shared" si="19"/>
        <v>-0.685299999999997</v>
      </c>
      <c r="O142" s="47">
        <f>(1+POLYOL!$K$16)^-A142</f>
        <v>0.424097618372485</v>
      </c>
      <c r="P142" s="51">
        <f t="shared" si="20"/>
        <v>0.564728388624801</v>
      </c>
      <c r="Q142" s="55">
        <f t="shared" si="21"/>
        <v>-2.59758268564788</v>
      </c>
    </row>
    <row r="143" spans="1:17">
      <c r="A143" s="42">
        <v>10</v>
      </c>
      <c r="B143" s="47">
        <f>POLYOL!$L$6</f>
        <v>5000</v>
      </c>
      <c r="C143" s="47">
        <f t="shared" si="22"/>
        <v>1150</v>
      </c>
      <c r="D143" s="47">
        <f t="shared" si="14"/>
        <v>5.75</v>
      </c>
      <c r="E143" s="47">
        <f>POLYOL!$F$17/10^6</f>
        <v>4.0855</v>
      </c>
      <c r="F143" s="47">
        <f t="shared" si="15"/>
        <v>1.6645</v>
      </c>
      <c r="G143" s="47"/>
      <c r="H143" s="47"/>
      <c r="I143" s="47">
        <f t="shared" si="16"/>
        <v>1.6645</v>
      </c>
      <c r="J143" s="47">
        <f t="shared" si="23"/>
        <v>0</v>
      </c>
      <c r="K143" s="47">
        <f t="shared" si="24"/>
        <v>1.6645</v>
      </c>
      <c r="L143" s="50">
        <f>IF(K143&gt;0,K143*POLYOL!$K$15,0)</f>
        <v>0.3329</v>
      </c>
      <c r="M143" s="47">
        <f t="shared" si="13"/>
        <v>1.3316</v>
      </c>
      <c r="N143" s="47">
        <f t="shared" si="19"/>
        <v>0.646300000000003</v>
      </c>
      <c r="O143" s="47">
        <f>(1+POLYOL!$K$16)^-A143</f>
        <v>0.385543289429531</v>
      </c>
      <c r="P143" s="51">
        <f t="shared" si="20"/>
        <v>0.513389444204364</v>
      </c>
      <c r="Q143" s="55">
        <f t="shared" si="21"/>
        <v>-2.08419324144352</v>
      </c>
    </row>
    <row r="144" spans="1:17">
      <c r="A144" s="46">
        <v>11</v>
      </c>
      <c r="B144" s="47">
        <f>POLYOL!$L$6</f>
        <v>5000</v>
      </c>
      <c r="C144" s="47">
        <f t="shared" si="22"/>
        <v>1150</v>
      </c>
      <c r="D144" s="47">
        <f t="shared" si="14"/>
        <v>5.75</v>
      </c>
      <c r="E144" s="47">
        <f>POLYOL!$F$17/10^6</f>
        <v>4.0855</v>
      </c>
      <c r="F144" s="47">
        <f t="shared" si="15"/>
        <v>1.6645</v>
      </c>
      <c r="G144" s="47"/>
      <c r="H144" s="47"/>
      <c r="I144" s="47">
        <f t="shared" si="16"/>
        <v>1.6645</v>
      </c>
      <c r="J144" s="47">
        <f t="shared" si="23"/>
        <v>0</v>
      </c>
      <c r="K144" s="47">
        <f t="shared" si="24"/>
        <v>1.6645</v>
      </c>
      <c r="L144" s="50">
        <f>IF(K144&gt;0,K144*POLYOL!$K$15,0)</f>
        <v>0.3329</v>
      </c>
      <c r="M144" s="47">
        <f t="shared" si="13"/>
        <v>1.3316</v>
      </c>
      <c r="N144" s="47">
        <f t="shared" si="19"/>
        <v>1.9779</v>
      </c>
      <c r="O144" s="47">
        <f>(1+POLYOL!$K$16)^-A144</f>
        <v>0.350493899481392</v>
      </c>
      <c r="P144" s="51">
        <f t="shared" si="20"/>
        <v>0.466717676549422</v>
      </c>
      <c r="Q144" s="55">
        <f t="shared" si="21"/>
        <v>-1.6174755648941</v>
      </c>
    </row>
    <row r="145" spans="1:17">
      <c r="A145" s="42">
        <v>12</v>
      </c>
      <c r="B145" s="47">
        <f>POLYOL!$L$6</f>
        <v>5000</v>
      </c>
      <c r="C145" s="47">
        <f t="shared" si="22"/>
        <v>1150</v>
      </c>
      <c r="D145" s="47">
        <f t="shared" si="14"/>
        <v>5.75</v>
      </c>
      <c r="E145" s="47">
        <f>POLYOL!$F$17/10^6</f>
        <v>4.0855</v>
      </c>
      <c r="F145" s="47">
        <f t="shared" si="15"/>
        <v>1.6645</v>
      </c>
      <c r="G145" s="47"/>
      <c r="H145" s="47"/>
      <c r="I145" s="47">
        <f t="shared" si="16"/>
        <v>1.6645</v>
      </c>
      <c r="J145" s="47">
        <f t="shared" si="23"/>
        <v>0</v>
      </c>
      <c r="K145" s="47">
        <f t="shared" si="24"/>
        <v>1.6645</v>
      </c>
      <c r="L145" s="50">
        <f>IF(K145&gt;0,K145*POLYOL!$K$15,0)</f>
        <v>0.3329</v>
      </c>
      <c r="M145" s="47">
        <f t="shared" si="13"/>
        <v>1.3316</v>
      </c>
      <c r="N145" s="47">
        <f t="shared" si="19"/>
        <v>3.3095</v>
      </c>
      <c r="O145" s="47">
        <f>(1+POLYOL!$K$16)^-A145</f>
        <v>0.318630817710357</v>
      </c>
      <c r="P145" s="51">
        <f t="shared" si="20"/>
        <v>0.424288796863111</v>
      </c>
      <c r="Q145" s="55">
        <f t="shared" si="21"/>
        <v>-1.19318676803098</v>
      </c>
    </row>
    <row r="146" spans="1:17">
      <c r="A146" s="46">
        <v>13</v>
      </c>
      <c r="B146" s="47">
        <f>POLYOL!$L$6</f>
        <v>5000</v>
      </c>
      <c r="C146" s="47">
        <f t="shared" si="22"/>
        <v>1150</v>
      </c>
      <c r="D146" s="47">
        <f t="shared" si="14"/>
        <v>5.75</v>
      </c>
      <c r="E146" s="47">
        <f>POLYOL!$F$17/10^6</f>
        <v>4.0855</v>
      </c>
      <c r="F146" s="47">
        <f t="shared" si="15"/>
        <v>1.6645</v>
      </c>
      <c r="G146" s="47"/>
      <c r="H146" s="47"/>
      <c r="I146" s="47">
        <f t="shared" si="16"/>
        <v>1.6645</v>
      </c>
      <c r="J146" s="47">
        <f t="shared" si="23"/>
        <v>0</v>
      </c>
      <c r="K146" s="47">
        <f t="shared" si="24"/>
        <v>1.6645</v>
      </c>
      <c r="L146" s="50">
        <f>IF(K146&gt;0,K146*POLYOL!$K$15,0)</f>
        <v>0.3329</v>
      </c>
      <c r="M146" s="47">
        <f t="shared" si="13"/>
        <v>1.3316</v>
      </c>
      <c r="N146" s="47">
        <f t="shared" si="19"/>
        <v>4.6411</v>
      </c>
      <c r="O146" s="47">
        <f>(1+POLYOL!$K$16)^-A146</f>
        <v>0.289664379736688</v>
      </c>
      <c r="P146" s="51">
        <f t="shared" si="20"/>
        <v>0.385717088057374</v>
      </c>
      <c r="Q146" s="55">
        <f t="shared" si="21"/>
        <v>-0.80746967997361</v>
      </c>
    </row>
    <row r="147" spans="1:17">
      <c r="A147" s="42">
        <v>14</v>
      </c>
      <c r="B147" s="47">
        <f>POLYOL!$L$6</f>
        <v>5000</v>
      </c>
      <c r="C147" s="47">
        <f t="shared" si="22"/>
        <v>1150</v>
      </c>
      <c r="D147" s="47">
        <f t="shared" si="14"/>
        <v>5.75</v>
      </c>
      <c r="E147" s="47">
        <f>POLYOL!$F$17/10^6</f>
        <v>4.0855</v>
      </c>
      <c r="F147" s="47">
        <f t="shared" si="15"/>
        <v>1.6645</v>
      </c>
      <c r="G147" s="47"/>
      <c r="H147" s="47"/>
      <c r="I147" s="47">
        <f t="shared" si="16"/>
        <v>1.6645</v>
      </c>
      <c r="J147" s="47">
        <f t="shared" si="23"/>
        <v>0</v>
      </c>
      <c r="K147" s="47">
        <f t="shared" si="24"/>
        <v>1.6645</v>
      </c>
      <c r="L147" s="50">
        <f>IF(K147&gt;0,K147*POLYOL!$K$15,0)</f>
        <v>0.3329</v>
      </c>
      <c r="M147" s="47">
        <f t="shared" si="13"/>
        <v>1.3316</v>
      </c>
      <c r="N147" s="47">
        <f t="shared" si="19"/>
        <v>5.97270000000001</v>
      </c>
      <c r="O147" s="47">
        <f>(1+POLYOL!$K$16)^-A147</f>
        <v>0.26333125430608</v>
      </c>
      <c r="P147" s="51">
        <f t="shared" si="20"/>
        <v>0.350651898233976</v>
      </c>
      <c r="Q147" s="55">
        <f t="shared" si="21"/>
        <v>-0.456817781739634</v>
      </c>
    </row>
    <row r="148" spans="1:17">
      <c r="A148" s="46">
        <v>15</v>
      </c>
      <c r="B148" s="47">
        <f>POLYOL!$L$6</f>
        <v>5000</v>
      </c>
      <c r="C148" s="47">
        <f t="shared" si="22"/>
        <v>1150</v>
      </c>
      <c r="D148" s="47">
        <f t="shared" si="14"/>
        <v>5.75</v>
      </c>
      <c r="E148" s="47">
        <f>POLYOL!$F$17/10^6</f>
        <v>4.0855</v>
      </c>
      <c r="F148" s="47">
        <f t="shared" si="15"/>
        <v>1.6645</v>
      </c>
      <c r="G148" s="47"/>
      <c r="H148" s="47"/>
      <c r="I148" s="47">
        <f t="shared" si="16"/>
        <v>1.6645</v>
      </c>
      <c r="J148" s="47">
        <f t="shared" si="23"/>
        <v>0</v>
      </c>
      <c r="K148" s="47">
        <f t="shared" si="24"/>
        <v>1.6645</v>
      </c>
      <c r="L148" s="50">
        <f>IF(K148&gt;0,K148*POLYOL!$K$15,0)</f>
        <v>0.3329</v>
      </c>
      <c r="M148" s="47">
        <f t="shared" si="13"/>
        <v>1.3316</v>
      </c>
      <c r="N148" s="47">
        <f t="shared" si="19"/>
        <v>7.3043</v>
      </c>
      <c r="O148" s="47">
        <f>(1+POLYOL!$K$16)^-A148</f>
        <v>0.239392049369163</v>
      </c>
      <c r="P148" s="51">
        <f t="shared" si="20"/>
        <v>0.318774452939978</v>
      </c>
      <c r="Q148" s="55">
        <f t="shared" si="21"/>
        <v>-0.138043328799656</v>
      </c>
    </row>
    <row r="149" spans="1:17">
      <c r="A149" s="42">
        <v>16</v>
      </c>
      <c r="B149" s="47">
        <f>POLYOL!$L$6</f>
        <v>5000</v>
      </c>
      <c r="C149" s="47">
        <f t="shared" si="22"/>
        <v>1150</v>
      </c>
      <c r="D149" s="47">
        <f t="shared" si="14"/>
        <v>5.75</v>
      </c>
      <c r="E149" s="47">
        <f>POLYOL!$F$17/10^6</f>
        <v>4.0855</v>
      </c>
      <c r="F149" s="47">
        <f t="shared" si="15"/>
        <v>1.6645</v>
      </c>
      <c r="G149" s="47"/>
      <c r="H149" s="47"/>
      <c r="I149" s="47">
        <f t="shared" si="16"/>
        <v>1.6645</v>
      </c>
      <c r="J149" s="47">
        <f t="shared" si="23"/>
        <v>0</v>
      </c>
      <c r="K149" s="47">
        <f t="shared" si="24"/>
        <v>1.6645</v>
      </c>
      <c r="L149" s="50">
        <f>IF(K149&gt;0,K149*POLYOL!$K$15,0)</f>
        <v>0.3329</v>
      </c>
      <c r="M149" s="47">
        <f t="shared" si="13"/>
        <v>1.3316</v>
      </c>
      <c r="N149" s="47">
        <f t="shared" si="19"/>
        <v>8.6359</v>
      </c>
      <c r="O149" s="47">
        <f>(1+POLYOL!$K$16)^-A149</f>
        <v>0.217629135790149</v>
      </c>
      <c r="P149" s="51">
        <f t="shared" si="20"/>
        <v>0.289794957218163</v>
      </c>
      <c r="Q149" s="55">
        <f t="shared" si="21"/>
        <v>0.151751628418506</v>
      </c>
    </row>
    <row r="150" spans="1:17">
      <c r="A150" s="46">
        <v>17</v>
      </c>
      <c r="B150" s="47">
        <f>POLYOL!$L$6</f>
        <v>5000</v>
      </c>
      <c r="C150" s="47">
        <f t="shared" si="22"/>
        <v>1150</v>
      </c>
      <c r="D150" s="47">
        <f t="shared" si="14"/>
        <v>5.75</v>
      </c>
      <c r="E150" s="47">
        <f>POLYOL!$F$17/10^6</f>
        <v>4.0855</v>
      </c>
      <c r="F150" s="47">
        <f t="shared" si="15"/>
        <v>1.6645</v>
      </c>
      <c r="G150" s="47"/>
      <c r="H150" s="47"/>
      <c r="I150" s="47">
        <f t="shared" si="16"/>
        <v>1.6645</v>
      </c>
      <c r="J150" s="47">
        <f t="shared" si="23"/>
        <v>0</v>
      </c>
      <c r="K150" s="47">
        <f t="shared" si="24"/>
        <v>1.6645</v>
      </c>
      <c r="L150" s="50">
        <f>IF(K150&gt;0,K150*POLYOL!$K$15,0)</f>
        <v>0.3329</v>
      </c>
      <c r="M150" s="47">
        <f t="shared" si="13"/>
        <v>1.3316</v>
      </c>
      <c r="N150" s="47">
        <f t="shared" si="19"/>
        <v>9.9675</v>
      </c>
      <c r="O150" s="47">
        <f>(1+POLYOL!$K$16)^-A150</f>
        <v>0.197844668900135</v>
      </c>
      <c r="P150" s="51">
        <f t="shared" si="20"/>
        <v>0.26344996110742</v>
      </c>
      <c r="Q150" s="55">
        <f t="shared" si="21"/>
        <v>0.415201589525926</v>
      </c>
    </row>
    <row r="151" spans="1:17">
      <c r="A151" s="42">
        <v>18</v>
      </c>
      <c r="B151" s="47">
        <f>POLYOL!$L$6</f>
        <v>5000</v>
      </c>
      <c r="C151" s="47">
        <f t="shared" si="22"/>
        <v>1150</v>
      </c>
      <c r="D151" s="47">
        <f t="shared" si="14"/>
        <v>5.75</v>
      </c>
      <c r="E151" s="47">
        <f>POLYOL!$F$17/10^6</f>
        <v>4.0855</v>
      </c>
      <c r="F151" s="47">
        <f t="shared" si="15"/>
        <v>1.6645</v>
      </c>
      <c r="G151" s="47"/>
      <c r="H151" s="47"/>
      <c r="I151" s="47">
        <f t="shared" si="16"/>
        <v>1.6645</v>
      </c>
      <c r="J151" s="47">
        <f t="shared" si="23"/>
        <v>0</v>
      </c>
      <c r="K151" s="47">
        <f t="shared" si="24"/>
        <v>1.6645</v>
      </c>
      <c r="L151" s="50">
        <f>IF(K151&gt;0,K151*POLYOL!$K$15,0)</f>
        <v>0.3329</v>
      </c>
      <c r="M151" s="47">
        <f t="shared" si="13"/>
        <v>1.3316</v>
      </c>
      <c r="N151" s="47">
        <f t="shared" si="19"/>
        <v>11.2991</v>
      </c>
      <c r="O151" s="47">
        <f>(1+POLYOL!$K$16)^-A151</f>
        <v>0.179858789909214</v>
      </c>
      <c r="P151" s="51">
        <f t="shared" si="20"/>
        <v>0.239499964643109</v>
      </c>
      <c r="Q151" s="55">
        <f t="shared" si="21"/>
        <v>0.654701554169035</v>
      </c>
    </row>
    <row r="152" spans="1:17">
      <c r="A152" s="46">
        <v>19</v>
      </c>
      <c r="B152" s="47">
        <f>POLYOL!$L$6</f>
        <v>5000</v>
      </c>
      <c r="C152" s="47">
        <f t="shared" si="22"/>
        <v>1150</v>
      </c>
      <c r="D152" s="47">
        <f t="shared" si="14"/>
        <v>5.75</v>
      </c>
      <c r="E152" s="47">
        <f>POLYOL!$F$17/10^6</f>
        <v>4.0855</v>
      </c>
      <c r="F152" s="47">
        <f t="shared" si="15"/>
        <v>1.6645</v>
      </c>
      <c r="G152" s="47"/>
      <c r="H152" s="47"/>
      <c r="I152" s="47">
        <f t="shared" si="16"/>
        <v>1.6645</v>
      </c>
      <c r="J152" s="47">
        <f t="shared" si="23"/>
        <v>0</v>
      </c>
      <c r="K152" s="47">
        <f t="shared" si="24"/>
        <v>1.6645</v>
      </c>
      <c r="L152" s="50">
        <f>IF(K152&gt;0,K152*POLYOL!$K$15,0)</f>
        <v>0.3329</v>
      </c>
      <c r="M152" s="47">
        <f t="shared" si="13"/>
        <v>1.3316</v>
      </c>
      <c r="N152" s="47">
        <f t="shared" si="19"/>
        <v>12.6307</v>
      </c>
      <c r="O152" s="47">
        <f>(1+POLYOL!$K$16)^-A152</f>
        <v>0.163507990826558</v>
      </c>
      <c r="P152" s="51">
        <f t="shared" si="20"/>
        <v>0.217727240584645</v>
      </c>
      <c r="Q152" s="55">
        <f t="shared" si="21"/>
        <v>0.87242879475368</v>
      </c>
    </row>
    <row r="153" spans="1:17">
      <c r="A153" s="42">
        <v>20</v>
      </c>
      <c r="B153" s="47">
        <f>POLYOL!$L$6</f>
        <v>5000</v>
      </c>
      <c r="C153" s="47">
        <f t="shared" si="22"/>
        <v>1150</v>
      </c>
      <c r="D153" s="47">
        <f t="shared" si="14"/>
        <v>5.75</v>
      </c>
      <c r="E153" s="47">
        <f>POLYOL!$F$17/10^6</f>
        <v>4.0855</v>
      </c>
      <c r="F153" s="47">
        <f t="shared" si="15"/>
        <v>1.6645</v>
      </c>
      <c r="G153" s="47"/>
      <c r="H153" s="47"/>
      <c r="I153" s="47">
        <f t="shared" si="16"/>
        <v>1.6645</v>
      </c>
      <c r="J153" s="47">
        <f t="shared" si="23"/>
        <v>0</v>
      </c>
      <c r="K153" s="47">
        <f t="shared" si="24"/>
        <v>1.6645</v>
      </c>
      <c r="L153" s="50">
        <f>IF(K153&gt;0,K153*POLYOL!$K$15,0)</f>
        <v>0.3329</v>
      </c>
      <c r="M153" s="47">
        <f t="shared" si="13"/>
        <v>1.3316</v>
      </c>
      <c r="N153" s="47">
        <f t="shared" si="19"/>
        <v>13.9623</v>
      </c>
      <c r="O153" s="47">
        <f>(1+POLYOL!$K$16)^-A153</f>
        <v>0.148643628024143</v>
      </c>
      <c r="P153" s="51">
        <f t="shared" si="20"/>
        <v>0.197933855076949</v>
      </c>
      <c r="Q153" s="55">
        <f t="shared" si="21"/>
        <v>1.07036264983063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1.07036264983063</v>
      </c>
      <c r="Q154" s="47"/>
    </row>
    <row r="155" spans="1:17">
      <c r="A155" s="6" t="s">
        <v>85</v>
      </c>
      <c r="B155" s="6">
        <f>B131-200</f>
        <v>950</v>
      </c>
      <c r="C155" s="6"/>
      <c r="D155" s="6"/>
      <c r="E155" s="6"/>
      <c r="F155" s="6"/>
      <c r="G155" s="6"/>
      <c r="H155" s="6"/>
      <c r="I155" s="6"/>
      <c r="J155" s="47"/>
      <c r="K155" s="6"/>
      <c r="L155" s="6"/>
      <c r="M155" s="6"/>
      <c r="N155" s="6"/>
      <c r="O155" s="6"/>
      <c r="P155" s="6"/>
      <c r="Q155" s="6"/>
    </row>
    <row r="156" ht="45" spans="1:17">
      <c r="A156" s="40" t="s">
        <v>34</v>
      </c>
      <c r="B156" s="41" t="s">
        <v>35</v>
      </c>
      <c r="C156" s="41" t="s">
        <v>36</v>
      </c>
      <c r="D156" s="41" t="s">
        <v>86</v>
      </c>
      <c r="E156" s="41" t="s">
        <v>87</v>
      </c>
      <c r="F156" s="41" t="s">
        <v>88</v>
      </c>
      <c r="G156" s="41" t="s">
        <v>40</v>
      </c>
      <c r="H156" s="41" t="s">
        <v>89</v>
      </c>
      <c r="I156" s="41" t="s">
        <v>90</v>
      </c>
      <c r="J156" s="41" t="s">
        <v>91</v>
      </c>
      <c r="K156" s="48" t="s">
        <v>92</v>
      </c>
      <c r="L156" s="49" t="s">
        <v>93</v>
      </c>
      <c r="M156" s="49" t="s">
        <v>94</v>
      </c>
      <c r="N156" s="49" t="s">
        <v>95</v>
      </c>
      <c r="O156" s="49" t="s">
        <v>48</v>
      </c>
      <c r="P156" s="49" t="s">
        <v>96</v>
      </c>
      <c r="Q156" s="49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POLYOL!F8</f>
        <v>15000000</v>
      </c>
      <c r="H157" s="44"/>
      <c r="I157" s="44"/>
      <c r="J157" s="44"/>
      <c r="K157" s="47">
        <f t="shared" ref="K157:K165" si="25">J157</f>
        <v>0</v>
      </c>
      <c r="L157" s="50">
        <f>IF(K157&gt;0,K157*POLYOL!$K$15,0)</f>
        <v>0</v>
      </c>
      <c r="M157" s="47">
        <f t="shared" ref="M157:M177" si="26">I157-L157</f>
        <v>0</v>
      </c>
      <c r="N157" s="47">
        <v>0</v>
      </c>
      <c r="O157" s="47">
        <f>(1+POLYOL!$K$16)^-A157</f>
        <v>1</v>
      </c>
      <c r="P157" s="51">
        <f>N157*O157</f>
        <v>0</v>
      </c>
      <c r="Q157" s="54">
        <f>P157</f>
        <v>0</v>
      </c>
    </row>
    <row r="158" spans="1:17">
      <c r="A158" s="46">
        <v>1</v>
      </c>
      <c r="B158" s="47">
        <f t="shared" ref="B158:B177" si="27">$B$134</f>
        <v>5000</v>
      </c>
      <c r="C158" s="47">
        <f>B155</f>
        <v>950</v>
      </c>
      <c r="D158" s="47">
        <f t="shared" ref="D158:D177" si="28">B158*C158/10^6</f>
        <v>4.75</v>
      </c>
      <c r="E158" s="47">
        <f>POLYOL!$F$17/10^6</f>
        <v>4.0855</v>
      </c>
      <c r="F158" s="47">
        <f t="shared" ref="F158:F177" si="29">D158-E158</f>
        <v>0.6645</v>
      </c>
      <c r="G158" s="47"/>
      <c r="H158" s="47">
        <f>POLYOL!$F$8/POLYOL!$K$12/10^6</f>
        <v>3.75</v>
      </c>
      <c r="I158" s="47">
        <f t="shared" ref="I158:I177" si="30">F158-H158</f>
        <v>-3.0855</v>
      </c>
      <c r="J158" s="47">
        <f t="shared" ref="J158:J165" si="31">IF((J157+I158)&lt;0,(J157+I158),0)</f>
        <v>-3.0855</v>
      </c>
      <c r="K158" s="47">
        <f t="shared" si="25"/>
        <v>-3.0855</v>
      </c>
      <c r="L158" s="50">
        <f>IF(K158&gt;0,K158*POLYOL!$K$15,0)</f>
        <v>0</v>
      </c>
      <c r="M158" s="47">
        <f t="shared" si="26"/>
        <v>-3.0855</v>
      </c>
      <c r="N158" s="47">
        <f t="shared" ref="N158:N177" si="32">N157+M158</f>
        <v>-3.0855</v>
      </c>
      <c r="O158" s="47">
        <f>(1+POLYOL!$K$16)^-A158</f>
        <v>0.909090909090909</v>
      </c>
      <c r="P158" s="51">
        <f t="shared" ref="P158:P177" si="33">M158*O158</f>
        <v>-2.805</v>
      </c>
      <c r="Q158" s="55">
        <f t="shared" ref="Q158:Q177" si="34">Q157+P158</f>
        <v>-2.805</v>
      </c>
    </row>
    <row r="159" spans="1:17">
      <c r="A159" s="42">
        <v>2</v>
      </c>
      <c r="B159" s="47">
        <f t="shared" si="27"/>
        <v>5000</v>
      </c>
      <c r="C159" s="47">
        <f t="shared" ref="C159:C177" si="35">$C$158</f>
        <v>950</v>
      </c>
      <c r="D159" s="47">
        <f t="shared" si="28"/>
        <v>4.75</v>
      </c>
      <c r="E159" s="47">
        <f>POLYOL!$F$17/10^6</f>
        <v>4.0855</v>
      </c>
      <c r="F159" s="47">
        <f t="shared" si="29"/>
        <v>0.6645</v>
      </c>
      <c r="G159" s="47"/>
      <c r="H159" s="47">
        <f>POLYOL!$F$8/POLYOL!$K$12/10^6</f>
        <v>3.75</v>
      </c>
      <c r="I159" s="47">
        <f t="shared" si="30"/>
        <v>-3.0855</v>
      </c>
      <c r="J159" s="47">
        <f t="shared" si="31"/>
        <v>-6.171</v>
      </c>
      <c r="K159" s="47">
        <f t="shared" si="25"/>
        <v>-6.171</v>
      </c>
      <c r="L159" s="50">
        <f>IF(K159&gt;0,K159*POLYOL!$K$15,0)</f>
        <v>0</v>
      </c>
      <c r="M159" s="47">
        <f t="shared" si="26"/>
        <v>-3.0855</v>
      </c>
      <c r="N159" s="47">
        <f t="shared" si="32"/>
        <v>-6.171</v>
      </c>
      <c r="O159" s="47">
        <f>(1+POLYOL!$K$16)^-A159</f>
        <v>0.826446280991735</v>
      </c>
      <c r="P159" s="51">
        <f t="shared" si="33"/>
        <v>-2.55</v>
      </c>
      <c r="Q159" s="55">
        <f t="shared" si="34"/>
        <v>-5.355</v>
      </c>
    </row>
    <row r="160" spans="1:17">
      <c r="A160" s="46">
        <v>3</v>
      </c>
      <c r="B160" s="47">
        <f t="shared" si="27"/>
        <v>5000</v>
      </c>
      <c r="C160" s="47">
        <f t="shared" si="35"/>
        <v>950</v>
      </c>
      <c r="D160" s="47">
        <f t="shared" si="28"/>
        <v>4.75</v>
      </c>
      <c r="E160" s="47">
        <f>POLYOL!$F$17/10^6</f>
        <v>4.0855</v>
      </c>
      <c r="F160" s="47">
        <f t="shared" si="29"/>
        <v>0.6645</v>
      </c>
      <c r="G160" s="47"/>
      <c r="H160" s="47">
        <f>POLYOL!$F$8/POLYOL!$K$12/10^6</f>
        <v>3.75</v>
      </c>
      <c r="I160" s="47">
        <f t="shared" si="30"/>
        <v>-3.0855</v>
      </c>
      <c r="J160" s="47">
        <f t="shared" si="31"/>
        <v>-9.2565</v>
      </c>
      <c r="K160" s="47">
        <f t="shared" si="25"/>
        <v>-9.2565</v>
      </c>
      <c r="L160" s="50">
        <f>IF(K160&gt;0,K160*POLYOL!$K$15,0)</f>
        <v>0</v>
      </c>
      <c r="M160" s="47">
        <f t="shared" si="26"/>
        <v>-3.0855</v>
      </c>
      <c r="N160" s="47">
        <f t="shared" si="32"/>
        <v>-9.2565</v>
      </c>
      <c r="O160" s="47">
        <f>(1+POLYOL!$K$16)^-A160</f>
        <v>0.751314800901578</v>
      </c>
      <c r="P160" s="51">
        <f t="shared" si="33"/>
        <v>-2.31818181818182</v>
      </c>
      <c r="Q160" s="55">
        <f t="shared" si="34"/>
        <v>-7.67318181818182</v>
      </c>
    </row>
    <row r="161" spans="1:17">
      <c r="A161" s="42">
        <v>4</v>
      </c>
      <c r="B161" s="47">
        <f t="shared" si="27"/>
        <v>5000</v>
      </c>
      <c r="C161" s="47">
        <f t="shared" si="35"/>
        <v>950</v>
      </c>
      <c r="D161" s="47">
        <f t="shared" si="28"/>
        <v>4.75</v>
      </c>
      <c r="E161" s="47">
        <f>POLYOL!$F$17/10^6</f>
        <v>4.0855</v>
      </c>
      <c r="F161" s="47">
        <f t="shared" si="29"/>
        <v>0.6645</v>
      </c>
      <c r="G161" s="47"/>
      <c r="H161" s="47">
        <f>POLYOL!$F$8/POLYOL!$K$12/10^6</f>
        <v>3.75</v>
      </c>
      <c r="I161" s="47">
        <f t="shared" si="30"/>
        <v>-3.0855</v>
      </c>
      <c r="J161" s="47">
        <f t="shared" si="31"/>
        <v>-12.342</v>
      </c>
      <c r="K161" s="47">
        <f t="shared" si="25"/>
        <v>-12.342</v>
      </c>
      <c r="L161" s="50">
        <f>IF(K161&gt;0,K161*POLYOL!$K$15,0)</f>
        <v>0</v>
      </c>
      <c r="M161" s="47">
        <f t="shared" si="26"/>
        <v>-3.0855</v>
      </c>
      <c r="N161" s="47">
        <f t="shared" si="32"/>
        <v>-12.342</v>
      </c>
      <c r="O161" s="47">
        <f>(1+POLYOL!$K$16)^-A161</f>
        <v>0.683013455365071</v>
      </c>
      <c r="P161" s="51">
        <f t="shared" si="33"/>
        <v>-2.10743801652893</v>
      </c>
      <c r="Q161" s="55">
        <f t="shared" si="34"/>
        <v>-9.78061983471074</v>
      </c>
    </row>
    <row r="162" spans="1:17">
      <c r="A162" s="46">
        <v>5</v>
      </c>
      <c r="B162" s="47">
        <f t="shared" si="27"/>
        <v>5000</v>
      </c>
      <c r="C162" s="47">
        <f t="shared" si="35"/>
        <v>950</v>
      </c>
      <c r="D162" s="47">
        <f t="shared" si="28"/>
        <v>4.75</v>
      </c>
      <c r="E162" s="47">
        <f>POLYOL!$F$17/10^6</f>
        <v>4.0855</v>
      </c>
      <c r="F162" s="47">
        <f t="shared" si="29"/>
        <v>0.6645</v>
      </c>
      <c r="G162" s="47"/>
      <c r="H162" s="47"/>
      <c r="I162" s="47">
        <f t="shared" si="30"/>
        <v>0.6645</v>
      </c>
      <c r="J162" s="47">
        <f t="shared" si="31"/>
        <v>-11.6775</v>
      </c>
      <c r="K162" s="47">
        <f t="shared" si="25"/>
        <v>-11.6775</v>
      </c>
      <c r="L162" s="50">
        <f>IF(K162&gt;0,K162*POLYOL!$K$15,0)</f>
        <v>0</v>
      </c>
      <c r="M162" s="47">
        <f t="shared" si="26"/>
        <v>0.6645</v>
      </c>
      <c r="N162" s="47">
        <f t="shared" si="32"/>
        <v>-11.6775</v>
      </c>
      <c r="O162" s="47">
        <f>(1+POLYOL!$K$16)^-A162</f>
        <v>0.620921323059155</v>
      </c>
      <c r="P162" s="51">
        <f t="shared" si="33"/>
        <v>0.412602219172809</v>
      </c>
      <c r="Q162" s="55">
        <f t="shared" si="34"/>
        <v>-9.36801761553793</v>
      </c>
    </row>
    <row r="163" spans="1:17">
      <c r="A163" s="42">
        <v>6</v>
      </c>
      <c r="B163" s="47">
        <f t="shared" si="27"/>
        <v>5000</v>
      </c>
      <c r="C163" s="47">
        <f t="shared" si="35"/>
        <v>950</v>
      </c>
      <c r="D163" s="47">
        <f t="shared" si="28"/>
        <v>4.75</v>
      </c>
      <c r="E163" s="47">
        <f>POLYOL!$F$17/10^6</f>
        <v>4.0855</v>
      </c>
      <c r="F163" s="47">
        <f t="shared" si="29"/>
        <v>0.6645</v>
      </c>
      <c r="G163" s="47"/>
      <c r="H163" s="47"/>
      <c r="I163" s="47">
        <f t="shared" si="30"/>
        <v>0.6645</v>
      </c>
      <c r="J163" s="47">
        <f t="shared" si="31"/>
        <v>-11.013</v>
      </c>
      <c r="K163" s="47">
        <f t="shared" si="25"/>
        <v>-11.013</v>
      </c>
      <c r="L163" s="50">
        <f>IF(K163&gt;0,K163*POLYOL!$K$15,0)</f>
        <v>0</v>
      </c>
      <c r="M163" s="47">
        <f t="shared" si="26"/>
        <v>0.6645</v>
      </c>
      <c r="N163" s="47">
        <f t="shared" si="32"/>
        <v>-11.013</v>
      </c>
      <c r="O163" s="47">
        <f>(1+POLYOL!$K$16)^-A163</f>
        <v>0.564473930053777</v>
      </c>
      <c r="P163" s="51">
        <f t="shared" si="33"/>
        <v>0.375092926520735</v>
      </c>
      <c r="Q163" s="55">
        <f t="shared" si="34"/>
        <v>-8.9929246890172</v>
      </c>
    </row>
    <row r="164" spans="1:17">
      <c r="A164" s="46">
        <v>7</v>
      </c>
      <c r="B164" s="47">
        <f t="shared" si="27"/>
        <v>5000</v>
      </c>
      <c r="C164" s="47">
        <f t="shared" si="35"/>
        <v>950</v>
      </c>
      <c r="D164" s="47">
        <f t="shared" si="28"/>
        <v>4.75</v>
      </c>
      <c r="E164" s="47">
        <f>POLYOL!$F$17/10^6</f>
        <v>4.0855</v>
      </c>
      <c r="F164" s="47">
        <f t="shared" si="29"/>
        <v>0.6645</v>
      </c>
      <c r="G164" s="47"/>
      <c r="H164" s="47"/>
      <c r="I164" s="47">
        <f t="shared" si="30"/>
        <v>0.6645</v>
      </c>
      <c r="J164" s="47">
        <f t="shared" si="31"/>
        <v>-10.3485</v>
      </c>
      <c r="K164" s="47">
        <f t="shared" si="25"/>
        <v>-10.3485</v>
      </c>
      <c r="L164" s="50">
        <f>IF(K164&gt;0,K164*POLYOL!$K$15,0)</f>
        <v>0</v>
      </c>
      <c r="M164" s="47">
        <f t="shared" si="26"/>
        <v>0.6645</v>
      </c>
      <c r="N164" s="47">
        <f t="shared" si="32"/>
        <v>-10.3485</v>
      </c>
      <c r="O164" s="47">
        <f>(1+POLYOL!$K$16)^-A164</f>
        <v>0.513158118230706</v>
      </c>
      <c r="P164" s="51">
        <f t="shared" si="33"/>
        <v>0.340993569564304</v>
      </c>
      <c r="Q164" s="55">
        <f t="shared" si="34"/>
        <v>-8.65193111945289</v>
      </c>
    </row>
    <row r="165" spans="1:17">
      <c r="A165" s="42">
        <v>8</v>
      </c>
      <c r="B165" s="47">
        <f t="shared" si="27"/>
        <v>5000</v>
      </c>
      <c r="C165" s="47">
        <f t="shared" si="35"/>
        <v>950</v>
      </c>
      <c r="D165" s="47">
        <f t="shared" si="28"/>
        <v>4.75</v>
      </c>
      <c r="E165" s="47">
        <f>POLYOL!$F$17/10^6</f>
        <v>4.0855</v>
      </c>
      <c r="F165" s="47">
        <f t="shared" si="29"/>
        <v>0.6645</v>
      </c>
      <c r="G165" s="47"/>
      <c r="H165" s="47"/>
      <c r="I165" s="47">
        <f t="shared" si="30"/>
        <v>0.6645</v>
      </c>
      <c r="J165" s="47">
        <f t="shared" si="31"/>
        <v>-9.684</v>
      </c>
      <c r="K165" s="47">
        <f>I165</f>
        <v>0.6645</v>
      </c>
      <c r="L165" s="50">
        <f>IF(K165&gt;0,K165*POLYOL!$K$15,0)</f>
        <v>0.1329</v>
      </c>
      <c r="M165" s="47">
        <f t="shared" si="26"/>
        <v>0.5316</v>
      </c>
      <c r="N165" s="47">
        <f t="shared" si="32"/>
        <v>-9.8169</v>
      </c>
      <c r="O165" s="47">
        <f>(1+POLYOL!$K$16)^-A165</f>
        <v>0.466507380209733</v>
      </c>
      <c r="P165" s="51">
        <f t="shared" si="33"/>
        <v>0.247995323319494</v>
      </c>
      <c r="Q165" s="55">
        <f t="shared" si="34"/>
        <v>-8.4039357961334</v>
      </c>
    </row>
    <row r="166" spans="1:17">
      <c r="A166" s="46">
        <v>9</v>
      </c>
      <c r="B166" s="47">
        <f t="shared" si="27"/>
        <v>5000</v>
      </c>
      <c r="C166" s="47">
        <f t="shared" si="35"/>
        <v>950</v>
      </c>
      <c r="D166" s="47">
        <f t="shared" si="28"/>
        <v>4.75</v>
      </c>
      <c r="E166" s="47">
        <f>POLYOL!$F$17/10^6</f>
        <v>4.0855</v>
      </c>
      <c r="F166" s="47">
        <f t="shared" si="29"/>
        <v>0.6645</v>
      </c>
      <c r="G166" s="47"/>
      <c r="H166" s="47"/>
      <c r="I166" s="47">
        <f t="shared" si="30"/>
        <v>0.6645</v>
      </c>
      <c r="J166" s="47">
        <f t="shared" ref="J166:J178" si="36">IF((J165+I166)&lt;0,(J165+I166),0)</f>
        <v>-9.0195</v>
      </c>
      <c r="K166" s="47">
        <f t="shared" ref="K166:K177" si="37">I166</f>
        <v>0.6645</v>
      </c>
      <c r="L166" s="50">
        <f>IF(K166&gt;0,K166*POLYOL!$K$15,0)</f>
        <v>0.1329</v>
      </c>
      <c r="M166" s="47">
        <f t="shared" si="26"/>
        <v>0.5316</v>
      </c>
      <c r="N166" s="47">
        <f t="shared" si="32"/>
        <v>-9.2853</v>
      </c>
      <c r="O166" s="47">
        <f>(1+POLYOL!$K$16)^-A166</f>
        <v>0.424097618372485</v>
      </c>
      <c r="P166" s="51">
        <f t="shared" si="33"/>
        <v>0.225450293926813</v>
      </c>
      <c r="Q166" s="55">
        <f t="shared" si="34"/>
        <v>-8.17848550220659</v>
      </c>
    </row>
    <row r="167" spans="1:17">
      <c r="A167" s="42">
        <v>10</v>
      </c>
      <c r="B167" s="47">
        <f t="shared" si="27"/>
        <v>5000</v>
      </c>
      <c r="C167" s="47">
        <f t="shared" si="35"/>
        <v>950</v>
      </c>
      <c r="D167" s="47">
        <f t="shared" si="28"/>
        <v>4.75</v>
      </c>
      <c r="E167" s="47">
        <f>POLYOL!$F$17/10^6</f>
        <v>4.0855</v>
      </c>
      <c r="F167" s="47">
        <f t="shared" si="29"/>
        <v>0.6645</v>
      </c>
      <c r="G167" s="47"/>
      <c r="H167" s="47"/>
      <c r="I167" s="47">
        <f t="shared" si="30"/>
        <v>0.6645</v>
      </c>
      <c r="J167" s="47">
        <f t="shared" si="36"/>
        <v>-8.355</v>
      </c>
      <c r="K167" s="47">
        <f t="shared" si="37"/>
        <v>0.6645</v>
      </c>
      <c r="L167" s="50">
        <f>IF(K167&gt;0,K167*POLYOL!$K$15,0)</f>
        <v>0.1329</v>
      </c>
      <c r="M167" s="47">
        <f t="shared" si="26"/>
        <v>0.5316</v>
      </c>
      <c r="N167" s="47">
        <f t="shared" si="32"/>
        <v>-8.75369999999999</v>
      </c>
      <c r="O167" s="47">
        <f>(1+POLYOL!$K$16)^-A167</f>
        <v>0.385543289429531</v>
      </c>
      <c r="P167" s="51">
        <f t="shared" si="33"/>
        <v>0.204954812660739</v>
      </c>
      <c r="Q167" s="55">
        <f t="shared" si="34"/>
        <v>-7.97353068954585</v>
      </c>
    </row>
    <row r="168" spans="1:17">
      <c r="A168" s="46">
        <v>11</v>
      </c>
      <c r="B168" s="47">
        <f t="shared" si="27"/>
        <v>5000</v>
      </c>
      <c r="C168" s="47">
        <f t="shared" si="35"/>
        <v>950</v>
      </c>
      <c r="D168" s="47">
        <f t="shared" si="28"/>
        <v>4.75</v>
      </c>
      <c r="E168" s="47">
        <f>POLYOL!$F$17/10^6</f>
        <v>4.0855</v>
      </c>
      <c r="F168" s="47">
        <f t="shared" si="29"/>
        <v>0.6645</v>
      </c>
      <c r="G168" s="47"/>
      <c r="H168" s="47"/>
      <c r="I168" s="47">
        <f t="shared" si="30"/>
        <v>0.6645</v>
      </c>
      <c r="J168" s="47">
        <f t="shared" si="36"/>
        <v>-7.6905</v>
      </c>
      <c r="K168" s="47">
        <f t="shared" si="37"/>
        <v>0.6645</v>
      </c>
      <c r="L168" s="50">
        <f>IF(K168&gt;0,K168*POLYOL!$K$15,0)</f>
        <v>0.1329</v>
      </c>
      <c r="M168" s="47">
        <f t="shared" si="26"/>
        <v>0.5316</v>
      </c>
      <c r="N168" s="47">
        <f t="shared" si="32"/>
        <v>-8.22209999999999</v>
      </c>
      <c r="O168" s="47">
        <f>(1+POLYOL!$K$16)^-A168</f>
        <v>0.350493899481392</v>
      </c>
      <c r="P168" s="51">
        <f t="shared" si="33"/>
        <v>0.186322556964308</v>
      </c>
      <c r="Q168" s="55">
        <f t="shared" si="34"/>
        <v>-7.78720813258154</v>
      </c>
    </row>
    <row r="169" spans="1:17">
      <c r="A169" s="42">
        <v>12</v>
      </c>
      <c r="B169" s="47">
        <f t="shared" si="27"/>
        <v>5000</v>
      </c>
      <c r="C169" s="47">
        <f t="shared" si="35"/>
        <v>950</v>
      </c>
      <c r="D169" s="47">
        <f t="shared" si="28"/>
        <v>4.75</v>
      </c>
      <c r="E169" s="47">
        <f>POLYOL!$F$17/10^6</f>
        <v>4.0855</v>
      </c>
      <c r="F169" s="47">
        <f t="shared" si="29"/>
        <v>0.6645</v>
      </c>
      <c r="G169" s="47"/>
      <c r="H169" s="47"/>
      <c r="I169" s="47">
        <f t="shared" si="30"/>
        <v>0.6645</v>
      </c>
      <c r="J169" s="47">
        <f t="shared" si="36"/>
        <v>-7.026</v>
      </c>
      <c r="K169" s="47">
        <f t="shared" si="37"/>
        <v>0.6645</v>
      </c>
      <c r="L169" s="50">
        <f>IF(K169&gt;0,K169*POLYOL!$K$15,0)</f>
        <v>0.1329</v>
      </c>
      <c r="M169" s="47">
        <f t="shared" si="26"/>
        <v>0.5316</v>
      </c>
      <c r="N169" s="47">
        <f t="shared" si="32"/>
        <v>-7.69049999999999</v>
      </c>
      <c r="O169" s="47">
        <f>(1+POLYOL!$K$16)^-A169</f>
        <v>0.318630817710357</v>
      </c>
      <c r="P169" s="51">
        <f t="shared" si="33"/>
        <v>0.169384142694826</v>
      </c>
      <c r="Q169" s="55">
        <f t="shared" si="34"/>
        <v>-7.61782398988671</v>
      </c>
    </row>
    <row r="170" spans="1:17">
      <c r="A170" s="46">
        <v>13</v>
      </c>
      <c r="B170" s="47">
        <f t="shared" si="27"/>
        <v>5000</v>
      </c>
      <c r="C170" s="47">
        <f t="shared" si="35"/>
        <v>950</v>
      </c>
      <c r="D170" s="47">
        <f t="shared" si="28"/>
        <v>4.75</v>
      </c>
      <c r="E170" s="47">
        <f>POLYOL!$F$17/10^6</f>
        <v>4.0855</v>
      </c>
      <c r="F170" s="47">
        <f t="shared" si="29"/>
        <v>0.6645</v>
      </c>
      <c r="G170" s="47"/>
      <c r="H170" s="47"/>
      <c r="I170" s="47">
        <f t="shared" si="30"/>
        <v>0.6645</v>
      </c>
      <c r="J170" s="47">
        <f t="shared" si="36"/>
        <v>-6.3615</v>
      </c>
      <c r="K170" s="47">
        <f t="shared" si="37"/>
        <v>0.6645</v>
      </c>
      <c r="L170" s="50">
        <f>IF(K170&gt;0,K170*POLYOL!$K$15,0)</f>
        <v>0.1329</v>
      </c>
      <c r="M170" s="47">
        <f t="shared" si="26"/>
        <v>0.5316</v>
      </c>
      <c r="N170" s="47">
        <f t="shared" si="32"/>
        <v>-7.15889999999999</v>
      </c>
      <c r="O170" s="47">
        <f>(1+POLYOL!$K$16)^-A170</f>
        <v>0.289664379736688</v>
      </c>
      <c r="P170" s="51">
        <f t="shared" si="33"/>
        <v>0.153985584268023</v>
      </c>
      <c r="Q170" s="55">
        <f t="shared" si="34"/>
        <v>-7.46383840561869</v>
      </c>
    </row>
    <row r="171" spans="1:17">
      <c r="A171" s="42">
        <v>14</v>
      </c>
      <c r="B171" s="47">
        <f t="shared" si="27"/>
        <v>5000</v>
      </c>
      <c r="C171" s="47">
        <f t="shared" si="35"/>
        <v>950</v>
      </c>
      <c r="D171" s="47">
        <f t="shared" si="28"/>
        <v>4.75</v>
      </c>
      <c r="E171" s="47">
        <f>POLYOL!$F$17/10^6</f>
        <v>4.0855</v>
      </c>
      <c r="F171" s="47">
        <f t="shared" si="29"/>
        <v>0.6645</v>
      </c>
      <c r="G171" s="47"/>
      <c r="H171" s="47"/>
      <c r="I171" s="47">
        <f t="shared" si="30"/>
        <v>0.6645</v>
      </c>
      <c r="J171" s="47">
        <f t="shared" si="36"/>
        <v>-5.697</v>
      </c>
      <c r="K171" s="47">
        <f t="shared" si="37"/>
        <v>0.6645</v>
      </c>
      <c r="L171" s="50">
        <f>IF(K171&gt;0,K171*POLYOL!$K$15,0)</f>
        <v>0.1329</v>
      </c>
      <c r="M171" s="47">
        <f t="shared" si="26"/>
        <v>0.5316</v>
      </c>
      <c r="N171" s="47">
        <f t="shared" si="32"/>
        <v>-6.62729999999999</v>
      </c>
      <c r="O171" s="47">
        <f>(1+POLYOL!$K$16)^-A171</f>
        <v>0.26333125430608</v>
      </c>
      <c r="P171" s="51">
        <f t="shared" si="33"/>
        <v>0.139986894789112</v>
      </c>
      <c r="Q171" s="55">
        <f t="shared" si="34"/>
        <v>-7.32385151082958</v>
      </c>
    </row>
    <row r="172" spans="1:17">
      <c r="A172" s="46">
        <v>15</v>
      </c>
      <c r="B172" s="47">
        <f t="shared" si="27"/>
        <v>5000</v>
      </c>
      <c r="C172" s="47">
        <f t="shared" si="35"/>
        <v>950</v>
      </c>
      <c r="D172" s="47">
        <f t="shared" si="28"/>
        <v>4.75</v>
      </c>
      <c r="E172" s="47">
        <f>POLYOL!$F$17/10^6</f>
        <v>4.0855</v>
      </c>
      <c r="F172" s="47">
        <f t="shared" si="29"/>
        <v>0.6645</v>
      </c>
      <c r="G172" s="47"/>
      <c r="H172" s="47"/>
      <c r="I172" s="47">
        <f t="shared" si="30"/>
        <v>0.6645</v>
      </c>
      <c r="J172" s="47">
        <f t="shared" si="36"/>
        <v>-5.0325</v>
      </c>
      <c r="K172" s="53">
        <f t="shared" si="37"/>
        <v>0.6645</v>
      </c>
      <c r="L172" s="50">
        <f>IF(K172&gt;0,K172*POLYOL!$K$15,0)</f>
        <v>0.1329</v>
      </c>
      <c r="M172" s="47">
        <f t="shared" si="26"/>
        <v>0.5316</v>
      </c>
      <c r="N172" s="47">
        <f t="shared" si="32"/>
        <v>-6.09569999999999</v>
      </c>
      <c r="O172" s="47">
        <f>(1+POLYOL!$K$16)^-A172</f>
        <v>0.239392049369163</v>
      </c>
      <c r="P172" s="51">
        <f t="shared" si="33"/>
        <v>0.127260813444647</v>
      </c>
      <c r="Q172" s="55">
        <f t="shared" si="34"/>
        <v>-7.19659069738493</v>
      </c>
    </row>
    <row r="173" spans="1:17">
      <c r="A173" s="42">
        <v>16</v>
      </c>
      <c r="B173" s="47">
        <f t="shared" si="27"/>
        <v>5000</v>
      </c>
      <c r="C173" s="47">
        <f t="shared" si="35"/>
        <v>950</v>
      </c>
      <c r="D173" s="47">
        <f t="shared" si="28"/>
        <v>4.75</v>
      </c>
      <c r="E173" s="47">
        <f>POLYOL!$F$17/10^6</f>
        <v>4.0855</v>
      </c>
      <c r="F173" s="47">
        <f t="shared" si="29"/>
        <v>0.6645</v>
      </c>
      <c r="G173" s="47"/>
      <c r="H173" s="47"/>
      <c r="I173" s="47">
        <f t="shared" si="30"/>
        <v>0.6645</v>
      </c>
      <c r="J173" s="47">
        <f t="shared" si="36"/>
        <v>-4.36799999999999</v>
      </c>
      <c r="K173" s="47">
        <f t="shared" si="37"/>
        <v>0.6645</v>
      </c>
      <c r="L173" s="50">
        <f>IF(K173&gt;0,K173*POLYOL!$K$15,0)</f>
        <v>0.1329</v>
      </c>
      <c r="M173" s="47">
        <f t="shared" si="26"/>
        <v>0.5316</v>
      </c>
      <c r="N173" s="47">
        <f t="shared" si="32"/>
        <v>-5.56409999999999</v>
      </c>
      <c r="O173" s="47">
        <f>(1+POLYOL!$K$16)^-A173</f>
        <v>0.217629135790149</v>
      </c>
      <c r="P173" s="51">
        <f t="shared" si="33"/>
        <v>0.115691648586043</v>
      </c>
      <c r="Q173" s="55">
        <f t="shared" si="34"/>
        <v>-7.08089904879889</v>
      </c>
    </row>
    <row r="174" spans="1:17">
      <c r="A174" s="46">
        <v>17</v>
      </c>
      <c r="B174" s="47">
        <f t="shared" si="27"/>
        <v>5000</v>
      </c>
      <c r="C174" s="47">
        <f t="shared" si="35"/>
        <v>950</v>
      </c>
      <c r="D174" s="47">
        <f t="shared" si="28"/>
        <v>4.75</v>
      </c>
      <c r="E174" s="47">
        <f>POLYOL!$F$17/10^6</f>
        <v>4.0855</v>
      </c>
      <c r="F174" s="47">
        <f t="shared" si="29"/>
        <v>0.6645</v>
      </c>
      <c r="G174" s="47"/>
      <c r="H174" s="47"/>
      <c r="I174" s="47">
        <f t="shared" si="30"/>
        <v>0.6645</v>
      </c>
      <c r="J174" s="47">
        <f t="shared" si="36"/>
        <v>-3.70349999999999</v>
      </c>
      <c r="K174" s="47">
        <f t="shared" si="37"/>
        <v>0.6645</v>
      </c>
      <c r="L174" s="50">
        <f>IF(K174&gt;0,K174*POLYOL!$K$15,0)</f>
        <v>0.1329</v>
      </c>
      <c r="M174" s="47">
        <f t="shared" si="26"/>
        <v>0.5316</v>
      </c>
      <c r="N174" s="47">
        <f t="shared" si="32"/>
        <v>-5.03249999999999</v>
      </c>
      <c r="O174" s="47">
        <f>(1+POLYOL!$K$16)^-A174</f>
        <v>0.197844668900135</v>
      </c>
      <c r="P174" s="51">
        <f t="shared" si="33"/>
        <v>0.105174225987312</v>
      </c>
      <c r="Q174" s="55">
        <f t="shared" si="34"/>
        <v>-6.97572482281157</v>
      </c>
    </row>
    <row r="175" spans="1:17">
      <c r="A175" s="42">
        <v>18</v>
      </c>
      <c r="B175" s="47">
        <f t="shared" si="27"/>
        <v>5000</v>
      </c>
      <c r="C175" s="47">
        <f t="shared" si="35"/>
        <v>950</v>
      </c>
      <c r="D175" s="47">
        <f t="shared" si="28"/>
        <v>4.75</v>
      </c>
      <c r="E175" s="47">
        <f>POLYOL!$F$17/10^6</f>
        <v>4.0855</v>
      </c>
      <c r="F175" s="47">
        <f t="shared" si="29"/>
        <v>0.6645</v>
      </c>
      <c r="G175" s="47"/>
      <c r="H175" s="47"/>
      <c r="I175" s="47">
        <f t="shared" si="30"/>
        <v>0.6645</v>
      </c>
      <c r="J175" s="47">
        <f t="shared" si="36"/>
        <v>-3.03899999999999</v>
      </c>
      <c r="K175" s="47">
        <f t="shared" si="37"/>
        <v>0.6645</v>
      </c>
      <c r="L175" s="50">
        <f>IF(K175&gt;0,K175*POLYOL!$K$15,0)</f>
        <v>0.1329</v>
      </c>
      <c r="M175" s="47">
        <f t="shared" si="26"/>
        <v>0.5316</v>
      </c>
      <c r="N175" s="47">
        <f t="shared" si="32"/>
        <v>-4.50089999999999</v>
      </c>
      <c r="O175" s="47">
        <f>(1+POLYOL!$K$16)^-A175</f>
        <v>0.179858789909214</v>
      </c>
      <c r="P175" s="51">
        <f t="shared" si="33"/>
        <v>0.0956129327157382</v>
      </c>
      <c r="Q175" s="55">
        <f t="shared" si="34"/>
        <v>-6.88011189009584</v>
      </c>
    </row>
    <row r="176" spans="1:17">
      <c r="A176" s="46">
        <v>19</v>
      </c>
      <c r="B176" s="47">
        <f t="shared" si="27"/>
        <v>5000</v>
      </c>
      <c r="C176" s="47">
        <f t="shared" si="35"/>
        <v>950</v>
      </c>
      <c r="D176" s="47">
        <f t="shared" si="28"/>
        <v>4.75</v>
      </c>
      <c r="E176" s="47">
        <f>POLYOL!$F$17/10^6</f>
        <v>4.0855</v>
      </c>
      <c r="F176" s="47">
        <f t="shared" si="29"/>
        <v>0.6645</v>
      </c>
      <c r="G176" s="47"/>
      <c r="H176" s="47"/>
      <c r="I176" s="47">
        <f t="shared" si="30"/>
        <v>0.6645</v>
      </c>
      <c r="J176" s="47">
        <f t="shared" si="36"/>
        <v>-2.37449999999999</v>
      </c>
      <c r="K176" s="47">
        <f t="shared" si="37"/>
        <v>0.6645</v>
      </c>
      <c r="L176" s="50">
        <f>IF(K176&gt;0,K176*POLYOL!$K$15,0)</f>
        <v>0.1329</v>
      </c>
      <c r="M176" s="47">
        <f t="shared" si="26"/>
        <v>0.5316</v>
      </c>
      <c r="N176" s="47">
        <f t="shared" si="32"/>
        <v>-3.96929999999999</v>
      </c>
      <c r="O176" s="47">
        <f>(1+POLYOL!$K$16)^-A176</f>
        <v>0.163507990826558</v>
      </c>
      <c r="P176" s="51">
        <f t="shared" si="33"/>
        <v>0.0869208479233983</v>
      </c>
      <c r="Q176" s="55">
        <f t="shared" si="34"/>
        <v>-6.79319104217244</v>
      </c>
    </row>
    <row r="177" spans="1:17">
      <c r="A177" s="42">
        <v>20</v>
      </c>
      <c r="B177" s="47">
        <f t="shared" si="27"/>
        <v>5000</v>
      </c>
      <c r="C177" s="47">
        <f t="shared" si="35"/>
        <v>950</v>
      </c>
      <c r="D177" s="47">
        <f t="shared" si="28"/>
        <v>4.75</v>
      </c>
      <c r="E177" s="47">
        <f>POLYOL!$F$17/10^6</f>
        <v>4.0855</v>
      </c>
      <c r="F177" s="47">
        <f t="shared" si="29"/>
        <v>0.6645</v>
      </c>
      <c r="G177" s="47"/>
      <c r="H177" s="47"/>
      <c r="I177" s="47">
        <f t="shared" si="30"/>
        <v>0.6645</v>
      </c>
      <c r="J177" s="47">
        <f t="shared" si="36"/>
        <v>-1.70999999999999</v>
      </c>
      <c r="K177" s="47">
        <f t="shared" si="37"/>
        <v>0.6645</v>
      </c>
      <c r="L177" s="50">
        <f>IF(K177&gt;0,K177*POLYOL!$K$15,0)</f>
        <v>0.1329</v>
      </c>
      <c r="M177" s="47">
        <f t="shared" si="26"/>
        <v>0.5316</v>
      </c>
      <c r="N177" s="47">
        <f t="shared" si="32"/>
        <v>-3.43769999999999</v>
      </c>
      <c r="O177" s="47">
        <f>(1+POLYOL!$K$16)^-A177</f>
        <v>0.148643628024143</v>
      </c>
      <c r="P177" s="51">
        <f t="shared" si="33"/>
        <v>0.0790189526576345</v>
      </c>
      <c r="Q177" s="55">
        <f t="shared" si="34"/>
        <v>-6.7141720895148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-6.7141720895148</v>
      </c>
      <c r="Q178" s="55"/>
    </row>
  </sheetData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0"/>
  <sheetViews>
    <sheetView topLeftCell="A7" workbookViewId="0">
      <selection activeCell="C21" sqref="C21:D27"/>
    </sheetView>
  </sheetViews>
  <sheetFormatPr defaultColWidth="9.14285714285714" defaultRowHeight="15"/>
  <cols>
    <col min="1" max="1" width="5.85714285714286" customWidth="1"/>
    <col min="3" max="3" width="16.4285714285714" customWidth="1"/>
    <col min="4" max="4" width="11.4285714285714" customWidth="1"/>
    <col min="5" max="5" width="12.1428571428571" customWidth="1"/>
    <col min="6" max="6" width="23.4285714285714" customWidth="1"/>
    <col min="7" max="7" width="11.8571428571429" customWidth="1"/>
    <col min="12" max="12" width="12.8571428571429"/>
  </cols>
  <sheetData>
    <row r="1" ht="30" spans="1:34">
      <c r="A1" s="194" t="s">
        <v>139</v>
      </c>
      <c r="D1" s="78"/>
      <c r="E1" s="78"/>
      <c r="F1" s="79"/>
      <c r="G1" s="80"/>
      <c r="H1" s="80"/>
      <c r="I1" s="80"/>
      <c r="J1" s="80"/>
      <c r="K1" s="125"/>
      <c r="L1" s="126"/>
      <c r="M1" s="57"/>
      <c r="U1" s="254"/>
      <c r="V1" s="255"/>
      <c r="W1" s="255"/>
      <c r="X1" s="255"/>
      <c r="Y1" s="255"/>
      <c r="Z1" s="259"/>
      <c r="AA1" s="260"/>
      <c r="AB1" s="260"/>
      <c r="AC1" s="260"/>
      <c r="AD1" s="260"/>
      <c r="AE1" s="261"/>
      <c r="AF1" s="262"/>
      <c r="AG1" s="89"/>
      <c r="AH1" s="89"/>
    </row>
    <row r="2" spans="1:34">
      <c r="A2" s="31"/>
      <c r="B2" s="195" t="s">
        <v>140</v>
      </c>
      <c r="C2" s="196"/>
      <c r="D2" s="197"/>
      <c r="E2" s="197"/>
      <c r="F2" s="198"/>
      <c r="G2" s="31"/>
      <c r="H2" s="31"/>
      <c r="I2" s="31"/>
      <c r="J2" s="31"/>
      <c r="K2" s="31"/>
      <c r="L2" s="31"/>
      <c r="M2" s="31"/>
      <c r="U2" s="90"/>
      <c r="V2" s="90"/>
      <c r="W2" s="90"/>
      <c r="X2" s="90"/>
      <c r="Y2" s="90"/>
      <c r="Z2" s="183"/>
      <c r="AA2" s="90"/>
      <c r="AB2" s="90"/>
      <c r="AC2" s="90"/>
      <c r="AD2" s="90"/>
      <c r="AE2" s="90"/>
      <c r="AF2" s="90"/>
      <c r="AG2" s="90"/>
      <c r="AH2" s="89"/>
    </row>
    <row r="3" ht="15.75" spans="1:34">
      <c r="A3" s="31"/>
      <c r="B3" s="199"/>
      <c r="C3" s="84"/>
      <c r="D3" s="200"/>
      <c r="E3" s="200"/>
      <c r="F3" s="201"/>
      <c r="G3" s="31"/>
      <c r="H3" s="31"/>
      <c r="I3" s="31"/>
      <c r="J3" s="31"/>
      <c r="K3" s="31"/>
      <c r="L3" s="31"/>
      <c r="M3" s="31"/>
      <c r="U3" s="90"/>
      <c r="V3" s="90"/>
      <c r="W3" s="90"/>
      <c r="X3" s="90"/>
      <c r="Y3" s="90"/>
      <c r="Z3" s="183"/>
      <c r="AA3" s="90"/>
      <c r="AB3" s="90"/>
      <c r="AC3" s="90"/>
      <c r="AD3" s="90"/>
      <c r="AE3" s="90"/>
      <c r="AF3" s="90"/>
      <c r="AG3" s="90"/>
      <c r="AH3" s="89"/>
    </row>
    <row r="4" spans="1:34">
      <c r="A4" s="31"/>
      <c r="B4" s="199" t="s">
        <v>141</v>
      </c>
      <c r="C4" s="200"/>
      <c r="D4" s="200"/>
      <c r="E4" s="200"/>
      <c r="F4" s="204">
        <f>4</f>
        <v>4</v>
      </c>
      <c r="G4" s="31"/>
      <c r="H4" s="203" t="s">
        <v>2</v>
      </c>
      <c r="I4" s="229"/>
      <c r="J4" s="229"/>
      <c r="K4" s="229"/>
      <c r="L4" s="230"/>
      <c r="M4" s="230"/>
      <c r="U4" s="90"/>
      <c r="V4" s="90"/>
      <c r="W4" s="90"/>
      <c r="X4" s="90"/>
      <c r="Y4" s="90"/>
      <c r="Z4" s="183"/>
      <c r="AA4" s="90"/>
      <c r="AB4" s="90"/>
      <c r="AC4" s="90"/>
      <c r="AD4" s="90"/>
      <c r="AE4" s="90"/>
      <c r="AF4" s="90"/>
      <c r="AG4" s="90"/>
      <c r="AH4" s="89"/>
    </row>
    <row r="5" spans="1:34">
      <c r="A5" s="31"/>
      <c r="B5" s="199" t="s">
        <v>142</v>
      </c>
      <c r="C5" s="200"/>
      <c r="D5" s="200"/>
      <c r="E5" s="200"/>
      <c r="F5" s="204">
        <v>1</v>
      </c>
      <c r="G5" s="31"/>
      <c r="H5" s="99"/>
      <c r="I5" s="31"/>
      <c r="J5" s="31"/>
      <c r="K5" s="31"/>
      <c r="L5" s="129"/>
      <c r="M5" s="129"/>
      <c r="U5" s="90"/>
      <c r="V5" s="90"/>
      <c r="W5" s="90"/>
      <c r="X5" s="90"/>
      <c r="Y5" s="90"/>
      <c r="Z5" s="183"/>
      <c r="AA5" s="90"/>
      <c r="AB5" s="90"/>
      <c r="AC5" s="90"/>
      <c r="AD5" s="90"/>
      <c r="AE5" s="90"/>
      <c r="AF5" s="90"/>
      <c r="AG5" s="90"/>
      <c r="AH5" s="89"/>
    </row>
    <row r="6" spans="1:34">
      <c r="A6" s="31"/>
      <c r="B6" s="199" t="s">
        <v>143</v>
      </c>
      <c r="C6" s="200"/>
      <c r="D6" s="200"/>
      <c r="E6" s="200"/>
      <c r="F6" s="201">
        <f>45000000*F5</f>
        <v>45000000</v>
      </c>
      <c r="G6" s="31"/>
      <c r="H6" s="99" t="s">
        <v>144</v>
      </c>
      <c r="I6" s="31"/>
      <c r="J6" s="31"/>
      <c r="K6" s="31"/>
      <c r="L6" s="129">
        <f>(600000*4.5/10)</f>
        <v>270000</v>
      </c>
      <c r="M6" s="129">
        <f>L6</f>
        <v>270000</v>
      </c>
      <c r="U6" s="90"/>
      <c r="V6" s="90"/>
      <c r="W6" s="90"/>
      <c r="X6" s="90"/>
      <c r="Y6" s="90"/>
      <c r="Z6" s="183"/>
      <c r="AA6" s="90"/>
      <c r="AB6" s="90"/>
      <c r="AC6" s="90"/>
      <c r="AD6" s="90"/>
      <c r="AE6" s="90"/>
      <c r="AF6" s="90"/>
      <c r="AG6" s="90"/>
      <c r="AH6" s="89"/>
    </row>
    <row r="7" spans="1:34">
      <c r="A7" s="31"/>
      <c r="B7" s="205" t="s">
        <v>145</v>
      </c>
      <c r="C7" s="84"/>
      <c r="D7" s="84"/>
      <c r="E7" s="85"/>
      <c r="F7" s="206">
        <f>((F13/(360*10))*0.01925)*1200*10^3</f>
        <v>2132307.69230769</v>
      </c>
      <c r="G7" s="31"/>
      <c r="H7" s="99"/>
      <c r="I7" s="31"/>
      <c r="J7" s="31"/>
      <c r="K7" s="129"/>
      <c r="L7" s="231">
        <v>57</v>
      </c>
      <c r="M7" s="129"/>
      <c r="U7" s="90"/>
      <c r="V7" s="90"/>
      <c r="W7" s="90"/>
      <c r="X7" s="90"/>
      <c r="Y7" s="183"/>
      <c r="Z7" s="183"/>
      <c r="AA7" s="90"/>
      <c r="AB7" s="90"/>
      <c r="AC7" s="90"/>
      <c r="AD7" s="90"/>
      <c r="AE7" s="90"/>
      <c r="AF7" s="183"/>
      <c r="AG7" s="90"/>
      <c r="AH7" s="89"/>
    </row>
    <row r="8" ht="15.75" spans="1:34">
      <c r="A8" s="31"/>
      <c r="B8" s="207" t="s">
        <v>25</v>
      </c>
      <c r="C8" s="208"/>
      <c r="D8" s="208"/>
      <c r="E8" s="208"/>
      <c r="F8" s="209">
        <f>(F7+F6+((F5+F4)*F3))</f>
        <v>47132307.6923077</v>
      </c>
      <c r="G8" s="31"/>
      <c r="H8" s="210" t="s">
        <v>25</v>
      </c>
      <c r="I8" s="232"/>
      <c r="J8" s="232"/>
      <c r="K8" s="232"/>
      <c r="L8" s="233">
        <f>L6</f>
        <v>270000</v>
      </c>
      <c r="M8" s="233">
        <f>SUM(M5:M7)</f>
        <v>270000</v>
      </c>
      <c r="U8" s="90"/>
      <c r="V8" s="90"/>
      <c r="W8" s="90"/>
      <c r="X8" s="90"/>
      <c r="Y8" s="90"/>
      <c r="Z8" s="183"/>
      <c r="AA8" s="90"/>
      <c r="AB8" s="90"/>
      <c r="AC8" s="90"/>
      <c r="AD8" s="90"/>
      <c r="AE8" s="90"/>
      <c r="AF8" s="193"/>
      <c r="AG8" s="193"/>
      <c r="AH8" s="89"/>
    </row>
    <row r="9" spans="1:34">
      <c r="A9" s="31"/>
      <c r="B9" s="31" t="s">
        <v>146</v>
      </c>
      <c r="C9" s="31"/>
      <c r="D9" s="31"/>
      <c r="E9" s="31"/>
      <c r="F9" s="31"/>
      <c r="G9" s="31"/>
      <c r="H9" s="31"/>
      <c r="I9" s="31" t="s">
        <v>147</v>
      </c>
      <c r="J9" s="31"/>
      <c r="K9" s="31"/>
      <c r="L9" s="31"/>
      <c r="M9" s="31"/>
      <c r="U9" s="90"/>
      <c r="V9" s="90"/>
      <c r="W9" s="90"/>
      <c r="X9" s="90"/>
      <c r="Y9" s="90"/>
      <c r="Z9" s="90"/>
      <c r="AA9" s="90"/>
      <c r="AB9" s="90"/>
      <c r="AC9" s="90"/>
      <c r="AD9" s="90"/>
      <c r="AE9" s="90"/>
      <c r="AF9" s="90"/>
      <c r="AG9" s="90"/>
      <c r="AH9" s="89"/>
    </row>
    <row r="10" spans="1:34">
      <c r="A10" s="31"/>
      <c r="B10" s="35" t="s">
        <v>104</v>
      </c>
      <c r="C10" s="35"/>
      <c r="D10" s="33"/>
      <c r="E10" s="33"/>
      <c r="F10" s="33"/>
      <c r="G10" s="90"/>
      <c r="H10" s="31"/>
      <c r="I10" s="31"/>
      <c r="J10" s="31"/>
      <c r="K10" s="31"/>
      <c r="L10" s="31"/>
      <c r="M10" s="31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89"/>
    </row>
    <row r="11" spans="1:34">
      <c r="A11" s="31"/>
      <c r="B11" s="69" t="s">
        <v>15</v>
      </c>
      <c r="C11" s="69"/>
      <c r="D11" s="69"/>
      <c r="E11" s="33" t="s">
        <v>148</v>
      </c>
      <c r="F11" s="47">
        <v>0.3</v>
      </c>
      <c r="G11" s="90"/>
      <c r="H11" s="211" t="s">
        <v>10</v>
      </c>
      <c r="I11" s="31"/>
      <c r="J11" s="31"/>
      <c r="K11" s="31"/>
      <c r="L11" s="31"/>
      <c r="M11" s="31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89"/>
    </row>
    <row r="12" spans="1:34">
      <c r="A12" s="31"/>
      <c r="B12" s="69" t="s">
        <v>122</v>
      </c>
      <c r="C12" s="69"/>
      <c r="D12" s="69"/>
      <c r="E12" s="33" t="s">
        <v>137</v>
      </c>
      <c r="F12" s="212">
        <v>35</v>
      </c>
      <c r="G12" s="90"/>
      <c r="H12" s="213" t="s">
        <v>13</v>
      </c>
      <c r="I12" s="213"/>
      <c r="J12" s="213"/>
      <c r="K12" s="213">
        <v>4</v>
      </c>
      <c r="L12" s="213" t="s">
        <v>14</v>
      </c>
      <c r="M12" s="31"/>
      <c r="U12" s="90"/>
      <c r="V12" s="90"/>
      <c r="W12" s="90"/>
      <c r="X12" s="90"/>
      <c r="Y12" s="90"/>
      <c r="Z12" s="183"/>
      <c r="AA12" s="90"/>
      <c r="AB12" s="90"/>
      <c r="AC12" s="90"/>
      <c r="AD12" s="90"/>
      <c r="AE12" s="90"/>
      <c r="AF12" s="90"/>
      <c r="AG12" s="90"/>
      <c r="AH12" s="89"/>
    </row>
    <row r="13" spans="1:34">
      <c r="A13" s="31"/>
      <c r="B13" s="51" t="s">
        <v>149</v>
      </c>
      <c r="C13" s="69"/>
      <c r="D13" s="69"/>
      <c r="E13" s="33" t="s">
        <v>150</v>
      </c>
      <c r="F13" s="47">
        <f>(18/130)*800000*3</f>
        <v>332307.692307692</v>
      </c>
      <c r="G13" s="90"/>
      <c r="H13" s="31"/>
      <c r="I13" s="31"/>
      <c r="J13" s="31"/>
      <c r="K13" s="31"/>
      <c r="L13" s="31"/>
      <c r="M13" s="31"/>
      <c r="U13" s="90"/>
      <c r="V13" s="90"/>
      <c r="W13" s="90"/>
      <c r="X13" s="90"/>
      <c r="Y13" s="90"/>
      <c r="Z13" s="90"/>
      <c r="AA13" s="90"/>
      <c r="AB13" s="90"/>
      <c r="AC13" s="90"/>
      <c r="AD13" s="90"/>
      <c r="AE13" s="90"/>
      <c r="AF13" s="90"/>
      <c r="AG13" s="90"/>
      <c r="AH13" s="89"/>
    </row>
    <row r="14" spans="1:34">
      <c r="A14" s="31"/>
      <c r="B14" s="33" t="s">
        <v>125</v>
      </c>
      <c r="C14" s="33"/>
      <c r="D14" s="33"/>
      <c r="E14" s="47"/>
      <c r="F14" s="212">
        <v>1027</v>
      </c>
      <c r="G14" s="98"/>
      <c r="H14" s="215" t="s">
        <v>19</v>
      </c>
      <c r="I14" s="234"/>
      <c r="J14" s="234"/>
      <c r="K14" s="235"/>
      <c r="L14" s="31"/>
      <c r="M14" s="31"/>
      <c r="U14" s="90"/>
      <c r="V14" s="90"/>
      <c r="W14" s="90"/>
      <c r="X14" s="90"/>
      <c r="Y14" s="98"/>
      <c r="Z14" s="183"/>
      <c r="AA14" s="98"/>
      <c r="AB14" s="90"/>
      <c r="AC14" s="90"/>
      <c r="AD14" s="90"/>
      <c r="AE14" s="90"/>
      <c r="AF14" s="90"/>
      <c r="AG14" s="90"/>
      <c r="AH14" s="89"/>
    </row>
    <row r="15" spans="1:34">
      <c r="A15" s="31"/>
      <c r="B15" s="33" t="s">
        <v>151</v>
      </c>
      <c r="C15" s="33"/>
      <c r="D15" s="33"/>
      <c r="E15" s="33"/>
      <c r="F15" s="214">
        <v>4000000</v>
      </c>
      <c r="G15" s="90"/>
      <c r="H15" s="216" t="s">
        <v>21</v>
      </c>
      <c r="I15" s="105"/>
      <c r="J15" s="90"/>
      <c r="K15" s="236">
        <f>20%</f>
        <v>0.2</v>
      </c>
      <c r="L15" s="31"/>
      <c r="M15" s="31"/>
      <c r="U15" s="90"/>
      <c r="V15" s="90"/>
      <c r="W15" s="90"/>
      <c r="X15" s="90"/>
      <c r="Y15" s="90"/>
      <c r="Z15" s="263"/>
      <c r="AA15" s="90"/>
      <c r="AB15" s="90"/>
      <c r="AC15" s="90"/>
      <c r="AD15" s="90"/>
      <c r="AE15" s="90"/>
      <c r="AF15" s="90"/>
      <c r="AG15" s="90"/>
      <c r="AH15" s="89"/>
    </row>
    <row r="16" spans="1:34">
      <c r="A16" s="31"/>
      <c r="B16" s="33"/>
      <c r="C16" s="33"/>
      <c r="D16" s="33"/>
      <c r="E16" s="33"/>
      <c r="F16" s="217"/>
      <c r="G16" s="90"/>
      <c r="H16" s="218" t="s">
        <v>24</v>
      </c>
      <c r="I16" s="237"/>
      <c r="J16" s="238">
        <f>10%</f>
        <v>0.1</v>
      </c>
      <c r="K16" s="238">
        <f>0.1</f>
        <v>0.1</v>
      </c>
      <c r="L16" s="31"/>
      <c r="M16" s="31"/>
      <c r="U16" s="90"/>
      <c r="V16" s="90"/>
      <c r="W16" s="90"/>
      <c r="X16" s="90"/>
      <c r="Y16" s="90"/>
      <c r="Z16" s="183"/>
      <c r="AA16" s="90"/>
      <c r="AB16" s="90"/>
      <c r="AC16" s="90"/>
      <c r="AD16" s="90"/>
      <c r="AE16" s="90"/>
      <c r="AF16" s="90"/>
      <c r="AG16" s="90"/>
      <c r="AH16" s="89"/>
    </row>
    <row r="17" spans="1:34">
      <c r="A17" s="31"/>
      <c r="B17" s="188" t="s">
        <v>25</v>
      </c>
      <c r="C17" s="188"/>
      <c r="D17" s="188"/>
      <c r="E17" s="188" t="s">
        <v>12</v>
      </c>
      <c r="F17" s="219">
        <f>((F13*F12/10)+(0.01*F8))</f>
        <v>1634400</v>
      </c>
      <c r="G17" s="90"/>
      <c r="H17" s="31"/>
      <c r="I17" s="31"/>
      <c r="J17" s="31"/>
      <c r="K17" s="31"/>
      <c r="L17" s="31"/>
      <c r="M17" s="31"/>
      <c r="U17" s="90"/>
      <c r="V17" s="90"/>
      <c r="W17" s="90"/>
      <c r="X17" s="90"/>
      <c r="Y17" s="90"/>
      <c r="Z17" s="183"/>
      <c r="AA17" s="90"/>
      <c r="AB17" s="90"/>
      <c r="AC17" s="90"/>
      <c r="AD17" s="90"/>
      <c r="AE17" s="90"/>
      <c r="AF17" s="90"/>
      <c r="AG17" s="90"/>
      <c r="AH17" s="89"/>
    </row>
    <row r="18" spans="1:34">
      <c r="A18" s="31"/>
      <c r="B18" s="108"/>
      <c r="C18" s="108"/>
      <c r="D18" s="108"/>
      <c r="E18" s="31"/>
      <c r="F18" s="31"/>
      <c r="G18" s="31"/>
      <c r="H18" s="31"/>
      <c r="I18" s="31"/>
      <c r="J18" s="31"/>
      <c r="K18" s="31"/>
      <c r="L18" s="31"/>
      <c r="M18" s="31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/>
      <c r="AG18" s="90"/>
      <c r="AH18" s="89"/>
    </row>
    <row r="19" spans="1:34">
      <c r="A19" s="31"/>
      <c r="B19" s="90"/>
      <c r="C19" s="183"/>
      <c r="D19" s="90"/>
      <c r="E19" s="31"/>
      <c r="F19" s="31"/>
      <c r="G19" s="31"/>
      <c r="H19" s="31"/>
      <c r="I19" s="31"/>
      <c r="J19" s="31"/>
      <c r="K19" s="31"/>
      <c r="L19" s="31"/>
      <c r="M19" s="31"/>
      <c r="U19" s="90"/>
      <c r="V19" s="90"/>
      <c r="W19" s="183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89"/>
    </row>
    <row r="20" spans="1:34">
      <c r="A20" s="31"/>
      <c r="B20" s="90"/>
      <c r="C20" s="220"/>
      <c r="D20" s="90"/>
      <c r="E20" s="31"/>
      <c r="F20" s="31"/>
      <c r="G20" s="31"/>
      <c r="H20" s="31"/>
      <c r="I20" s="31"/>
      <c r="J20" s="31"/>
      <c r="K20" s="31"/>
      <c r="L20" s="31"/>
      <c r="M20" s="31"/>
      <c r="U20" s="90"/>
      <c r="V20" s="90"/>
      <c r="W20" s="22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89"/>
    </row>
    <row r="21" spans="1:34">
      <c r="A21" s="31"/>
      <c r="B21" s="112"/>
      <c r="C21" s="221" t="s">
        <v>26</v>
      </c>
      <c r="D21" s="221"/>
      <c r="E21" s="222"/>
      <c r="F21" s="31"/>
      <c r="G21" s="31"/>
      <c r="H21" s="108"/>
      <c r="I21" s="108"/>
      <c r="J21" s="108"/>
      <c r="K21" s="31"/>
      <c r="L21" s="31"/>
      <c r="M21" s="31"/>
      <c r="U21" s="90"/>
      <c r="V21" s="112"/>
      <c r="W21" s="112"/>
      <c r="X21" s="112"/>
      <c r="Y21" s="112"/>
      <c r="Z21" s="90"/>
      <c r="AA21" s="90"/>
      <c r="AB21" s="90"/>
      <c r="AC21" s="90"/>
      <c r="AD21" s="90"/>
      <c r="AE21" s="90"/>
      <c r="AF21" s="90"/>
      <c r="AG21" s="90"/>
      <c r="AH21" s="89"/>
    </row>
    <row r="22" spans="1:34">
      <c r="A22" s="31"/>
      <c r="B22" s="112"/>
      <c r="C22" s="223" t="s">
        <v>27</v>
      </c>
      <c r="D22" s="252">
        <f>'ENHANCED OIL RECOVERY 2'!R25</f>
        <v>43.234198727963</v>
      </c>
      <c r="E22" s="223"/>
      <c r="F22" s="31"/>
      <c r="G22" s="31"/>
      <c r="H22" s="108"/>
      <c r="I22" s="108"/>
      <c r="J22" s="108"/>
      <c r="K22" s="31"/>
      <c r="L22" s="31"/>
      <c r="M22" s="31"/>
      <c r="U22" s="90"/>
      <c r="V22" s="112"/>
      <c r="W22" s="112"/>
      <c r="X22" s="256"/>
      <c r="Y22" s="112"/>
      <c r="Z22" s="90"/>
      <c r="AA22" s="90"/>
      <c r="AB22" s="90"/>
      <c r="AC22" s="90"/>
      <c r="AD22" s="90"/>
      <c r="AE22" s="90"/>
      <c r="AF22" s="90"/>
      <c r="AG22" s="90"/>
      <c r="AH22" s="89"/>
    </row>
    <row r="23" spans="1:34">
      <c r="A23" s="31"/>
      <c r="B23" s="112"/>
      <c r="C23" s="223" t="s">
        <v>28</v>
      </c>
      <c r="D23" s="225">
        <f>IRR('ENHANCED OIL RECOVERY 2'!O4:O24)</f>
        <v>0.501149532744171</v>
      </c>
      <c r="E23" s="225"/>
      <c r="F23" s="31"/>
      <c r="G23" s="31"/>
      <c r="H23" s="108"/>
      <c r="I23" s="108"/>
      <c r="J23" s="108"/>
      <c r="K23" s="31"/>
      <c r="L23" s="31"/>
      <c r="M23" s="31"/>
      <c r="U23" s="90"/>
      <c r="V23" s="112"/>
      <c r="W23" s="112"/>
      <c r="X23" s="257"/>
      <c r="Y23" s="112"/>
      <c r="Z23" s="90"/>
      <c r="AA23" s="90"/>
      <c r="AB23" s="90"/>
      <c r="AC23" s="90"/>
      <c r="AD23" s="90"/>
      <c r="AE23" s="90"/>
      <c r="AF23" s="90"/>
      <c r="AG23" s="90"/>
      <c r="AH23" s="89"/>
    </row>
    <row r="24" spans="1:34">
      <c r="A24" s="31"/>
      <c r="B24" s="112"/>
      <c r="C24" s="223" t="s">
        <v>29</v>
      </c>
      <c r="D24" s="224">
        <f>D22*10^6/F8</f>
        <v>0.917294332588327</v>
      </c>
      <c r="E24" s="223"/>
      <c r="F24" s="31"/>
      <c r="G24" s="31"/>
      <c r="H24" s="108"/>
      <c r="I24" s="108"/>
      <c r="J24" s="108"/>
      <c r="K24" s="31"/>
      <c r="L24" s="31"/>
      <c r="M24" s="31"/>
      <c r="U24" s="90"/>
      <c r="V24" s="112"/>
      <c r="W24" s="112"/>
      <c r="X24" s="112"/>
      <c r="Y24" s="112"/>
      <c r="Z24" s="90"/>
      <c r="AA24" s="90"/>
      <c r="AB24" s="90"/>
      <c r="AC24" s="90"/>
      <c r="AD24" s="90"/>
      <c r="AE24" s="90"/>
      <c r="AF24" s="90"/>
      <c r="AG24" s="90"/>
      <c r="AH24" s="89"/>
    </row>
    <row r="25" spans="1:34">
      <c r="A25" s="31"/>
      <c r="B25" s="112"/>
      <c r="C25" s="223" t="s">
        <v>30</v>
      </c>
      <c r="D25" s="224">
        <f>1+D24</f>
        <v>1.91729433258833</v>
      </c>
      <c r="E25" s="223"/>
      <c r="F25" s="31"/>
      <c r="G25" s="31"/>
      <c r="H25" s="31"/>
      <c r="I25" s="31"/>
      <c r="J25" s="31"/>
      <c r="K25" s="31"/>
      <c r="L25" s="31"/>
      <c r="M25" s="31"/>
      <c r="U25" s="90"/>
      <c r="V25" s="112"/>
      <c r="W25" s="112"/>
      <c r="X25" s="112"/>
      <c r="Y25" s="112"/>
      <c r="Z25" s="90"/>
      <c r="AA25" s="90"/>
      <c r="AB25" s="90"/>
      <c r="AC25" s="90"/>
      <c r="AD25" s="90"/>
      <c r="AE25" s="90"/>
      <c r="AF25" s="90"/>
      <c r="AG25" s="90"/>
      <c r="AH25" s="89"/>
    </row>
    <row r="26" spans="1:34">
      <c r="A26" s="31"/>
      <c r="B26" s="112"/>
      <c r="C26" s="223" t="s">
        <v>31</v>
      </c>
      <c r="D26" s="253">
        <f>'ENHANCED OIL RECOVERY 3'!D56</f>
        <v>5.20246344643059</v>
      </c>
      <c r="E26" s="223"/>
      <c r="F26" s="31"/>
      <c r="G26" s="31"/>
      <c r="H26" s="31"/>
      <c r="I26" s="31"/>
      <c r="J26" s="31"/>
      <c r="K26" s="31"/>
      <c r="L26" s="31"/>
      <c r="M26" s="31"/>
      <c r="U26" s="90"/>
      <c r="V26" s="112"/>
      <c r="W26" s="112"/>
      <c r="X26" s="258"/>
      <c r="Y26" s="112"/>
      <c r="Z26" s="90"/>
      <c r="AA26" s="90"/>
      <c r="AB26" s="90"/>
      <c r="AC26" s="90"/>
      <c r="AD26" s="90"/>
      <c r="AE26" s="90"/>
      <c r="AF26" s="90"/>
      <c r="AG26" s="90"/>
      <c r="AH26" s="89"/>
    </row>
    <row r="27" spans="1:34">
      <c r="A27" s="31"/>
      <c r="B27" s="31"/>
      <c r="C27" s="227" t="s">
        <v>32</v>
      </c>
      <c r="D27" s="228">
        <f>'ENHANCED OIL RECOVERY 3'!C123+(0.14*'ENHANCED OIL RECOVERY 3'!C123)</f>
        <v>46.5969690775333</v>
      </c>
      <c r="E27" s="227"/>
      <c r="F27" s="31"/>
      <c r="G27" s="31"/>
      <c r="H27" s="31"/>
      <c r="I27" s="31"/>
      <c r="J27" s="31"/>
      <c r="K27" s="31"/>
      <c r="L27" s="31"/>
      <c r="M27" s="31"/>
      <c r="U27" s="90"/>
      <c r="V27" s="90"/>
      <c r="W27" s="90"/>
      <c r="X27" s="183"/>
      <c r="Y27" s="90"/>
      <c r="Z27" s="90"/>
      <c r="AA27" s="90"/>
      <c r="AB27" s="90"/>
      <c r="AC27" s="90"/>
      <c r="AD27" s="90"/>
      <c r="AE27" s="90"/>
      <c r="AF27" s="90"/>
      <c r="AG27" s="90"/>
      <c r="AH27" s="89"/>
    </row>
    <row r="28" spans="1:3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89"/>
    </row>
    <row r="29" spans="1:34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89"/>
    </row>
    <row r="30" spans="1:3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zoomScale="80" zoomScaleNormal="80" topLeftCell="A3" workbookViewId="0">
      <selection activeCell="B5" sqref="A3:S25"/>
    </sheetView>
  </sheetViews>
  <sheetFormatPr defaultColWidth="9.14285714285714" defaultRowHeight="15"/>
  <cols>
    <col min="2" max="2" width="12.8571428571429"/>
    <col min="4" max="4" width="8.75238095238095" customWidth="1"/>
    <col min="5" max="9" width="12.8571428571429"/>
    <col min="10" max="16" width="14"/>
    <col min="17" max="17" width="12.8571428571429"/>
    <col min="18" max="19" width="12.8571428571429" customWidth="1"/>
  </cols>
  <sheetData>
    <row r="1" ht="30" spans="1:14">
      <c r="A1" s="56" t="s">
        <v>152</v>
      </c>
      <c r="B1" s="57"/>
      <c r="C1" s="57"/>
      <c r="D1" s="57"/>
      <c r="E1" s="57"/>
      <c r="F1" s="57"/>
      <c r="G1" s="57"/>
      <c r="H1" s="57"/>
      <c r="I1" s="57"/>
      <c r="J1" s="65"/>
      <c r="K1" s="65"/>
      <c r="L1" s="65"/>
      <c r="M1" s="65"/>
      <c r="N1" s="65"/>
    </row>
    <row r="3" ht="60" spans="1:19">
      <c r="A3" s="58" t="s">
        <v>34</v>
      </c>
      <c r="B3" s="59" t="s">
        <v>35</v>
      </c>
      <c r="C3" s="59" t="s">
        <v>36</v>
      </c>
      <c r="D3" s="59" t="s">
        <v>37</v>
      </c>
      <c r="E3" s="8" t="s">
        <v>153</v>
      </c>
      <c r="F3" s="5" t="s">
        <v>154</v>
      </c>
      <c r="G3" s="59" t="s">
        <v>38</v>
      </c>
      <c r="H3" s="59" t="s">
        <v>39</v>
      </c>
      <c r="I3" s="59" t="s">
        <v>40</v>
      </c>
      <c r="J3" s="59" t="s">
        <v>41</v>
      </c>
      <c r="K3" s="59" t="s">
        <v>42</v>
      </c>
      <c r="L3" s="59" t="s">
        <v>43</v>
      </c>
      <c r="M3" s="66" t="s">
        <v>44</v>
      </c>
      <c r="N3" s="67" t="s">
        <v>45</v>
      </c>
      <c r="O3" s="67" t="s">
        <v>46</v>
      </c>
      <c r="P3" s="67" t="s">
        <v>47</v>
      </c>
      <c r="Q3" s="67" t="s">
        <v>48</v>
      </c>
      <c r="R3" s="67" t="s">
        <v>49</v>
      </c>
      <c r="S3" s="67" t="s">
        <v>50</v>
      </c>
    </row>
    <row r="4" spans="1:19">
      <c r="A4" s="60">
        <v>0</v>
      </c>
      <c r="B4" s="61"/>
      <c r="C4" s="62"/>
      <c r="D4" s="63"/>
      <c r="E4" s="6"/>
      <c r="F4" s="6"/>
      <c r="G4" s="62"/>
      <c r="H4" s="62"/>
      <c r="I4" s="62">
        <f>'ENHANCED OIL RECOVERY'!F8</f>
        <v>47132307.6923077</v>
      </c>
      <c r="J4" s="62"/>
      <c r="K4" s="62"/>
      <c r="L4" s="62"/>
      <c r="M4" s="33">
        <f>L4</f>
        <v>0</v>
      </c>
      <c r="N4" s="68">
        <f>IF(M4&gt;0,M4*'ENHANCED OIL RECOVERY'!$K$15,0)</f>
        <v>0</v>
      </c>
      <c r="O4" s="33">
        <f t="shared" ref="O4:O24" si="0">K4-N4</f>
        <v>0</v>
      </c>
      <c r="P4" s="33">
        <v>0</v>
      </c>
      <c r="Q4" s="33">
        <f>(1+'ENHANCED OIL RECOVERY'!$K$16)^-A4</f>
        <v>1</v>
      </c>
      <c r="R4" s="69">
        <f>P4*Q4</f>
        <v>0</v>
      </c>
      <c r="S4" s="72">
        <f>R4</f>
        <v>0</v>
      </c>
    </row>
    <row r="5" spans="1:19">
      <c r="A5" s="35">
        <v>1</v>
      </c>
      <c r="B5" s="250">
        <f>'ENHANCED OIL RECOVERY'!$L$6</f>
        <v>270000</v>
      </c>
      <c r="C5" s="33">
        <f>'ENHANCED OIL RECOVERY'!$L$7</f>
        <v>57</v>
      </c>
      <c r="D5" s="33">
        <f>B5*C5*1/10^6</f>
        <v>15.39</v>
      </c>
      <c r="E5" s="9">
        <f>0.125*D5</f>
        <v>1.92375</v>
      </c>
      <c r="F5" s="9">
        <f>D5-E5</f>
        <v>13.46625</v>
      </c>
      <c r="G5" s="64">
        <f>'ENHANCED OIL RECOVERY'!$F$17/10^6</f>
        <v>1.6344</v>
      </c>
      <c r="H5" s="64">
        <f>F5-G5</f>
        <v>11.83185</v>
      </c>
      <c r="I5" s="33"/>
      <c r="J5" s="64">
        <f>'ENHANCED OIL RECOVERY'!$F$8/'ENHANCED OIL RECOVERY'!$K$12/10^6</f>
        <v>11.7830769230769</v>
      </c>
      <c r="K5" s="64">
        <f t="shared" ref="K5:K24" si="1">H5-J5</f>
        <v>0.0487730769231014</v>
      </c>
      <c r="L5" s="64">
        <f>K5</f>
        <v>0.0487730769231014</v>
      </c>
      <c r="M5" s="64">
        <f t="shared" ref="M5:M14" si="2">IF((L5&lt;0),L5,H5)</f>
        <v>11.83185</v>
      </c>
      <c r="N5" s="68">
        <f>IF(M5&gt;0,M5*'ENHANCED OIL RECOVERY'!$K$15,0)</f>
        <v>2.36637</v>
      </c>
      <c r="O5" s="64">
        <f t="shared" si="0"/>
        <v>-2.3175969230769</v>
      </c>
      <c r="P5" s="64">
        <f t="shared" ref="P5:P24" si="3">P4+O5</f>
        <v>-2.3175969230769</v>
      </c>
      <c r="Q5" s="64">
        <f>(1+'ENHANCED OIL RECOVERY'!$K$16)^-A5</f>
        <v>0.909090909090909</v>
      </c>
      <c r="R5" s="70">
        <f t="shared" ref="R5:R24" si="4">O5*Q5</f>
        <v>-2.10690629370627</v>
      </c>
      <c r="S5" s="73">
        <f t="shared" ref="S5:S24" si="5">S4+R5</f>
        <v>-2.10690629370627</v>
      </c>
    </row>
    <row r="6" spans="1:19">
      <c r="A6" s="60">
        <v>2</v>
      </c>
      <c r="B6" s="250">
        <f>'ENHANCED OIL RECOVERY'!$L$6</f>
        <v>270000</v>
      </c>
      <c r="C6" s="33">
        <f>$C$5</f>
        <v>57</v>
      </c>
      <c r="D6" s="33">
        <f t="shared" ref="D6:D24" si="6">B6*C6*1/10^6</f>
        <v>15.39</v>
      </c>
      <c r="E6" s="9">
        <f t="shared" ref="E6:E24" si="7">0.125*D6</f>
        <v>1.92375</v>
      </c>
      <c r="F6" s="9">
        <f t="shared" ref="F6:F15" si="8">D6-E6</f>
        <v>13.46625</v>
      </c>
      <c r="G6" s="64">
        <f>'ENHANCED OIL RECOVERY'!$F$17/10^6</f>
        <v>1.6344</v>
      </c>
      <c r="H6" s="64">
        <f t="shared" ref="H6:H14" si="9">F6-G6</f>
        <v>11.83185</v>
      </c>
      <c r="I6" s="35"/>
      <c r="J6" s="64">
        <f>'ENHANCED OIL RECOVERY'!$F$8/'ENHANCED OIL RECOVERY'!$K$12/10^6</f>
        <v>11.7830769230769</v>
      </c>
      <c r="K6" s="64">
        <f t="shared" si="1"/>
        <v>0.0487730769231014</v>
      </c>
      <c r="L6" s="64">
        <f t="shared" ref="L6:L24" si="10">IF((L5+K6)&lt;0,(L5+K6),0)</f>
        <v>0</v>
      </c>
      <c r="M6" s="64">
        <f t="shared" si="2"/>
        <v>11.83185</v>
      </c>
      <c r="N6" s="68">
        <f>IF(M6&gt;0,M6*'ENHANCED OIL RECOVERY'!$K$15,0)</f>
        <v>2.36637</v>
      </c>
      <c r="O6" s="64">
        <f t="shared" si="0"/>
        <v>-2.3175969230769</v>
      </c>
      <c r="P6" s="64">
        <f t="shared" si="3"/>
        <v>-4.6351938461538</v>
      </c>
      <c r="Q6" s="64">
        <f>(1+'ENHANCED OIL RECOVERY'!$K$16)^-A6</f>
        <v>0.826446280991735</v>
      </c>
      <c r="R6" s="70">
        <f t="shared" si="4"/>
        <v>-1.91536935791479</v>
      </c>
      <c r="S6" s="73">
        <f t="shared" si="5"/>
        <v>-4.02227565162106</v>
      </c>
    </row>
    <row r="7" spans="1:19">
      <c r="A7" s="35">
        <v>3</v>
      </c>
      <c r="B7" s="250">
        <f>'ENHANCED OIL RECOVERY'!$L$6</f>
        <v>270000</v>
      </c>
      <c r="C7" s="33">
        <f>$C$5</f>
        <v>57</v>
      </c>
      <c r="D7" s="33">
        <f t="shared" si="6"/>
        <v>15.39</v>
      </c>
      <c r="E7" s="9">
        <f t="shared" si="7"/>
        <v>1.92375</v>
      </c>
      <c r="F7" s="9">
        <f t="shared" si="8"/>
        <v>13.46625</v>
      </c>
      <c r="G7" s="64">
        <f>'ENHANCED OIL RECOVERY'!$F$17/10^6</f>
        <v>1.6344</v>
      </c>
      <c r="H7" s="64">
        <f t="shared" si="9"/>
        <v>11.83185</v>
      </c>
      <c r="I7" s="33"/>
      <c r="J7" s="64">
        <f>'ENHANCED OIL RECOVERY'!$F$8/'ENHANCED OIL RECOVERY'!$K$12/10^6</f>
        <v>11.7830769230769</v>
      </c>
      <c r="K7" s="64">
        <f t="shared" si="1"/>
        <v>0.0487730769231014</v>
      </c>
      <c r="L7" s="64">
        <f t="shared" si="10"/>
        <v>0</v>
      </c>
      <c r="M7" s="64">
        <f t="shared" si="2"/>
        <v>11.83185</v>
      </c>
      <c r="N7" s="68">
        <f>IF(M7&gt;0,M7*'ENHANCED OIL RECOVERY'!$K$15,0)</f>
        <v>2.36637</v>
      </c>
      <c r="O7" s="64">
        <f t="shared" si="0"/>
        <v>-2.3175969230769</v>
      </c>
      <c r="P7" s="64">
        <f t="shared" si="3"/>
        <v>-6.9527907692307</v>
      </c>
      <c r="Q7" s="64">
        <f>(1+'ENHANCED OIL RECOVERY'!$K$16)^-A7</f>
        <v>0.751314800901578</v>
      </c>
      <c r="R7" s="70">
        <f t="shared" si="4"/>
        <v>-1.74124487083163</v>
      </c>
      <c r="S7" s="73">
        <f t="shared" si="5"/>
        <v>-5.76352052245269</v>
      </c>
    </row>
    <row r="8" spans="1:19">
      <c r="A8" s="60">
        <v>4</v>
      </c>
      <c r="B8" s="250">
        <f>'ENHANCED OIL RECOVERY'!$L$6</f>
        <v>270000</v>
      </c>
      <c r="C8" s="33">
        <f>$C$5</f>
        <v>57</v>
      </c>
      <c r="D8" s="33">
        <f t="shared" si="6"/>
        <v>15.39</v>
      </c>
      <c r="E8" s="9">
        <f t="shared" si="7"/>
        <v>1.92375</v>
      </c>
      <c r="F8" s="9">
        <f t="shared" si="8"/>
        <v>13.46625</v>
      </c>
      <c r="G8" s="64">
        <f>'ENHANCED OIL RECOVERY'!$F$17/10^6</f>
        <v>1.6344</v>
      </c>
      <c r="H8" s="64">
        <f t="shared" si="9"/>
        <v>11.83185</v>
      </c>
      <c r="I8" s="33"/>
      <c r="J8" s="64">
        <f>'ENHANCED OIL RECOVERY'!$F$8/'ENHANCED OIL RECOVERY'!$K$12/10^6</f>
        <v>11.7830769230769</v>
      </c>
      <c r="K8" s="64">
        <f t="shared" si="1"/>
        <v>0.0487730769231014</v>
      </c>
      <c r="L8" s="64">
        <f t="shared" si="10"/>
        <v>0</v>
      </c>
      <c r="M8" s="64">
        <f t="shared" si="2"/>
        <v>11.83185</v>
      </c>
      <c r="N8" s="68">
        <f>IF(M8&gt;0,M8*'ENHANCED OIL RECOVERY'!$K$15,0)</f>
        <v>2.36637</v>
      </c>
      <c r="O8" s="64">
        <f t="shared" si="0"/>
        <v>-2.3175969230769</v>
      </c>
      <c r="P8" s="64">
        <f t="shared" si="3"/>
        <v>-9.2703876923076</v>
      </c>
      <c r="Q8" s="64">
        <f>(1+'ENHANCED OIL RECOVERY'!$K$16)^-A8</f>
        <v>0.683013455365071</v>
      </c>
      <c r="R8" s="70">
        <f t="shared" si="4"/>
        <v>-1.58294988257421</v>
      </c>
      <c r="S8" s="73">
        <f t="shared" si="5"/>
        <v>-7.3464704050269</v>
      </c>
    </row>
    <row r="9" spans="1:21">
      <c r="A9" s="35">
        <v>5</v>
      </c>
      <c r="B9" s="250">
        <f>'ENHANCED OIL RECOVERY'!$L$6</f>
        <v>270000</v>
      </c>
      <c r="C9" s="33">
        <f>$C$5</f>
        <v>57</v>
      </c>
      <c r="D9" s="33">
        <f t="shared" si="6"/>
        <v>15.39</v>
      </c>
      <c r="E9" s="9">
        <f t="shared" si="7"/>
        <v>1.92375</v>
      </c>
      <c r="F9" s="9">
        <f t="shared" si="8"/>
        <v>13.46625</v>
      </c>
      <c r="G9" s="64">
        <f>'ENHANCED OIL RECOVERY'!$F$17/10^6</f>
        <v>1.6344</v>
      </c>
      <c r="H9" s="64">
        <f t="shared" si="9"/>
        <v>11.83185</v>
      </c>
      <c r="I9" s="33"/>
      <c r="J9" s="33"/>
      <c r="K9" s="64">
        <f t="shared" si="1"/>
        <v>11.83185</v>
      </c>
      <c r="L9" s="64">
        <f t="shared" si="10"/>
        <v>0</v>
      </c>
      <c r="M9" s="64">
        <f t="shared" si="2"/>
        <v>11.83185</v>
      </c>
      <c r="N9" s="68">
        <f>IF(M9&gt;0,M9*'ENHANCED OIL RECOVERY'!$K$15,0)</f>
        <v>2.36637</v>
      </c>
      <c r="O9" s="64">
        <f t="shared" si="0"/>
        <v>9.46548</v>
      </c>
      <c r="P9" s="64">
        <f t="shared" si="3"/>
        <v>0.195092307692406</v>
      </c>
      <c r="Q9" s="64">
        <f>(1+'ENHANCED OIL RECOVERY'!$K$16)^-A9</f>
        <v>0.620921323059155</v>
      </c>
      <c r="R9" s="70">
        <f t="shared" si="4"/>
        <v>5.87731836498997</v>
      </c>
      <c r="S9" s="73">
        <f t="shared" si="5"/>
        <v>-1.46915204003693</v>
      </c>
      <c r="U9" s="74"/>
    </row>
    <row r="10" spans="1:19">
      <c r="A10" s="60">
        <v>6</v>
      </c>
      <c r="B10" s="250">
        <f>'ENHANCED OIL RECOVERY'!$L$6</f>
        <v>270000</v>
      </c>
      <c r="C10" s="33">
        <f>$C$5</f>
        <v>57</v>
      </c>
      <c r="D10" s="33">
        <f t="shared" si="6"/>
        <v>15.39</v>
      </c>
      <c r="E10" s="9">
        <f t="shared" si="7"/>
        <v>1.92375</v>
      </c>
      <c r="F10" s="9">
        <f t="shared" si="8"/>
        <v>13.46625</v>
      </c>
      <c r="G10" s="64">
        <f>'ENHANCED OIL RECOVERY'!$F$17/10^6</f>
        <v>1.6344</v>
      </c>
      <c r="H10" s="64">
        <f t="shared" si="9"/>
        <v>11.83185</v>
      </c>
      <c r="I10" s="33"/>
      <c r="J10" s="33"/>
      <c r="K10" s="64">
        <f t="shared" si="1"/>
        <v>11.83185</v>
      </c>
      <c r="L10" s="64">
        <f t="shared" si="10"/>
        <v>0</v>
      </c>
      <c r="M10" s="64">
        <f t="shared" si="2"/>
        <v>11.83185</v>
      </c>
      <c r="N10" s="68">
        <f>IF(M10&gt;0,M10*'ENHANCED OIL RECOVERY'!$K$15,0)</f>
        <v>2.36637</v>
      </c>
      <c r="O10" s="64">
        <f t="shared" si="0"/>
        <v>9.46548</v>
      </c>
      <c r="P10" s="64">
        <f t="shared" si="3"/>
        <v>9.66057230769241</v>
      </c>
      <c r="Q10" s="64">
        <f>(1+'ENHANCED OIL RECOVERY'!$K$16)^-A10</f>
        <v>0.564473930053777</v>
      </c>
      <c r="R10" s="70">
        <f t="shared" si="4"/>
        <v>5.34301669544543</v>
      </c>
      <c r="S10" s="73">
        <f t="shared" si="5"/>
        <v>3.8738646554085</v>
      </c>
    </row>
    <row r="11" spans="1:19">
      <c r="A11" s="35">
        <v>7</v>
      </c>
      <c r="B11" s="250">
        <f>'ENHANCED OIL RECOVERY'!$L$6</f>
        <v>270000</v>
      </c>
      <c r="C11" s="33">
        <f>$C$5</f>
        <v>57</v>
      </c>
      <c r="D11" s="33">
        <f t="shared" si="6"/>
        <v>15.39</v>
      </c>
      <c r="E11" s="9">
        <f t="shared" si="7"/>
        <v>1.92375</v>
      </c>
      <c r="F11" s="9">
        <f t="shared" si="8"/>
        <v>13.46625</v>
      </c>
      <c r="G11" s="64">
        <f>'ENHANCED OIL RECOVERY'!$F$17/10^6</f>
        <v>1.6344</v>
      </c>
      <c r="H11" s="64">
        <f t="shared" si="9"/>
        <v>11.83185</v>
      </c>
      <c r="I11" s="33"/>
      <c r="J11" s="33"/>
      <c r="K11" s="64">
        <f t="shared" si="1"/>
        <v>11.83185</v>
      </c>
      <c r="L11" s="33">
        <f t="shared" si="10"/>
        <v>0</v>
      </c>
      <c r="M11" s="64">
        <f t="shared" si="2"/>
        <v>11.83185</v>
      </c>
      <c r="N11" s="71">
        <f>IF(M11&gt;0,M11*'ENHANCED OIL RECOVERY'!$K$15,0)</f>
        <v>2.36637</v>
      </c>
      <c r="O11" s="64">
        <f t="shared" si="0"/>
        <v>9.46548</v>
      </c>
      <c r="P11" s="64">
        <f t="shared" si="3"/>
        <v>19.1260523076924</v>
      </c>
      <c r="Q11" s="64">
        <f>(1+'ENHANCED OIL RECOVERY'!$K$16)^-A11</f>
        <v>0.513158118230706</v>
      </c>
      <c r="R11" s="70">
        <f t="shared" si="4"/>
        <v>4.85728790495038</v>
      </c>
      <c r="S11" s="73">
        <f t="shared" si="5"/>
        <v>8.73115256035888</v>
      </c>
    </row>
    <row r="12" spans="1:19">
      <c r="A12" s="60">
        <v>8</v>
      </c>
      <c r="B12" s="250">
        <f>'ENHANCED OIL RECOVERY'!$L$6</f>
        <v>270000</v>
      </c>
      <c r="C12" s="33">
        <f>$C$5</f>
        <v>57</v>
      </c>
      <c r="D12" s="33">
        <f t="shared" si="6"/>
        <v>15.39</v>
      </c>
      <c r="E12" s="9">
        <f t="shared" si="7"/>
        <v>1.92375</v>
      </c>
      <c r="F12" s="9">
        <f t="shared" si="8"/>
        <v>13.46625</v>
      </c>
      <c r="G12" s="64">
        <f>'ENHANCED OIL RECOVERY'!$F$17/10^6</f>
        <v>1.6344</v>
      </c>
      <c r="H12" s="64">
        <f t="shared" si="9"/>
        <v>11.83185</v>
      </c>
      <c r="I12" s="33"/>
      <c r="J12" s="33"/>
      <c r="K12" s="64">
        <f t="shared" si="1"/>
        <v>11.83185</v>
      </c>
      <c r="L12" s="33">
        <f t="shared" si="10"/>
        <v>0</v>
      </c>
      <c r="M12" s="64">
        <f t="shared" si="2"/>
        <v>11.83185</v>
      </c>
      <c r="N12" s="71">
        <f>IF(M12&gt;0,M12*'ENHANCED OIL RECOVERY'!$K$15,0)</f>
        <v>2.36637</v>
      </c>
      <c r="O12" s="64">
        <f t="shared" si="0"/>
        <v>9.46548</v>
      </c>
      <c r="P12" s="64">
        <f t="shared" si="3"/>
        <v>28.5915323076924</v>
      </c>
      <c r="Q12" s="64">
        <f>(1+'ENHANCED OIL RECOVERY'!$K$16)^-A12</f>
        <v>0.466507380209733</v>
      </c>
      <c r="R12" s="70">
        <f t="shared" si="4"/>
        <v>4.41571627722762</v>
      </c>
      <c r="S12" s="73">
        <f t="shared" si="5"/>
        <v>13.1468688375865</v>
      </c>
    </row>
    <row r="13" spans="1:19">
      <c r="A13" s="35">
        <v>9</v>
      </c>
      <c r="B13" s="250">
        <f>'ENHANCED OIL RECOVERY'!$L$6</f>
        <v>270000</v>
      </c>
      <c r="C13" s="33">
        <f>$C$5</f>
        <v>57</v>
      </c>
      <c r="D13" s="33">
        <f t="shared" si="6"/>
        <v>15.39</v>
      </c>
      <c r="E13" s="9">
        <f t="shared" si="7"/>
        <v>1.92375</v>
      </c>
      <c r="F13" s="9">
        <f t="shared" si="8"/>
        <v>13.46625</v>
      </c>
      <c r="G13" s="64">
        <f>'ENHANCED OIL RECOVERY'!$F$17/10^6</f>
        <v>1.6344</v>
      </c>
      <c r="H13" s="64">
        <f t="shared" si="9"/>
        <v>11.83185</v>
      </c>
      <c r="I13" s="33"/>
      <c r="J13" s="33"/>
      <c r="K13" s="64">
        <f t="shared" si="1"/>
        <v>11.83185</v>
      </c>
      <c r="L13" s="33">
        <f t="shared" si="10"/>
        <v>0</v>
      </c>
      <c r="M13" s="64">
        <f t="shared" si="2"/>
        <v>11.83185</v>
      </c>
      <c r="N13" s="71">
        <f>IF(M13&gt;0,M13*'ENHANCED OIL RECOVERY'!$K$15,0)</f>
        <v>2.36637</v>
      </c>
      <c r="O13" s="64">
        <f t="shared" si="0"/>
        <v>9.46548</v>
      </c>
      <c r="P13" s="64">
        <f t="shared" si="3"/>
        <v>38.0570123076924</v>
      </c>
      <c r="Q13" s="64">
        <f>(1+'ENHANCED OIL RECOVERY'!$K$16)^-A13</f>
        <v>0.424097618372485</v>
      </c>
      <c r="R13" s="70">
        <f t="shared" si="4"/>
        <v>4.01428752475239</v>
      </c>
      <c r="S13" s="73">
        <f t="shared" si="5"/>
        <v>17.1611563623389</v>
      </c>
    </row>
    <row r="14" spans="1:19">
      <c r="A14" s="60">
        <v>10</v>
      </c>
      <c r="B14" s="250">
        <f>'ENHANCED OIL RECOVERY'!$L$6</f>
        <v>270000</v>
      </c>
      <c r="C14" s="33">
        <f>$C$5</f>
        <v>57</v>
      </c>
      <c r="D14" s="33">
        <f t="shared" si="6"/>
        <v>15.39</v>
      </c>
      <c r="E14" s="9">
        <f t="shared" si="7"/>
        <v>1.92375</v>
      </c>
      <c r="F14" s="9">
        <f t="shared" si="8"/>
        <v>13.46625</v>
      </c>
      <c r="G14" s="64">
        <f>'ENHANCED OIL RECOVERY'!$F$17/10^6</f>
        <v>1.6344</v>
      </c>
      <c r="H14" s="64">
        <f t="shared" si="9"/>
        <v>11.83185</v>
      </c>
      <c r="I14" s="33"/>
      <c r="J14" s="33"/>
      <c r="K14" s="64">
        <f t="shared" si="1"/>
        <v>11.83185</v>
      </c>
      <c r="L14" s="33">
        <f t="shared" si="10"/>
        <v>0</v>
      </c>
      <c r="M14" s="64">
        <f t="shared" si="2"/>
        <v>11.83185</v>
      </c>
      <c r="N14" s="71">
        <f>IF(M14&gt;0,M14*'ENHANCED OIL RECOVERY'!$K$15,0)</f>
        <v>2.36637</v>
      </c>
      <c r="O14" s="64">
        <f t="shared" si="0"/>
        <v>9.46548</v>
      </c>
      <c r="P14" s="64">
        <f t="shared" si="3"/>
        <v>47.5224923076924</v>
      </c>
      <c r="Q14" s="64">
        <f>(1+'ENHANCED OIL RECOVERY'!$K$16)^-A14</f>
        <v>0.385543289429531</v>
      </c>
      <c r="R14" s="70">
        <f t="shared" si="4"/>
        <v>3.64935229522944</v>
      </c>
      <c r="S14" s="73">
        <f t="shared" si="5"/>
        <v>20.8105086575683</v>
      </c>
    </row>
    <row r="15" spans="1:19">
      <c r="A15" s="35">
        <v>11</v>
      </c>
      <c r="B15" s="250">
        <f>'ENHANCED OIL RECOVERY'!$L$6</f>
        <v>270000</v>
      </c>
      <c r="C15" s="33">
        <f t="shared" ref="C15:C24" si="11">$C$5</f>
        <v>57</v>
      </c>
      <c r="D15" s="33">
        <f t="shared" si="6"/>
        <v>15.39</v>
      </c>
      <c r="E15" s="9">
        <f t="shared" si="7"/>
        <v>1.92375</v>
      </c>
      <c r="F15" s="9">
        <f t="shared" ref="F15:F24" si="12">D15-E15</f>
        <v>13.46625</v>
      </c>
      <c r="G15" s="64">
        <f>'ENHANCED OIL RECOVERY'!$F$17/10^6</f>
        <v>1.6344</v>
      </c>
      <c r="H15" s="64">
        <f t="shared" ref="H15:H24" si="13">F15-G15</f>
        <v>11.83185</v>
      </c>
      <c r="I15" s="33"/>
      <c r="J15" s="33"/>
      <c r="K15" s="64">
        <f t="shared" ref="K15:K24" si="14">H15-J15</f>
        <v>11.83185</v>
      </c>
      <c r="L15" s="33">
        <f t="shared" ref="L15:L24" si="15">IF((L14+K15)&lt;0,(L14+K15),0)</f>
        <v>0</v>
      </c>
      <c r="M15" s="64">
        <f t="shared" ref="M15:M24" si="16">IF((L15&lt;0),L15,H15)</f>
        <v>11.83185</v>
      </c>
      <c r="N15" s="71">
        <f>IF(M15&gt;0,M15*'ENHANCED OIL RECOVERY'!$K$15,0)</f>
        <v>2.36637</v>
      </c>
      <c r="O15" s="64">
        <f t="shared" ref="O15:O24" si="17">K15-N15</f>
        <v>9.46548</v>
      </c>
      <c r="P15" s="64">
        <f t="shared" ref="P15:P24" si="18">P14+O15</f>
        <v>56.9879723076924</v>
      </c>
      <c r="Q15" s="64">
        <f>(1+'ENHANCED OIL RECOVERY'!$K$16)^-A15</f>
        <v>0.350493899481392</v>
      </c>
      <c r="R15" s="70">
        <f t="shared" ref="R15:R24" si="19">O15*Q15</f>
        <v>3.31759299566313</v>
      </c>
      <c r="S15" s="73">
        <f t="shared" ref="S15:S24" si="20">S14+R15</f>
        <v>24.1281016532315</v>
      </c>
    </row>
    <row r="16" spans="1:19">
      <c r="A16" s="60">
        <v>12</v>
      </c>
      <c r="B16" s="250">
        <f>'ENHANCED OIL RECOVERY'!$L$6</f>
        <v>270000</v>
      </c>
      <c r="C16" s="33">
        <f t="shared" si="11"/>
        <v>57</v>
      </c>
      <c r="D16" s="33">
        <f t="shared" si="6"/>
        <v>15.39</v>
      </c>
      <c r="E16" s="9">
        <f t="shared" si="7"/>
        <v>1.92375</v>
      </c>
      <c r="F16" s="9">
        <f t="shared" si="12"/>
        <v>13.46625</v>
      </c>
      <c r="G16" s="64">
        <f>'ENHANCED OIL RECOVERY'!$F$17/10^6</f>
        <v>1.6344</v>
      </c>
      <c r="H16" s="64">
        <f t="shared" si="13"/>
        <v>11.83185</v>
      </c>
      <c r="I16" s="33"/>
      <c r="J16" s="33"/>
      <c r="K16" s="64">
        <f t="shared" si="14"/>
        <v>11.83185</v>
      </c>
      <c r="L16" s="33">
        <f t="shared" si="15"/>
        <v>0</v>
      </c>
      <c r="M16" s="64">
        <f t="shared" si="16"/>
        <v>11.83185</v>
      </c>
      <c r="N16" s="71">
        <f>IF(M16&gt;0,M16*'ENHANCED OIL RECOVERY'!$K$15,0)</f>
        <v>2.36637</v>
      </c>
      <c r="O16" s="64">
        <f t="shared" si="17"/>
        <v>9.46548</v>
      </c>
      <c r="P16" s="64">
        <f t="shared" si="18"/>
        <v>66.4534523076924</v>
      </c>
      <c r="Q16" s="64">
        <f>(1+'ENHANCED OIL RECOVERY'!$K$16)^-A16</f>
        <v>0.318630817710357</v>
      </c>
      <c r="R16" s="70">
        <f t="shared" si="19"/>
        <v>3.01599363242103</v>
      </c>
      <c r="S16" s="73">
        <f t="shared" si="20"/>
        <v>27.1440952856525</v>
      </c>
    </row>
    <row r="17" spans="1:19">
      <c r="A17" s="35">
        <v>13</v>
      </c>
      <c r="B17" s="250">
        <f>'ENHANCED OIL RECOVERY'!$L$6</f>
        <v>270000</v>
      </c>
      <c r="C17" s="33">
        <f t="shared" si="11"/>
        <v>57</v>
      </c>
      <c r="D17" s="33">
        <f t="shared" si="6"/>
        <v>15.39</v>
      </c>
      <c r="E17" s="9">
        <f t="shared" si="7"/>
        <v>1.92375</v>
      </c>
      <c r="F17" s="9">
        <f t="shared" si="12"/>
        <v>13.46625</v>
      </c>
      <c r="G17" s="64">
        <f>'ENHANCED OIL RECOVERY'!$F$17/10^6</f>
        <v>1.6344</v>
      </c>
      <c r="H17" s="64">
        <f t="shared" si="13"/>
        <v>11.83185</v>
      </c>
      <c r="I17" s="33"/>
      <c r="J17" s="33"/>
      <c r="K17" s="64">
        <f t="shared" si="14"/>
        <v>11.83185</v>
      </c>
      <c r="L17" s="33">
        <f t="shared" si="15"/>
        <v>0</v>
      </c>
      <c r="M17" s="64">
        <f t="shared" si="16"/>
        <v>11.83185</v>
      </c>
      <c r="N17" s="71">
        <f>IF(M17&gt;0,M17*'ENHANCED OIL RECOVERY'!$K$15,0)</f>
        <v>2.36637</v>
      </c>
      <c r="O17" s="64">
        <f t="shared" si="17"/>
        <v>9.46548</v>
      </c>
      <c r="P17" s="64">
        <f t="shared" si="18"/>
        <v>75.9189323076924</v>
      </c>
      <c r="Q17" s="64">
        <f>(1+'ENHANCED OIL RECOVERY'!$K$16)^-A17</f>
        <v>0.289664379736688</v>
      </c>
      <c r="R17" s="70">
        <f t="shared" si="19"/>
        <v>2.74181239311003</v>
      </c>
      <c r="S17" s="73">
        <f t="shared" si="20"/>
        <v>29.8859076787625</v>
      </c>
    </row>
    <row r="18" spans="1:19">
      <c r="A18" s="60">
        <v>14</v>
      </c>
      <c r="B18" s="250">
        <f>'ENHANCED OIL RECOVERY'!$L$6</f>
        <v>270000</v>
      </c>
      <c r="C18" s="33">
        <f t="shared" si="11"/>
        <v>57</v>
      </c>
      <c r="D18" s="33">
        <f t="shared" si="6"/>
        <v>15.39</v>
      </c>
      <c r="E18" s="9">
        <f t="shared" si="7"/>
        <v>1.92375</v>
      </c>
      <c r="F18" s="9">
        <f t="shared" si="12"/>
        <v>13.46625</v>
      </c>
      <c r="G18" s="64">
        <f>'ENHANCED OIL RECOVERY'!$F$17/10^6</f>
        <v>1.6344</v>
      </c>
      <c r="H18" s="64">
        <f t="shared" si="13"/>
        <v>11.83185</v>
      </c>
      <c r="I18" s="33"/>
      <c r="J18" s="33"/>
      <c r="K18" s="64">
        <f t="shared" si="14"/>
        <v>11.83185</v>
      </c>
      <c r="L18" s="33">
        <f t="shared" si="15"/>
        <v>0</v>
      </c>
      <c r="M18" s="64">
        <f t="shared" si="16"/>
        <v>11.83185</v>
      </c>
      <c r="N18" s="71">
        <f>IF(M18&gt;0,M18*'ENHANCED OIL RECOVERY'!$K$15,0)</f>
        <v>2.36637</v>
      </c>
      <c r="O18" s="64">
        <f t="shared" si="17"/>
        <v>9.46548</v>
      </c>
      <c r="P18" s="64">
        <f t="shared" si="18"/>
        <v>85.3844123076924</v>
      </c>
      <c r="Q18" s="64">
        <f>(1+'ENHANCED OIL RECOVERY'!$K$16)^-A18</f>
        <v>0.26333125430608</v>
      </c>
      <c r="R18" s="70">
        <f t="shared" si="19"/>
        <v>2.49255672100911</v>
      </c>
      <c r="S18" s="73">
        <f t="shared" si="20"/>
        <v>32.3784643997716</v>
      </c>
    </row>
    <row r="19" spans="1:19">
      <c r="A19" s="35">
        <v>15</v>
      </c>
      <c r="B19" s="250">
        <f>'ENHANCED OIL RECOVERY'!$L$6</f>
        <v>270000</v>
      </c>
      <c r="C19" s="33">
        <f t="shared" si="11"/>
        <v>57</v>
      </c>
      <c r="D19" s="33">
        <f t="shared" si="6"/>
        <v>15.39</v>
      </c>
      <c r="E19" s="9">
        <f t="shared" si="7"/>
        <v>1.92375</v>
      </c>
      <c r="F19" s="9">
        <f t="shared" si="12"/>
        <v>13.46625</v>
      </c>
      <c r="G19" s="64">
        <f>'ENHANCED OIL RECOVERY'!$F$17/10^6</f>
        <v>1.6344</v>
      </c>
      <c r="H19" s="64">
        <f t="shared" si="13"/>
        <v>11.83185</v>
      </c>
      <c r="I19" s="33"/>
      <c r="J19" s="33"/>
      <c r="K19" s="64">
        <f t="shared" si="14"/>
        <v>11.83185</v>
      </c>
      <c r="L19" s="33">
        <f t="shared" si="15"/>
        <v>0</v>
      </c>
      <c r="M19" s="64">
        <f t="shared" si="16"/>
        <v>11.83185</v>
      </c>
      <c r="N19" s="71">
        <f>IF(M19&gt;0,M19*'ENHANCED OIL RECOVERY'!$K$15,0)</f>
        <v>2.36637</v>
      </c>
      <c r="O19" s="64">
        <f t="shared" si="17"/>
        <v>9.46548</v>
      </c>
      <c r="P19" s="64">
        <f t="shared" si="18"/>
        <v>94.8498923076924</v>
      </c>
      <c r="Q19" s="64">
        <f>(1+'ENHANCED OIL RECOVERY'!$K$16)^-A19</f>
        <v>0.239392049369163</v>
      </c>
      <c r="R19" s="70">
        <f t="shared" si="19"/>
        <v>2.26596065546282</v>
      </c>
      <c r="S19" s="73">
        <f t="shared" si="20"/>
        <v>34.6444250552345</v>
      </c>
    </row>
    <row r="20" spans="1:19">
      <c r="A20" s="60">
        <v>16</v>
      </c>
      <c r="B20" s="250">
        <f>'ENHANCED OIL RECOVERY'!$L$6</f>
        <v>270000</v>
      </c>
      <c r="C20" s="33">
        <f t="shared" si="11"/>
        <v>57</v>
      </c>
      <c r="D20" s="33">
        <f t="shared" si="6"/>
        <v>15.39</v>
      </c>
      <c r="E20" s="9">
        <f t="shared" si="7"/>
        <v>1.92375</v>
      </c>
      <c r="F20" s="9">
        <f t="shared" si="12"/>
        <v>13.46625</v>
      </c>
      <c r="G20" s="64">
        <f>'ENHANCED OIL RECOVERY'!$F$17/10^6</f>
        <v>1.6344</v>
      </c>
      <c r="H20" s="64">
        <f t="shared" si="13"/>
        <v>11.83185</v>
      </c>
      <c r="I20" s="33"/>
      <c r="J20" s="33"/>
      <c r="K20" s="64">
        <f t="shared" si="14"/>
        <v>11.83185</v>
      </c>
      <c r="L20" s="33">
        <f t="shared" si="15"/>
        <v>0</v>
      </c>
      <c r="M20" s="64">
        <f t="shared" si="16"/>
        <v>11.83185</v>
      </c>
      <c r="N20" s="71">
        <f>IF(M20&gt;0,M20*'ENHANCED OIL RECOVERY'!$K$15,0)</f>
        <v>2.36637</v>
      </c>
      <c r="O20" s="64">
        <f t="shared" si="17"/>
        <v>9.46548</v>
      </c>
      <c r="P20" s="64">
        <f t="shared" si="18"/>
        <v>104.315372307692</v>
      </c>
      <c r="Q20" s="64">
        <f>(1+'ENHANCED OIL RECOVERY'!$K$16)^-A20</f>
        <v>0.217629135790149</v>
      </c>
      <c r="R20" s="70">
        <f t="shared" si="19"/>
        <v>2.05996423223894</v>
      </c>
      <c r="S20" s="73">
        <f t="shared" si="20"/>
        <v>36.7043892874734</v>
      </c>
    </row>
    <row r="21" spans="1:19">
      <c r="A21" s="35">
        <v>17</v>
      </c>
      <c r="B21" s="250">
        <f>'ENHANCED OIL RECOVERY'!$L$6</f>
        <v>270000</v>
      </c>
      <c r="C21" s="33">
        <f t="shared" si="11"/>
        <v>57</v>
      </c>
      <c r="D21" s="33">
        <f t="shared" si="6"/>
        <v>15.39</v>
      </c>
      <c r="E21" s="9">
        <f t="shared" si="7"/>
        <v>1.92375</v>
      </c>
      <c r="F21" s="9">
        <f t="shared" si="12"/>
        <v>13.46625</v>
      </c>
      <c r="G21" s="64">
        <f>'ENHANCED OIL RECOVERY'!$F$17/10^6</f>
        <v>1.6344</v>
      </c>
      <c r="H21" s="64">
        <f t="shared" si="13"/>
        <v>11.83185</v>
      </c>
      <c r="I21" s="33"/>
      <c r="J21" s="33"/>
      <c r="K21" s="64">
        <f t="shared" si="14"/>
        <v>11.83185</v>
      </c>
      <c r="L21" s="33">
        <f t="shared" si="15"/>
        <v>0</v>
      </c>
      <c r="M21" s="64">
        <f t="shared" si="16"/>
        <v>11.83185</v>
      </c>
      <c r="N21" s="71">
        <f>IF(M21&gt;0,M21*'ENHANCED OIL RECOVERY'!$K$15,0)</f>
        <v>2.36637</v>
      </c>
      <c r="O21" s="64">
        <f t="shared" si="17"/>
        <v>9.46548</v>
      </c>
      <c r="P21" s="64">
        <f t="shared" si="18"/>
        <v>113.780852307692</v>
      </c>
      <c r="Q21" s="64">
        <f>(1+'ENHANCED OIL RECOVERY'!$K$16)^-A21</f>
        <v>0.197844668900135</v>
      </c>
      <c r="R21" s="70">
        <f t="shared" si="19"/>
        <v>1.87269475658085</v>
      </c>
      <c r="S21" s="73">
        <f t="shared" si="20"/>
        <v>38.5770840440542</v>
      </c>
    </row>
    <row r="22" spans="1:19">
      <c r="A22" s="60">
        <v>18</v>
      </c>
      <c r="B22" s="250">
        <f>'ENHANCED OIL RECOVERY'!$L$6</f>
        <v>270000</v>
      </c>
      <c r="C22" s="33">
        <f t="shared" si="11"/>
        <v>57</v>
      </c>
      <c r="D22" s="33">
        <f t="shared" si="6"/>
        <v>15.39</v>
      </c>
      <c r="E22" s="9">
        <f t="shared" si="7"/>
        <v>1.92375</v>
      </c>
      <c r="F22" s="9">
        <f t="shared" si="12"/>
        <v>13.46625</v>
      </c>
      <c r="G22" s="64">
        <f>'ENHANCED OIL RECOVERY'!$F$17/10^6</f>
        <v>1.6344</v>
      </c>
      <c r="H22" s="64">
        <f t="shared" si="13"/>
        <v>11.83185</v>
      </c>
      <c r="I22" s="33"/>
      <c r="J22" s="33"/>
      <c r="K22" s="64">
        <f t="shared" si="14"/>
        <v>11.83185</v>
      </c>
      <c r="L22" s="33">
        <f t="shared" si="15"/>
        <v>0</v>
      </c>
      <c r="M22" s="64">
        <f t="shared" si="16"/>
        <v>11.83185</v>
      </c>
      <c r="N22" s="71">
        <f>IF(M22&gt;0,M22*'ENHANCED OIL RECOVERY'!$K$15,0)</f>
        <v>2.36637</v>
      </c>
      <c r="O22" s="64">
        <f t="shared" si="17"/>
        <v>9.46548</v>
      </c>
      <c r="P22" s="64">
        <f t="shared" si="18"/>
        <v>123.246332307692</v>
      </c>
      <c r="Q22" s="64">
        <f>(1+'ENHANCED OIL RECOVERY'!$K$16)^-A22</f>
        <v>0.179858789909214</v>
      </c>
      <c r="R22" s="70">
        <f t="shared" si="19"/>
        <v>1.70244977870987</v>
      </c>
      <c r="S22" s="73">
        <f t="shared" si="20"/>
        <v>40.2795338227641</v>
      </c>
    </row>
    <row r="23" spans="1:19">
      <c r="A23" s="35">
        <v>19</v>
      </c>
      <c r="B23" s="250">
        <f>'ENHANCED OIL RECOVERY'!$L$6</f>
        <v>270000</v>
      </c>
      <c r="C23" s="33">
        <f t="shared" si="11"/>
        <v>57</v>
      </c>
      <c r="D23" s="33">
        <f t="shared" si="6"/>
        <v>15.39</v>
      </c>
      <c r="E23" s="9">
        <f t="shared" si="7"/>
        <v>1.92375</v>
      </c>
      <c r="F23" s="9">
        <f t="shared" si="12"/>
        <v>13.46625</v>
      </c>
      <c r="G23" s="64">
        <f>'ENHANCED OIL RECOVERY'!$F$17/10^6</f>
        <v>1.6344</v>
      </c>
      <c r="H23" s="64">
        <f t="shared" si="13"/>
        <v>11.83185</v>
      </c>
      <c r="I23" s="33"/>
      <c r="J23" s="33"/>
      <c r="K23" s="64">
        <f t="shared" si="14"/>
        <v>11.83185</v>
      </c>
      <c r="L23" s="33">
        <f t="shared" si="15"/>
        <v>0</v>
      </c>
      <c r="M23" s="64">
        <f t="shared" si="16"/>
        <v>11.83185</v>
      </c>
      <c r="N23" s="71">
        <f>IF(M23&gt;0,M23*'ENHANCED OIL RECOVERY'!$K$15,0)</f>
        <v>2.36637</v>
      </c>
      <c r="O23" s="64">
        <f t="shared" si="17"/>
        <v>9.46548</v>
      </c>
      <c r="P23" s="64">
        <f t="shared" si="18"/>
        <v>132.711812307692</v>
      </c>
      <c r="Q23" s="64">
        <f>(1+'ENHANCED OIL RECOVERY'!$K$16)^-A23</f>
        <v>0.163507990826558</v>
      </c>
      <c r="R23" s="70">
        <f t="shared" si="19"/>
        <v>1.54768161700897</v>
      </c>
      <c r="S23" s="73">
        <f t="shared" si="20"/>
        <v>41.8272154397731</v>
      </c>
    </row>
    <row r="24" spans="1:19">
      <c r="A24" s="60">
        <v>20</v>
      </c>
      <c r="B24" s="250">
        <f>'ENHANCED OIL RECOVERY'!$L$6</f>
        <v>270000</v>
      </c>
      <c r="C24" s="33">
        <f t="shared" si="11"/>
        <v>57</v>
      </c>
      <c r="D24" s="33">
        <f t="shared" si="6"/>
        <v>15.39</v>
      </c>
      <c r="E24" s="9">
        <f t="shared" si="7"/>
        <v>1.92375</v>
      </c>
      <c r="F24" s="9">
        <f t="shared" si="12"/>
        <v>13.46625</v>
      </c>
      <c r="G24" s="64">
        <f>'ENHANCED OIL RECOVERY'!$F$17/10^6</f>
        <v>1.6344</v>
      </c>
      <c r="H24" s="64">
        <f t="shared" si="13"/>
        <v>11.83185</v>
      </c>
      <c r="I24" s="33"/>
      <c r="J24" s="33"/>
      <c r="K24" s="64">
        <f t="shared" si="14"/>
        <v>11.83185</v>
      </c>
      <c r="L24" s="33">
        <f t="shared" si="15"/>
        <v>0</v>
      </c>
      <c r="M24" s="64">
        <f t="shared" si="16"/>
        <v>11.83185</v>
      </c>
      <c r="N24" s="71">
        <f>IF(M24&gt;0,M24*'ENHANCED OIL RECOVERY'!$K$15,0)</f>
        <v>2.36637</v>
      </c>
      <c r="O24" s="64">
        <f t="shared" si="17"/>
        <v>9.46548</v>
      </c>
      <c r="P24" s="64">
        <f t="shared" si="18"/>
        <v>142.177292307692</v>
      </c>
      <c r="Q24" s="64">
        <f>(1+'ENHANCED OIL RECOVERY'!$K$16)^-A24</f>
        <v>0.148643628024143</v>
      </c>
      <c r="R24" s="70">
        <f t="shared" si="19"/>
        <v>1.40698328818997</v>
      </c>
      <c r="S24" s="73">
        <f t="shared" si="20"/>
        <v>43.234198727963</v>
      </c>
    </row>
    <row r="25" spans="1:19">
      <c r="A25" s="90"/>
      <c r="B25" s="90"/>
      <c r="C25" s="90"/>
      <c r="D25" s="90"/>
      <c r="E25" s="89"/>
      <c r="F25" s="89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251">
        <f>SUM(R5:R24)</f>
        <v>43.234198727963</v>
      </c>
      <c r="S25" s="90"/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8"/>
  <sheetViews>
    <sheetView zoomScale="77" zoomScaleNormal="77" topLeftCell="A48" workbookViewId="0">
      <selection activeCell="O60" sqref="O60"/>
    </sheetView>
  </sheetViews>
  <sheetFormatPr defaultColWidth="9.14285714285714" defaultRowHeight="15"/>
  <cols>
    <col min="3" max="5" width="12.8571428571429"/>
    <col min="7" max="7" width="12.8571428571429"/>
    <col min="8" max="10" width="11"/>
    <col min="11" max="13" width="12"/>
    <col min="14" max="14" width="12" customWidth="1"/>
    <col min="15" max="15" width="12"/>
    <col min="16" max="17" width="12" customWidth="1"/>
    <col min="18" max="19" width="12"/>
  </cols>
  <sheetData>
    <row r="1" ht="47.25" spans="1:6">
      <c r="A1" s="1" t="s">
        <v>114</v>
      </c>
      <c r="B1" s="2"/>
      <c r="C1" s="2"/>
      <c r="D1" s="2"/>
      <c r="E1" s="2"/>
      <c r="F1" s="2"/>
    </row>
    <row r="4" spans="1:2">
      <c r="A4" s="3" t="s">
        <v>52</v>
      </c>
      <c r="B4" s="239">
        <f>IRR('ENHANCED OIL RECOVERY 2'!O4:O14)</f>
        <v>0.470896813700642</v>
      </c>
    </row>
    <row r="6" ht="30" spans="2:12">
      <c r="B6" s="5" t="s">
        <v>53</v>
      </c>
      <c r="C6" s="6">
        <f>'ENHANCED OIL RECOVERY'!K16</f>
        <v>0.1</v>
      </c>
      <c r="D6" s="6">
        <f>D11</f>
        <v>0.15</v>
      </c>
      <c r="E6" s="6">
        <f>$D$18</f>
        <v>0.5</v>
      </c>
      <c r="F6" s="6">
        <f>D25</f>
        <v>0.8</v>
      </c>
      <c r="H6" s="8" t="s">
        <v>54</v>
      </c>
      <c r="I6" s="9">
        <f t="shared" ref="I6:L6" si="0">C7</f>
        <v>3.31759299566313</v>
      </c>
      <c r="J6" s="9">
        <f t="shared" si="0"/>
        <v>25.6071472163898</v>
      </c>
      <c r="K6" s="9">
        <f t="shared" si="0"/>
        <v>0.0141558066589915</v>
      </c>
      <c r="L6" s="9">
        <f t="shared" si="0"/>
        <v>-1.49402101151497</v>
      </c>
    </row>
    <row r="7" ht="30" spans="2:12">
      <c r="B7" s="8" t="s">
        <v>54</v>
      </c>
      <c r="C7" s="9">
        <f>'ENHANCED OIL RECOVERY 2'!R15</f>
        <v>3.31759299566313</v>
      </c>
      <c r="D7" s="9">
        <f>W15</f>
        <v>25.6071472163898</v>
      </c>
      <c r="E7" s="9">
        <f>W22</f>
        <v>0.0141558066589915</v>
      </c>
      <c r="F7" s="9">
        <f>W29</f>
        <v>-1.49402101151497</v>
      </c>
      <c r="H7" s="5" t="s">
        <v>24</v>
      </c>
      <c r="I7" s="6">
        <f t="shared" ref="I7:L7" si="1">C6</f>
        <v>0.1</v>
      </c>
      <c r="J7" s="6">
        <f t="shared" si="1"/>
        <v>0.15</v>
      </c>
      <c r="K7" s="6">
        <f t="shared" si="1"/>
        <v>0.5</v>
      </c>
      <c r="L7" s="6">
        <f t="shared" si="1"/>
        <v>0.8</v>
      </c>
    </row>
    <row r="11" spans="1:23">
      <c r="A11" s="11"/>
      <c r="B11" s="12" t="s">
        <v>55</v>
      </c>
      <c r="C11" s="8"/>
      <c r="D11" s="8">
        <f>'ENHANCED OIL RECOVERY'!K16+5%</f>
        <v>0.15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13"/>
      <c r="W11" s="26" t="s">
        <v>56</v>
      </c>
    </row>
    <row r="12" spans="1:23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 s="27"/>
    </row>
    <row r="13" ht="60" spans="1:23">
      <c r="A13" s="11" t="s">
        <v>57</v>
      </c>
      <c r="B13" s="14">
        <f>'ENHANCED OIL RECOVERY 2'!O4</f>
        <v>0</v>
      </c>
      <c r="C13" s="14">
        <f>'ENHANCED OIL RECOVERY 2'!O5</f>
        <v>-2.3175969230769</v>
      </c>
      <c r="D13" s="14">
        <f>'ENHANCED OIL RECOVERY 2'!O6</f>
        <v>-2.3175969230769</v>
      </c>
      <c r="E13" s="14">
        <f>'ENHANCED OIL RECOVERY 2'!O7</f>
        <v>-2.3175969230769</v>
      </c>
      <c r="F13" s="14">
        <f>'ENHANCED OIL RECOVERY 2'!O8</f>
        <v>-2.3175969230769</v>
      </c>
      <c r="G13" s="14">
        <f>'ENHANCED OIL RECOVERY 2'!O9</f>
        <v>9.46548</v>
      </c>
      <c r="H13" s="14">
        <f>'ENHANCED OIL RECOVERY 2'!O10</f>
        <v>9.46548</v>
      </c>
      <c r="I13" s="14">
        <f>'ENHANCED OIL RECOVERY 2'!O11</f>
        <v>9.46548</v>
      </c>
      <c r="J13" s="14">
        <f>'ENHANCED OIL RECOVERY 2'!O12</f>
        <v>9.46548</v>
      </c>
      <c r="K13" s="14">
        <f>'ENHANCED OIL RECOVERY 2'!O13</f>
        <v>9.46548</v>
      </c>
      <c r="L13" s="14">
        <f>'ENHANCED OIL RECOVERY 2'!O14</f>
        <v>9.46548</v>
      </c>
      <c r="M13" s="14">
        <f>'ENHANCED OIL RECOVERY 2'!O15</f>
        <v>9.46548</v>
      </c>
      <c r="N13" s="14">
        <f>'ENHANCED OIL RECOVERY 2'!O16</f>
        <v>9.46548</v>
      </c>
      <c r="O13" s="14">
        <f>'ENHANCED OIL RECOVERY 2'!O17</f>
        <v>9.46548</v>
      </c>
      <c r="P13" s="14">
        <f>'ENHANCED OIL RECOVERY 2'!O18</f>
        <v>9.46548</v>
      </c>
      <c r="Q13" s="14">
        <f>'ENHANCED OIL RECOVERY 2'!O19</f>
        <v>9.46548</v>
      </c>
      <c r="R13" s="14">
        <f>'ENHANCED OIL RECOVERY 2'!O20</f>
        <v>9.46548</v>
      </c>
      <c r="S13" s="14">
        <f>'ENHANCED OIL RECOVERY 2'!O21</f>
        <v>9.46548</v>
      </c>
      <c r="T13" s="14">
        <f>'ENHANCED OIL RECOVERY 2'!O22</f>
        <v>9.46548</v>
      </c>
      <c r="U13" s="14">
        <f>'ENHANCED OIL RECOVERY 2'!O23</f>
        <v>9.46548</v>
      </c>
      <c r="V13" s="14">
        <f>'ENHANCED OIL RECOVERY 2'!O24</f>
        <v>9.46548</v>
      </c>
      <c r="W13" s="28"/>
    </row>
    <row r="14" ht="30" spans="1:23">
      <c r="A14" s="11" t="s">
        <v>58</v>
      </c>
      <c r="B14" s="14">
        <f>(1+$D$11)^-B12</f>
        <v>1</v>
      </c>
      <c r="C14" s="14">
        <f>(1+$D$11)^-C12</f>
        <v>0.869565217391304</v>
      </c>
      <c r="D14" s="14">
        <f>(1+$D$11)^-D12</f>
        <v>0.756143667296787</v>
      </c>
      <c r="E14" s="14">
        <f>(1+$D$11)^-E12</f>
        <v>0.657516232431988</v>
      </c>
      <c r="F14" s="14">
        <f>(1+$D$11)^-F12</f>
        <v>0.571753245593033</v>
      </c>
      <c r="G14" s="14">
        <f>(1+$D$11)^-G12</f>
        <v>0.49717673529829</v>
      </c>
      <c r="H14" s="14">
        <f>(1+$D$11)^-H12</f>
        <v>0.432327595911557</v>
      </c>
      <c r="I14" s="14">
        <f>(1+$D$11)^-I12</f>
        <v>0.375937039923093</v>
      </c>
      <c r="J14" s="14">
        <f>(1+$D$11)^-J12</f>
        <v>0.326901773846168</v>
      </c>
      <c r="K14" s="14">
        <f>(1+$D$11)^-K12</f>
        <v>0.284262412040146</v>
      </c>
      <c r="L14" s="14">
        <f>(1+$D$11)^-L12</f>
        <v>0.247184706121866</v>
      </c>
      <c r="M14" s="14">
        <f>(1+$D$11)^-M12</f>
        <v>0.214943222714666</v>
      </c>
      <c r="N14" s="14">
        <f>(1+$D$11)^-N12</f>
        <v>0.186907150186666</v>
      </c>
      <c r="O14" s="14">
        <f>(1+$D$11)^-O12</f>
        <v>0.162527956684057</v>
      </c>
      <c r="P14" s="14">
        <f>(1+$D$11)^-P12</f>
        <v>0.141328657986137</v>
      </c>
      <c r="Q14" s="14">
        <f>(1+$D$11)^-Q12</f>
        <v>0.122894485205336</v>
      </c>
      <c r="R14" s="14">
        <f>(1+$D$11)^-R12</f>
        <v>0.106864769743771</v>
      </c>
      <c r="S14" s="14">
        <f>(1+$D$11)^-S12</f>
        <v>0.0929258867337138</v>
      </c>
      <c r="T14" s="14">
        <f>(1+$D$11)^-T12</f>
        <v>0.0808051188988816</v>
      </c>
      <c r="U14" s="14">
        <f>(1+$D$11)^-U12</f>
        <v>0.0702653207816362</v>
      </c>
      <c r="V14" s="14">
        <f>(1+$D$11)^-V12</f>
        <v>0.0611002789405532</v>
      </c>
      <c r="W14" s="27"/>
    </row>
    <row r="15" ht="30" spans="1:23">
      <c r="A15" s="11" t="s">
        <v>59</v>
      </c>
      <c r="B15" s="15">
        <f t="shared" ref="B15:N15" si="2">B13*B14</f>
        <v>0</v>
      </c>
      <c r="C15" s="15">
        <f t="shared" si="2"/>
        <v>-2.01530167224078</v>
      </c>
      <c r="D15" s="15">
        <f t="shared" si="2"/>
        <v>-1.75243623673112</v>
      </c>
      <c r="E15" s="15">
        <f t="shared" si="2"/>
        <v>-1.52385759715749</v>
      </c>
      <c r="F15" s="15">
        <f t="shared" si="2"/>
        <v>-1.32509356274564</v>
      </c>
      <c r="G15" s="15">
        <f t="shared" si="2"/>
        <v>4.70601644443126</v>
      </c>
      <c r="H15" s="15">
        <f t="shared" si="2"/>
        <v>4.09218821254893</v>
      </c>
      <c r="I15" s="15">
        <f t="shared" si="2"/>
        <v>3.55842453265124</v>
      </c>
      <c r="J15" s="15">
        <f t="shared" si="2"/>
        <v>3.09428220230543</v>
      </c>
      <c r="K15" s="15">
        <f t="shared" si="2"/>
        <v>2.69068017591776</v>
      </c>
      <c r="L15" s="15">
        <f t="shared" si="2"/>
        <v>2.3397218921024</v>
      </c>
      <c r="M15" s="15">
        <f t="shared" si="2"/>
        <v>2.03454077574122</v>
      </c>
      <c r="N15" s="15">
        <f t="shared" si="2"/>
        <v>1.76916589194888</v>
      </c>
      <c r="O15" s="15">
        <f t="shared" ref="O15:V15" si="3">N13*O14</f>
        <v>1.53840512343381</v>
      </c>
      <c r="P15" s="15">
        <f t="shared" si="3"/>
        <v>1.33774358559462</v>
      </c>
      <c r="Q15" s="15">
        <f t="shared" si="3"/>
        <v>1.1632552918214</v>
      </c>
      <c r="R15" s="15">
        <f t="shared" si="3"/>
        <v>1.01152634071427</v>
      </c>
      <c r="S15" s="15">
        <f t="shared" si="3"/>
        <v>0.879588122360233</v>
      </c>
      <c r="T15" s="15">
        <f t="shared" si="3"/>
        <v>0.764859236834986</v>
      </c>
      <c r="U15" s="15">
        <f t="shared" si="3"/>
        <v>0.665094988552162</v>
      </c>
      <c r="V15" s="15">
        <f t="shared" si="3"/>
        <v>0.578343468306228</v>
      </c>
      <c r="W15" s="240">
        <f>SUM(B15:V15)</f>
        <v>25.6071472163898</v>
      </c>
    </row>
    <row r="18" spans="1:24">
      <c r="A18" s="16"/>
      <c r="B18" s="12" t="s">
        <v>55</v>
      </c>
      <c r="C18" s="8"/>
      <c r="D18" s="8">
        <f>D11+35%</f>
        <v>0.5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  <c r="W18" s="26" t="s">
        <v>56</v>
      </c>
      <c r="X18" s="20"/>
    </row>
    <row r="19" spans="1:23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 s="27"/>
    </row>
    <row r="20" ht="60" spans="1:23">
      <c r="A20" s="17" t="s">
        <v>57</v>
      </c>
      <c r="B20" s="14">
        <f t="shared" ref="B20:N20" si="4">B13</f>
        <v>0</v>
      </c>
      <c r="C20" s="14">
        <f t="shared" si="4"/>
        <v>-2.3175969230769</v>
      </c>
      <c r="D20" s="14">
        <f t="shared" si="4"/>
        <v>-2.3175969230769</v>
      </c>
      <c r="E20" s="14">
        <f t="shared" si="4"/>
        <v>-2.3175969230769</v>
      </c>
      <c r="F20" s="14">
        <f t="shared" si="4"/>
        <v>-2.3175969230769</v>
      </c>
      <c r="G20" s="14">
        <f t="shared" si="4"/>
        <v>9.46548</v>
      </c>
      <c r="H20" s="14">
        <f t="shared" si="4"/>
        <v>9.46548</v>
      </c>
      <c r="I20" s="14">
        <f t="shared" si="4"/>
        <v>9.46548</v>
      </c>
      <c r="J20" s="14">
        <f t="shared" si="4"/>
        <v>9.46548</v>
      </c>
      <c r="K20" s="14">
        <f t="shared" si="4"/>
        <v>9.46548</v>
      </c>
      <c r="L20" s="14">
        <f t="shared" si="4"/>
        <v>9.46548</v>
      </c>
      <c r="M20" s="14">
        <f t="shared" si="4"/>
        <v>9.46548</v>
      </c>
      <c r="N20" s="14">
        <f t="shared" si="4"/>
        <v>9.46548</v>
      </c>
      <c r="O20" s="14">
        <f t="shared" ref="O20:Q20" si="5">N13</f>
        <v>9.46548</v>
      </c>
      <c r="P20" s="14">
        <f t="shared" si="5"/>
        <v>9.46548</v>
      </c>
      <c r="Q20" s="14">
        <f t="shared" si="5"/>
        <v>9.46548</v>
      </c>
      <c r="R20" s="14">
        <f t="shared" ref="R20:V20" si="6">R13</f>
        <v>9.46548</v>
      </c>
      <c r="S20" s="14">
        <f t="shared" si="6"/>
        <v>9.46548</v>
      </c>
      <c r="T20" s="14">
        <f t="shared" si="6"/>
        <v>9.46548</v>
      </c>
      <c r="U20" s="14">
        <f t="shared" si="6"/>
        <v>9.46548</v>
      </c>
      <c r="V20" s="14">
        <f t="shared" si="6"/>
        <v>9.46548</v>
      </c>
      <c r="W20" s="27"/>
    </row>
    <row r="21" ht="30" spans="1:23">
      <c r="A21" s="17" t="s">
        <v>58</v>
      </c>
      <c r="B21" s="14">
        <f>(1+$D$18)^-B19</f>
        <v>1</v>
      </c>
      <c r="C21" s="14">
        <f>(1+$D$18)^-C19</f>
        <v>0.666666666666667</v>
      </c>
      <c r="D21" s="14">
        <f>(1+$D$18)^-D19</f>
        <v>0.444444444444444</v>
      </c>
      <c r="E21" s="14">
        <f>(1+$D$18)^-E19</f>
        <v>0.296296296296296</v>
      </c>
      <c r="F21" s="14">
        <f>(1+$D$18)^-F19</f>
        <v>0.197530864197531</v>
      </c>
      <c r="G21" s="14">
        <f>(1+$D$18)^-G19</f>
        <v>0.131687242798354</v>
      </c>
      <c r="H21" s="14">
        <f>(1+$D$18)^-H19</f>
        <v>0.0877914951989026</v>
      </c>
      <c r="I21" s="14">
        <f>(1+$D$18)^-I19</f>
        <v>0.0585276634659351</v>
      </c>
      <c r="J21" s="14">
        <f>(1+$D$18)^-J19</f>
        <v>0.0390184423106234</v>
      </c>
      <c r="K21" s="14">
        <f>(1+$D$18)^-K19</f>
        <v>0.0260122948737489</v>
      </c>
      <c r="L21" s="14">
        <f>(1+$D$18)^-L19</f>
        <v>0.0173415299158326</v>
      </c>
      <c r="M21" s="14">
        <f>(1+$D$18)^-M19</f>
        <v>0.0115610199438884</v>
      </c>
      <c r="N21" s="24">
        <f>(1+$D$18)^-N19</f>
        <v>0.00770734662925894</v>
      </c>
      <c r="O21" s="14">
        <f>(1+$D$18)^-O19</f>
        <v>0.00513823108617263</v>
      </c>
      <c r="P21" s="14">
        <f>(1+$D$18)^-P19</f>
        <v>0.00342548739078175</v>
      </c>
      <c r="Q21" s="14">
        <f>(1+$D$18)^-Q19</f>
        <v>0.00228365826052117</v>
      </c>
      <c r="R21" s="14">
        <f>(1+$D$18)^-R19</f>
        <v>0.00152243884034744</v>
      </c>
      <c r="S21" s="14">
        <f>(1+$D$18)^-S19</f>
        <v>0.0010149592268983</v>
      </c>
      <c r="T21" s="14">
        <f>(1+$D$18)^-T19</f>
        <v>0.000676639484598864</v>
      </c>
      <c r="U21" s="14">
        <f>(1+$D$18)^-U19</f>
        <v>0.000451092989732576</v>
      </c>
      <c r="V21" s="14">
        <f>(1+$D$18)^-V19</f>
        <v>0.000300728659821717</v>
      </c>
      <c r="W21" s="27"/>
    </row>
    <row r="22" ht="30" spans="1:23">
      <c r="A22" s="17" t="s">
        <v>59</v>
      </c>
      <c r="B22" s="15">
        <f t="shared" ref="B22:V22" si="7">B20*B21</f>
        <v>0</v>
      </c>
      <c r="C22" s="15">
        <f t="shared" si="7"/>
        <v>-1.5450646153846</v>
      </c>
      <c r="D22" s="15">
        <f t="shared" si="7"/>
        <v>-1.03004307692307</v>
      </c>
      <c r="E22" s="15">
        <f t="shared" si="7"/>
        <v>-0.686695384615377</v>
      </c>
      <c r="F22" s="15">
        <f t="shared" si="7"/>
        <v>-0.457796923076919</v>
      </c>
      <c r="G22" s="15">
        <f t="shared" si="7"/>
        <v>1.24648296296296</v>
      </c>
      <c r="H22" s="15">
        <f t="shared" si="7"/>
        <v>0.830988641975309</v>
      </c>
      <c r="I22" s="15">
        <f t="shared" si="7"/>
        <v>0.553992427983539</v>
      </c>
      <c r="J22" s="15">
        <f t="shared" si="7"/>
        <v>0.36932828532236</v>
      </c>
      <c r="K22" s="15">
        <f t="shared" si="7"/>
        <v>0.246218856881573</v>
      </c>
      <c r="L22" s="15">
        <f t="shared" si="7"/>
        <v>0.164145904587715</v>
      </c>
      <c r="M22" s="15">
        <f t="shared" si="7"/>
        <v>0.109430603058477</v>
      </c>
      <c r="N22" s="15">
        <f t="shared" si="7"/>
        <v>0.0729537353723179</v>
      </c>
      <c r="O22" s="15">
        <f t="shared" si="7"/>
        <v>0.0486358235815453</v>
      </c>
      <c r="P22" s="15">
        <f t="shared" si="7"/>
        <v>0.0324238823876968</v>
      </c>
      <c r="Q22" s="15">
        <f t="shared" si="7"/>
        <v>0.0216159215917979</v>
      </c>
      <c r="R22" s="15">
        <f t="shared" si="7"/>
        <v>0.0144106143945319</v>
      </c>
      <c r="S22" s="15">
        <f t="shared" si="7"/>
        <v>0.00960707626302132</v>
      </c>
      <c r="T22" s="15">
        <f t="shared" si="7"/>
        <v>0.00640471750868086</v>
      </c>
      <c r="U22" s="15">
        <f t="shared" si="7"/>
        <v>0.0042698116724539</v>
      </c>
      <c r="V22" s="15">
        <f t="shared" si="7"/>
        <v>0.00284654111496927</v>
      </c>
      <c r="W22" s="240">
        <f>SUM(B22:V22)</f>
        <v>0.0141558066589915</v>
      </c>
    </row>
    <row r="25" spans="1:23">
      <c r="A25" s="16"/>
      <c r="B25" s="12" t="s">
        <v>55</v>
      </c>
      <c r="C25" s="8"/>
      <c r="D25" s="8">
        <f>D18+30%</f>
        <v>0.8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  <c r="W25" s="26" t="s">
        <v>56</v>
      </c>
    </row>
    <row r="26" spans="1:23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 s="27"/>
    </row>
    <row r="27" ht="60" spans="1:23">
      <c r="A27" s="17" t="s">
        <v>57</v>
      </c>
      <c r="B27" s="14">
        <f t="shared" ref="B27:N27" si="8">B20</f>
        <v>0</v>
      </c>
      <c r="C27" s="14">
        <f t="shared" si="8"/>
        <v>-2.3175969230769</v>
      </c>
      <c r="D27" s="14">
        <f t="shared" si="8"/>
        <v>-2.3175969230769</v>
      </c>
      <c r="E27" s="14">
        <f t="shared" si="8"/>
        <v>-2.3175969230769</v>
      </c>
      <c r="F27" s="14">
        <f t="shared" si="8"/>
        <v>-2.3175969230769</v>
      </c>
      <c r="G27" s="14">
        <f t="shared" si="8"/>
        <v>9.46548</v>
      </c>
      <c r="H27" s="14">
        <f t="shared" si="8"/>
        <v>9.46548</v>
      </c>
      <c r="I27" s="14">
        <f t="shared" si="8"/>
        <v>9.46548</v>
      </c>
      <c r="J27" s="14">
        <f t="shared" si="8"/>
        <v>9.46548</v>
      </c>
      <c r="K27" s="14">
        <f t="shared" si="8"/>
        <v>9.46548</v>
      </c>
      <c r="L27" s="14">
        <f t="shared" si="8"/>
        <v>9.46548</v>
      </c>
      <c r="M27" s="14">
        <f t="shared" si="8"/>
        <v>9.46548</v>
      </c>
      <c r="N27" s="14">
        <f t="shared" si="8"/>
        <v>9.46548</v>
      </c>
      <c r="O27" s="14">
        <f t="shared" ref="O27:Q27" si="9">N20</f>
        <v>9.46548</v>
      </c>
      <c r="P27" s="14">
        <f t="shared" si="9"/>
        <v>9.46548</v>
      </c>
      <c r="Q27" s="14">
        <f t="shared" si="9"/>
        <v>9.46548</v>
      </c>
      <c r="R27" s="14">
        <f t="shared" ref="R27:V27" si="10">R20</f>
        <v>9.46548</v>
      </c>
      <c r="S27" s="14">
        <f t="shared" si="10"/>
        <v>9.46548</v>
      </c>
      <c r="T27" s="14">
        <f t="shared" si="10"/>
        <v>9.46548</v>
      </c>
      <c r="U27" s="14">
        <f t="shared" si="10"/>
        <v>9.46548</v>
      </c>
      <c r="V27" s="14">
        <f t="shared" si="10"/>
        <v>9.46548</v>
      </c>
      <c r="W27" s="27"/>
    </row>
    <row r="28" ht="30" spans="1:23">
      <c r="A28" s="17" t="s">
        <v>58</v>
      </c>
      <c r="B28" s="14">
        <f>(1+$D$18)^-B26</f>
        <v>1</v>
      </c>
      <c r="C28" s="14">
        <f>(1+$D$25)^-C26</f>
        <v>0.555555555555556</v>
      </c>
      <c r="D28" s="14">
        <f>(1+$D$25)^-D26</f>
        <v>0.308641975308642</v>
      </c>
      <c r="E28" s="14">
        <f>(1+$D$25)^-E26</f>
        <v>0.171467764060357</v>
      </c>
      <c r="F28" s="14">
        <f>(1+$D$25)^-F26</f>
        <v>0.0952598689224204</v>
      </c>
      <c r="G28" s="14">
        <f>(1+$D$25)^-G26</f>
        <v>0.0529221494013446</v>
      </c>
      <c r="H28" s="14">
        <f>(1+$D$25)^-H26</f>
        <v>0.0294011941118581</v>
      </c>
      <c r="I28" s="14">
        <f>(1+$D$25)^-I26</f>
        <v>0.0163339967288101</v>
      </c>
      <c r="J28" s="14">
        <f>(1+$D$25)^-J26</f>
        <v>0.00907444262711671</v>
      </c>
      <c r="K28" s="14">
        <f>(1+$D$25)^-K26</f>
        <v>0.00504135701506484</v>
      </c>
      <c r="L28" s="14">
        <f>(1+$D$25)^-L26</f>
        <v>0.00280075389725824</v>
      </c>
      <c r="M28" s="14">
        <f>(1+$D$25)^-M26</f>
        <v>0.00155597438736569</v>
      </c>
      <c r="N28" s="14">
        <f>(1+$D$25)^-N26</f>
        <v>0.000864430215203161</v>
      </c>
      <c r="O28" s="14">
        <f>(1+$D$25)^-O26</f>
        <v>0.000480239008446201</v>
      </c>
      <c r="P28" s="14">
        <f>(1+$D$25)^-P26</f>
        <v>0.000266799449136778</v>
      </c>
      <c r="Q28" s="14">
        <f>(1+$D$25)^-Q26</f>
        <v>0.000148221916187099</v>
      </c>
      <c r="R28" s="14">
        <f>(1+$D$25)^-R26</f>
        <v>8.23455089928328e-5</v>
      </c>
      <c r="S28" s="14">
        <f>(1+$D$25)^-S26</f>
        <v>4.57475049960182e-5</v>
      </c>
      <c r="T28" s="14">
        <f>(1+$D$25)^-T26</f>
        <v>2.54152805533434e-5</v>
      </c>
      <c r="U28" s="14">
        <f>(1+$D$25)^-U26</f>
        <v>1.4119600307413e-5</v>
      </c>
      <c r="V28" s="14">
        <f>(1+$D$25)^-V26</f>
        <v>7.84422239300723e-6</v>
      </c>
      <c r="W28" s="27"/>
    </row>
    <row r="29" ht="30" spans="1:23">
      <c r="A29" s="17" t="s">
        <v>59</v>
      </c>
      <c r="B29" s="15">
        <f t="shared" ref="B29:V29" si="11">B27*B28</f>
        <v>0</v>
      </c>
      <c r="C29" s="15">
        <f t="shared" si="11"/>
        <v>-1.28755384615383</v>
      </c>
      <c r="D29" s="15">
        <f t="shared" si="11"/>
        <v>-0.715307692307685</v>
      </c>
      <c r="E29" s="15">
        <f t="shared" si="11"/>
        <v>-0.397393162393159</v>
      </c>
      <c r="F29" s="15">
        <f t="shared" si="11"/>
        <v>-0.22077397910731</v>
      </c>
      <c r="G29" s="15">
        <f t="shared" si="11"/>
        <v>0.500933546715439</v>
      </c>
      <c r="H29" s="15">
        <f t="shared" si="11"/>
        <v>0.278296414841911</v>
      </c>
      <c r="I29" s="15">
        <f t="shared" si="11"/>
        <v>0.154609119356617</v>
      </c>
      <c r="J29" s="15">
        <f t="shared" si="11"/>
        <v>0.0858939551981207</v>
      </c>
      <c r="K29" s="15">
        <f t="shared" si="11"/>
        <v>0.0477188639989559</v>
      </c>
      <c r="L29" s="15">
        <f t="shared" si="11"/>
        <v>0.0265104799994199</v>
      </c>
      <c r="M29" s="15">
        <f t="shared" si="11"/>
        <v>0.0147280444441222</v>
      </c>
      <c r="N29" s="15">
        <f t="shared" si="11"/>
        <v>0.00818224691340122</v>
      </c>
      <c r="O29" s="15">
        <f t="shared" si="11"/>
        <v>0.00454569272966735</v>
      </c>
      <c r="P29" s="15">
        <f t="shared" si="11"/>
        <v>0.00252538484981519</v>
      </c>
      <c r="Q29" s="15">
        <f t="shared" si="11"/>
        <v>0.00140299158323066</v>
      </c>
      <c r="R29" s="15">
        <f t="shared" si="11"/>
        <v>0.000779439768461479</v>
      </c>
      <c r="S29" s="15">
        <f t="shared" si="11"/>
        <v>0.00043302209358971</v>
      </c>
      <c r="T29" s="15">
        <f t="shared" si="11"/>
        <v>0.000240567829772061</v>
      </c>
      <c r="U29" s="15">
        <f t="shared" si="11"/>
        <v>0.000133648794317812</v>
      </c>
      <c r="V29" s="15">
        <f t="shared" si="11"/>
        <v>7.42493301765621e-5</v>
      </c>
      <c r="W29" s="240">
        <f>SUM(B29:V29)</f>
        <v>-1.49402101151497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FORECAST(0,I61:J61,I60:J60)</f>
        <v>5.20246344643059</v>
      </c>
    </row>
    <row r="60" ht="75" spans="2:23">
      <c r="B60" s="17" t="s">
        <v>62</v>
      </c>
      <c r="C60" s="20">
        <f>'ENHANCED OIL RECOVERY 2'!S4</f>
        <v>0</v>
      </c>
      <c r="D60" s="20">
        <f>'ENHANCED OIL RECOVERY 2'!S5</f>
        <v>-2.10690629370627</v>
      </c>
      <c r="E60" s="20">
        <f>'ENHANCED OIL RECOVERY 2'!S6</f>
        <v>-4.02227565162106</v>
      </c>
      <c r="F60" s="20">
        <f>'ENHANCED OIL RECOVERY 2'!S7</f>
        <v>-5.76352052245269</v>
      </c>
      <c r="G60" s="20">
        <f>'ENHANCED OIL RECOVERY 2'!S8</f>
        <v>-7.3464704050269</v>
      </c>
      <c r="H60" s="20">
        <f>'ENHANCED OIL RECOVERY 2'!S9</f>
        <v>-1.46915204003693</v>
      </c>
      <c r="I60" s="20">
        <f>'ENHANCED OIL RECOVERY 2'!S10</f>
        <v>3.8738646554085</v>
      </c>
      <c r="J60" s="20">
        <f>'ENHANCED OIL RECOVERY 2'!S11</f>
        <v>8.73115256035888</v>
      </c>
      <c r="K60" s="20">
        <f>'ENHANCED OIL RECOVERY 2'!S12</f>
        <v>13.1468688375865</v>
      </c>
      <c r="L60" s="20">
        <f>'ENHANCED OIL RECOVERY 2'!S13</f>
        <v>17.1611563623389</v>
      </c>
      <c r="M60" s="20">
        <f>'ENHANCED OIL RECOVERY 2'!S14</f>
        <v>20.8105086575683</v>
      </c>
      <c r="N60" s="20">
        <f>'ENHANCED OIL RECOVERY 2'!S15</f>
        <v>24.1281016532315</v>
      </c>
      <c r="O60" s="20">
        <f>'ENHANCED OIL RECOVERY 2'!S16</f>
        <v>27.1440952856525</v>
      </c>
      <c r="P60" s="20">
        <f>'ENHANCED OIL RECOVERY 2'!S17</f>
        <v>29.8859076787625</v>
      </c>
      <c r="Q60" s="20">
        <f>'ENHANCED OIL RECOVERY 2'!S18</f>
        <v>32.3784643997716</v>
      </c>
      <c r="R60" s="20">
        <f>'ENHANCED OIL RECOVERY 2'!S19</f>
        <v>34.6444250552345</v>
      </c>
      <c r="S60" s="20">
        <f>'ENHANCED OIL RECOVERY 2'!S20</f>
        <v>36.7043892874734</v>
      </c>
      <c r="T60" s="20">
        <f>'ENHANCED OIL RECOVERY 2'!S21</f>
        <v>38.5770840440542</v>
      </c>
      <c r="U60" s="20">
        <f>'ENHANCED OIL RECOVERY 2'!S22</f>
        <v>40.2795338227641</v>
      </c>
      <c r="V60" s="20">
        <f>'ENHANCED OIL RECOVERY 2'!S23</f>
        <v>41.8272154397731</v>
      </c>
      <c r="W60" s="20">
        <f>'ENHANCED OIL RECOVERY 2'!S24</f>
        <v>43.234198727963</v>
      </c>
    </row>
    <row r="61" spans="2:23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</row>
    <row r="62" ht="75" spans="2:23">
      <c r="B62" s="17" t="s">
        <v>62</v>
      </c>
      <c r="C62" s="21">
        <f t="shared" ref="C62:W62" si="12">C60</f>
        <v>0</v>
      </c>
      <c r="D62" s="21">
        <f t="shared" si="12"/>
        <v>-2.10690629370627</v>
      </c>
      <c r="E62" s="21">
        <f t="shared" si="12"/>
        <v>-4.02227565162106</v>
      </c>
      <c r="F62" s="21">
        <f t="shared" si="12"/>
        <v>-5.76352052245269</v>
      </c>
      <c r="G62" s="21">
        <f t="shared" si="12"/>
        <v>-7.3464704050269</v>
      </c>
      <c r="H62" s="21">
        <f t="shared" si="12"/>
        <v>-1.46915204003693</v>
      </c>
      <c r="I62" s="21">
        <f t="shared" si="12"/>
        <v>3.8738646554085</v>
      </c>
      <c r="J62" s="21">
        <f t="shared" si="12"/>
        <v>8.73115256035888</v>
      </c>
      <c r="K62" s="21">
        <f t="shared" si="12"/>
        <v>13.1468688375865</v>
      </c>
      <c r="L62" s="21">
        <f t="shared" si="12"/>
        <v>17.1611563623389</v>
      </c>
      <c r="M62" s="21">
        <f t="shared" si="12"/>
        <v>20.8105086575683</v>
      </c>
      <c r="N62" s="21">
        <f t="shared" si="12"/>
        <v>24.1281016532315</v>
      </c>
      <c r="O62" s="21">
        <f t="shared" si="12"/>
        <v>27.1440952856525</v>
      </c>
      <c r="P62" s="21">
        <f t="shared" si="12"/>
        <v>29.8859076787625</v>
      </c>
      <c r="Q62" s="21">
        <f t="shared" si="12"/>
        <v>32.3784643997716</v>
      </c>
      <c r="R62" s="21">
        <f t="shared" si="12"/>
        <v>34.6444250552345</v>
      </c>
      <c r="S62" s="21">
        <f t="shared" si="12"/>
        <v>36.7043892874734</v>
      </c>
      <c r="T62" s="21">
        <f t="shared" si="12"/>
        <v>38.5770840440542</v>
      </c>
      <c r="U62" s="21">
        <f t="shared" si="12"/>
        <v>40.2795338227641</v>
      </c>
      <c r="V62" s="21">
        <f t="shared" si="12"/>
        <v>41.8272154397731</v>
      </c>
      <c r="W62" s="21">
        <f t="shared" si="12"/>
        <v>43.234198727963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'ENHANCED OIL RECOVERY'!K16</f>
        <v>0.1</v>
      </c>
      <c r="D104" s="33"/>
    </row>
    <row r="105" spans="1:4">
      <c r="A105" s="31"/>
      <c r="B105" s="33" t="s">
        <v>72</v>
      </c>
      <c r="C105" s="33">
        <f>'ENHANCED OIL RECOVERY'!F8/10^6</f>
        <v>47.1323076923077</v>
      </c>
      <c r="D105" s="33" t="s">
        <v>73</v>
      </c>
    </row>
    <row r="106" spans="1:4">
      <c r="A106" s="31"/>
      <c r="B106" s="33" t="s">
        <v>74</v>
      </c>
      <c r="C106" s="33">
        <f>C7</f>
        <v>3.31759299566313</v>
      </c>
      <c r="D106" s="33" t="s">
        <v>73</v>
      </c>
    </row>
    <row r="107" spans="1:4">
      <c r="A107" s="31"/>
      <c r="B107" s="33" t="s">
        <v>66</v>
      </c>
      <c r="C107" s="33">
        <f>'ENHANCED OIL RECOVERY'!F8/10^6</f>
        <v>47.1323076923077</v>
      </c>
      <c r="D107" s="33"/>
    </row>
    <row r="108" spans="1:4">
      <c r="A108" s="31"/>
      <c r="B108" s="35" t="s">
        <v>64</v>
      </c>
      <c r="C108" s="35">
        <f>C106/C107</f>
        <v>0.0703889361268126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0.0703889361268126</v>
      </c>
      <c r="D113" s="31"/>
    </row>
    <row r="114" spans="1:4">
      <c r="A114" s="31"/>
      <c r="B114" s="37" t="s">
        <v>76</v>
      </c>
      <c r="C114" s="37">
        <f>1+C113</f>
        <v>1.07038893612681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3.31759299566313</v>
      </c>
    </row>
    <row r="123" spans="1:3">
      <c r="A123" s="3" t="s">
        <v>83</v>
      </c>
      <c r="B123" s="3"/>
      <c r="C123">
        <f>FORECAST(0,C125:E125,C126:E126)</f>
        <v>40.874534278538</v>
      </c>
    </row>
    <row r="125" spans="2:5">
      <c r="B125" t="s">
        <v>84</v>
      </c>
      <c r="C125" s="6">
        <f>'ENHANCED OIL RECOVERY'!L7</f>
        <v>57</v>
      </c>
      <c r="D125" s="6">
        <f>B131</f>
        <v>47</v>
      </c>
      <c r="E125" s="6">
        <f>B155</f>
        <v>27</v>
      </c>
    </row>
    <row r="126" spans="2:5">
      <c r="B126" t="s">
        <v>54</v>
      </c>
      <c r="C126" s="6">
        <f>'ENHANCED OIL RECOVERY 2'!R15</f>
        <v>3.31759299566313</v>
      </c>
      <c r="D126" s="6">
        <f>R144</f>
        <v>15.200589900664</v>
      </c>
      <c r="E126" s="6">
        <f>R168</f>
        <v>-8.56462190322821</v>
      </c>
    </row>
    <row r="131" spans="1:7">
      <c r="A131" t="s">
        <v>85</v>
      </c>
      <c r="B131">
        <f>C125-10</f>
        <v>47</v>
      </c>
      <c r="G131">
        <f>FORECAST(0,C125:E125,C126:E126)</f>
        <v>40.874534278538</v>
      </c>
    </row>
    <row r="132" ht="33.75" spans="1:19">
      <c r="A132" s="40" t="s">
        <v>34</v>
      </c>
      <c r="B132" s="41" t="s">
        <v>35</v>
      </c>
      <c r="C132" s="41" t="s">
        <v>36</v>
      </c>
      <c r="D132" s="41" t="s">
        <v>86</v>
      </c>
      <c r="E132" s="6" t="s">
        <v>153</v>
      </c>
      <c r="F132" s="6" t="s">
        <v>154</v>
      </c>
      <c r="G132" s="41" t="s">
        <v>87</v>
      </c>
      <c r="H132" s="41" t="s">
        <v>88</v>
      </c>
      <c r="I132" s="41" t="s">
        <v>40</v>
      </c>
      <c r="J132" s="41" t="s">
        <v>89</v>
      </c>
      <c r="K132" s="41" t="s">
        <v>90</v>
      </c>
      <c r="L132" s="41" t="s">
        <v>91</v>
      </c>
      <c r="M132" s="48" t="s">
        <v>92</v>
      </c>
      <c r="N132" s="49" t="s">
        <v>93</v>
      </c>
      <c r="O132" s="49" t="s">
        <v>94</v>
      </c>
      <c r="P132" s="49" t="s">
        <v>95</v>
      </c>
      <c r="Q132" s="49" t="s">
        <v>48</v>
      </c>
      <c r="R132" s="49" t="s">
        <v>96</v>
      </c>
      <c r="S132" s="49" t="s">
        <v>97</v>
      </c>
    </row>
    <row r="133" spans="1:19">
      <c r="A133" s="42">
        <v>0</v>
      </c>
      <c r="B133" s="43"/>
      <c r="C133" s="44"/>
      <c r="D133" s="45"/>
      <c r="E133" s="6">
        <f t="shared" ref="E133:E143" si="13">0.125*D133</f>
        <v>0</v>
      </c>
      <c r="F133" s="6"/>
      <c r="G133" s="44"/>
      <c r="H133" s="44"/>
      <c r="I133" s="44">
        <f>'ENHANCED OIL RECOVERY'!F8</f>
        <v>47132307.6923077</v>
      </c>
      <c r="J133" s="44"/>
      <c r="K133" s="44"/>
      <c r="L133" s="44"/>
      <c r="M133" s="47">
        <f>L133</f>
        <v>0</v>
      </c>
      <c r="N133" s="50">
        <f>IF(M133&gt;0,M133*ENHANCED OIL [1]RECOVERY!$K$15,0)</f>
        <v>0</v>
      </c>
      <c r="O133" s="47">
        <f t="shared" ref="O133:O153" si="14">K133-N133</f>
        <v>0</v>
      </c>
      <c r="P133" s="47">
        <v>0</v>
      </c>
      <c r="Q133" s="47">
        <f>(1+'ENHANCED OIL RECOVERY'!$K$16)^-A133</f>
        <v>1</v>
      </c>
      <c r="R133" s="51">
        <f>P133*Q133</f>
        <v>0</v>
      </c>
      <c r="S133" s="54">
        <f>R133</f>
        <v>0</v>
      </c>
    </row>
    <row r="134" spans="1:19">
      <c r="A134" s="46">
        <v>1</v>
      </c>
      <c r="B134" s="47">
        <f>'ENHANCED OIL RECOVERY'!$L$6</f>
        <v>270000</v>
      </c>
      <c r="C134" s="47">
        <f>B131</f>
        <v>47</v>
      </c>
      <c r="D134" s="47">
        <f t="shared" ref="D134:D153" si="15">B134*C134/10^6</f>
        <v>12.69</v>
      </c>
      <c r="E134" s="6">
        <f t="shared" si="13"/>
        <v>1.58625</v>
      </c>
      <c r="F134" s="6">
        <f t="shared" ref="F134:F143" si="16">D134-E134</f>
        <v>11.10375</v>
      </c>
      <c r="G134" s="47">
        <f>'ENHANCED OIL RECOVERY'!$F$17/10^6</f>
        <v>1.6344</v>
      </c>
      <c r="H134" s="47">
        <f>F134-G134</f>
        <v>9.46935</v>
      </c>
      <c r="I134" s="47"/>
      <c r="J134" s="47">
        <f>'ENHANCED OIL RECOVERY'!$F$8/'ENHANCED OIL RECOVERY'!$K$12/10^6</f>
        <v>11.7830769230769</v>
      </c>
      <c r="K134" s="47">
        <f t="shared" ref="K134:K153" si="17">H134-J134</f>
        <v>-2.3137269230769</v>
      </c>
      <c r="L134" s="47">
        <f t="shared" ref="L134:L153" si="18">IF((L133+K134)&lt;0,(L133+K134),0)</f>
        <v>-2.3137269230769</v>
      </c>
      <c r="M134" s="47">
        <f t="shared" ref="M134:M140" si="19">IF(L134&gt;0,K134,L134)</f>
        <v>-2.3137269230769</v>
      </c>
      <c r="N134" s="50">
        <f>IF(M134&gt;0,M134*ENHANCED OIL [1]RECOVERY!$K$15,0)</f>
        <v>0</v>
      </c>
      <c r="O134" s="47">
        <f t="shared" si="14"/>
        <v>-2.3137269230769</v>
      </c>
      <c r="P134" s="47">
        <f t="shared" ref="P134:P153" si="20">P133+O134</f>
        <v>-2.3137269230769</v>
      </c>
      <c r="Q134" s="47">
        <f>(1+'ENHANCED OIL RECOVERY'!$K$16)^-A134</f>
        <v>0.909090909090909</v>
      </c>
      <c r="R134" s="51">
        <f t="shared" ref="R134:R153" si="21">O134*Q134</f>
        <v>-2.10338811188809</v>
      </c>
      <c r="S134" s="55">
        <f t="shared" ref="S134:S153" si="22">S133+R134</f>
        <v>-2.10338811188809</v>
      </c>
    </row>
    <row r="135" spans="1:19">
      <c r="A135" s="42">
        <v>2</v>
      </c>
      <c r="B135" s="47">
        <f>'ENHANCED OIL RECOVERY'!$L$6</f>
        <v>270000</v>
      </c>
      <c r="C135" s="47">
        <f t="shared" ref="C135:C153" si="23">$C$134</f>
        <v>47</v>
      </c>
      <c r="D135" s="47">
        <f t="shared" si="15"/>
        <v>12.69</v>
      </c>
      <c r="E135" s="6">
        <f t="shared" si="13"/>
        <v>1.58625</v>
      </c>
      <c r="F135" s="6">
        <f t="shared" si="16"/>
        <v>11.10375</v>
      </c>
      <c r="G135" s="47">
        <f>'ENHANCED OIL RECOVERY'!$F$17/10^6</f>
        <v>1.6344</v>
      </c>
      <c r="H135" s="47">
        <f t="shared" ref="H135:H153" si="24">F135-G135</f>
        <v>9.46935</v>
      </c>
      <c r="I135" s="47"/>
      <c r="J135" s="47">
        <f>'ENHANCED OIL RECOVERY'!$F$8/'ENHANCED OIL RECOVERY'!$K$12/10^6</f>
        <v>11.7830769230769</v>
      </c>
      <c r="K135" s="47">
        <f t="shared" si="17"/>
        <v>-2.3137269230769</v>
      </c>
      <c r="L135" s="47">
        <f t="shared" si="18"/>
        <v>-4.6274538461538</v>
      </c>
      <c r="M135" s="47">
        <f t="shared" si="19"/>
        <v>-4.6274538461538</v>
      </c>
      <c r="N135" s="50">
        <f>IF(M135&gt;0,M135*ENHANCED OIL [1]RECOVERY!$K$15,0)</f>
        <v>0</v>
      </c>
      <c r="O135" s="47">
        <f t="shared" si="14"/>
        <v>-2.3137269230769</v>
      </c>
      <c r="P135" s="47">
        <f t="shared" si="20"/>
        <v>-4.6274538461538</v>
      </c>
      <c r="Q135" s="47">
        <f>(1+'ENHANCED OIL RECOVERY'!$K$16)^-A135</f>
        <v>0.826446280991735</v>
      </c>
      <c r="R135" s="51">
        <f t="shared" si="21"/>
        <v>-1.91217101080735</v>
      </c>
      <c r="S135" s="55">
        <f t="shared" si="22"/>
        <v>-4.01555912269544</v>
      </c>
    </row>
    <row r="136" spans="1:19">
      <c r="A136" s="46">
        <v>3</v>
      </c>
      <c r="B136" s="47">
        <f>'ENHANCED OIL RECOVERY'!$L$6</f>
        <v>270000</v>
      </c>
      <c r="C136" s="47">
        <f t="shared" si="23"/>
        <v>47</v>
      </c>
      <c r="D136" s="47">
        <f t="shared" si="15"/>
        <v>12.69</v>
      </c>
      <c r="E136" s="6">
        <f t="shared" si="13"/>
        <v>1.58625</v>
      </c>
      <c r="F136" s="6">
        <f t="shared" si="16"/>
        <v>11.10375</v>
      </c>
      <c r="G136" s="47">
        <f>'ENHANCED OIL RECOVERY'!$F$17/10^6</f>
        <v>1.6344</v>
      </c>
      <c r="H136" s="47">
        <f t="shared" si="24"/>
        <v>9.46935</v>
      </c>
      <c r="I136" s="47"/>
      <c r="J136" s="47">
        <f>'ENHANCED OIL RECOVERY'!$F$8/'ENHANCED OIL RECOVERY'!$K$12/10^6</f>
        <v>11.7830769230769</v>
      </c>
      <c r="K136" s="47">
        <f t="shared" si="17"/>
        <v>-2.3137269230769</v>
      </c>
      <c r="L136" s="47">
        <f t="shared" si="18"/>
        <v>-6.9411807692307</v>
      </c>
      <c r="M136" s="47">
        <f t="shared" si="19"/>
        <v>-6.9411807692307</v>
      </c>
      <c r="N136" s="50">
        <f>IF(M136&gt;0,M136*ENHANCED OIL [1]RECOVERY!$K$15,0)</f>
        <v>0</v>
      </c>
      <c r="O136" s="47">
        <f t="shared" si="14"/>
        <v>-2.3137269230769</v>
      </c>
      <c r="P136" s="47">
        <f t="shared" si="20"/>
        <v>-6.9411807692307</v>
      </c>
      <c r="Q136" s="47">
        <f>(1+'ENHANCED OIL RECOVERY'!$K$16)^-A136</f>
        <v>0.751314800901578</v>
      </c>
      <c r="R136" s="51">
        <f t="shared" si="21"/>
        <v>-1.73833728255214</v>
      </c>
      <c r="S136" s="55">
        <f t="shared" si="22"/>
        <v>-5.75389640524758</v>
      </c>
    </row>
    <row r="137" spans="1:19">
      <c r="A137" s="42">
        <v>4</v>
      </c>
      <c r="B137" s="47">
        <f>'ENHANCED OIL RECOVERY'!$L$6</f>
        <v>270000</v>
      </c>
      <c r="C137" s="47">
        <f t="shared" si="23"/>
        <v>47</v>
      </c>
      <c r="D137" s="47">
        <f t="shared" si="15"/>
        <v>12.69</v>
      </c>
      <c r="E137" s="6">
        <f t="shared" si="13"/>
        <v>1.58625</v>
      </c>
      <c r="F137" s="6">
        <f t="shared" si="16"/>
        <v>11.10375</v>
      </c>
      <c r="G137" s="47">
        <f>'ENHANCED OIL RECOVERY'!$F$17/10^6</f>
        <v>1.6344</v>
      </c>
      <c r="H137" s="47">
        <f t="shared" si="24"/>
        <v>9.46935</v>
      </c>
      <c r="I137" s="47"/>
      <c r="J137" s="47">
        <f>'ENHANCED OIL RECOVERY'!$F$8/'ENHANCED OIL RECOVERY'!$K$12/10^6</f>
        <v>11.7830769230769</v>
      </c>
      <c r="K137" s="47">
        <f t="shared" si="17"/>
        <v>-2.3137269230769</v>
      </c>
      <c r="L137" s="47">
        <f t="shared" si="18"/>
        <v>-9.2549076923076</v>
      </c>
      <c r="M137" s="47">
        <f t="shared" si="19"/>
        <v>-9.2549076923076</v>
      </c>
      <c r="N137" s="50">
        <f>IF(M137&gt;0,M137*ENHANCED OIL [1]RECOVERY!$K$15,0)</f>
        <v>0</v>
      </c>
      <c r="O137" s="47">
        <f t="shared" si="14"/>
        <v>-2.3137269230769</v>
      </c>
      <c r="P137" s="47">
        <f t="shared" si="20"/>
        <v>-9.2549076923076</v>
      </c>
      <c r="Q137" s="47">
        <f>(1+'ENHANCED OIL RECOVERY'!$K$16)^-A137</f>
        <v>0.683013455365071</v>
      </c>
      <c r="R137" s="51">
        <f t="shared" si="21"/>
        <v>-1.58030662050195</v>
      </c>
      <c r="S137" s="55">
        <f t="shared" si="22"/>
        <v>-7.33420302574953</v>
      </c>
    </row>
    <row r="138" spans="1:19">
      <c r="A138" s="46">
        <v>5</v>
      </c>
      <c r="B138" s="47">
        <f>'ENHANCED OIL RECOVERY'!$L$6</f>
        <v>270000</v>
      </c>
      <c r="C138" s="47">
        <f t="shared" si="23"/>
        <v>47</v>
      </c>
      <c r="D138" s="47">
        <f t="shared" si="15"/>
        <v>12.69</v>
      </c>
      <c r="E138" s="6">
        <f t="shared" si="13"/>
        <v>1.58625</v>
      </c>
      <c r="F138" s="6">
        <f t="shared" si="16"/>
        <v>11.10375</v>
      </c>
      <c r="G138" s="47">
        <f>'ENHANCED OIL RECOVERY'!$F$17/10^6</f>
        <v>1.6344</v>
      </c>
      <c r="H138" s="47">
        <f t="shared" si="24"/>
        <v>9.46935</v>
      </c>
      <c r="I138" s="47"/>
      <c r="J138" s="47"/>
      <c r="K138" s="47">
        <f t="shared" si="17"/>
        <v>9.46935</v>
      </c>
      <c r="L138" s="47">
        <f t="shared" si="18"/>
        <v>0</v>
      </c>
      <c r="M138" s="47">
        <f t="shared" ref="M138:M143" si="25">IF(L138&lt;0,L138,K138)</f>
        <v>9.46935</v>
      </c>
      <c r="N138" s="50">
        <f>IF(M138&gt;0,M138*'ENHANCED OIL RECOVERY'!$K$15,0)</f>
        <v>1.89387</v>
      </c>
      <c r="O138" s="47">
        <f t="shared" si="14"/>
        <v>7.57548</v>
      </c>
      <c r="P138" s="47">
        <f t="shared" si="20"/>
        <v>-1.6794276923076</v>
      </c>
      <c r="Q138" s="47">
        <f>(1+'ENHANCED OIL RECOVERY'!$K$16)^-A138</f>
        <v>0.620921323059155</v>
      </c>
      <c r="R138" s="51">
        <f t="shared" si="21"/>
        <v>4.70377706440817</v>
      </c>
      <c r="S138" s="55">
        <f t="shared" si="22"/>
        <v>-2.63042596134136</v>
      </c>
    </row>
    <row r="139" spans="1:19">
      <c r="A139" s="42">
        <v>6</v>
      </c>
      <c r="B139" s="47">
        <f>'ENHANCED OIL RECOVERY'!$L$6</f>
        <v>270000</v>
      </c>
      <c r="C139" s="47">
        <f t="shared" si="23"/>
        <v>47</v>
      </c>
      <c r="D139" s="47">
        <f t="shared" si="15"/>
        <v>12.69</v>
      </c>
      <c r="E139" s="6">
        <f t="shared" si="13"/>
        <v>1.58625</v>
      </c>
      <c r="F139" s="6">
        <f t="shared" si="16"/>
        <v>11.10375</v>
      </c>
      <c r="G139" s="47">
        <f>'ENHANCED OIL RECOVERY'!$F$17/10^6</f>
        <v>1.6344</v>
      </c>
      <c r="H139" s="47">
        <f t="shared" si="24"/>
        <v>9.46935</v>
      </c>
      <c r="I139" s="47"/>
      <c r="J139" s="47"/>
      <c r="K139" s="47">
        <f t="shared" si="17"/>
        <v>9.46935</v>
      </c>
      <c r="L139" s="47">
        <f t="shared" si="18"/>
        <v>0</v>
      </c>
      <c r="M139" s="47">
        <f t="shared" si="25"/>
        <v>9.46935</v>
      </c>
      <c r="N139" s="50">
        <f>IF(M139&gt;0,M139*'ENHANCED OIL RECOVERY'!$K$15,0)</f>
        <v>1.89387</v>
      </c>
      <c r="O139" s="47">
        <f t="shared" si="14"/>
        <v>7.57548</v>
      </c>
      <c r="P139" s="47">
        <f t="shared" si="20"/>
        <v>5.8960523076924</v>
      </c>
      <c r="Q139" s="47">
        <f>(1+'ENHANCED OIL RECOVERY'!$K$16)^-A139</f>
        <v>0.564473930053777</v>
      </c>
      <c r="R139" s="51">
        <f t="shared" si="21"/>
        <v>4.27616096764379</v>
      </c>
      <c r="S139" s="55">
        <f t="shared" si="22"/>
        <v>1.64573500630242</v>
      </c>
    </row>
    <row r="140" spans="1:19">
      <c r="A140" s="46">
        <v>7</v>
      </c>
      <c r="B140" s="47">
        <f>'ENHANCED OIL RECOVERY'!$L$6</f>
        <v>270000</v>
      </c>
      <c r="C140" s="47">
        <f t="shared" si="23"/>
        <v>47</v>
      </c>
      <c r="D140" s="47">
        <f t="shared" si="15"/>
        <v>12.69</v>
      </c>
      <c r="E140" s="6">
        <f t="shared" si="13"/>
        <v>1.58625</v>
      </c>
      <c r="F140" s="6">
        <f t="shared" si="16"/>
        <v>11.10375</v>
      </c>
      <c r="G140" s="47">
        <f>'ENHANCED OIL RECOVERY'!$F$17/10^6</f>
        <v>1.6344</v>
      </c>
      <c r="H140" s="47">
        <f t="shared" si="24"/>
        <v>9.46935</v>
      </c>
      <c r="I140" s="47"/>
      <c r="J140" s="47"/>
      <c r="K140" s="47">
        <f t="shared" si="17"/>
        <v>9.46935</v>
      </c>
      <c r="L140" s="47">
        <f t="shared" si="18"/>
        <v>0</v>
      </c>
      <c r="M140" s="47">
        <f t="shared" si="25"/>
        <v>9.46935</v>
      </c>
      <c r="N140" s="50">
        <f>IF(M140&gt;0,M140*'ENHANCED OIL RECOVERY'!$K$15,0)</f>
        <v>1.89387</v>
      </c>
      <c r="O140" s="47">
        <f t="shared" si="14"/>
        <v>7.57548</v>
      </c>
      <c r="P140" s="47">
        <f t="shared" si="20"/>
        <v>13.4715323076924</v>
      </c>
      <c r="Q140" s="47">
        <f>(1+'ENHANCED OIL RECOVERY'!$K$16)^-A140</f>
        <v>0.513158118230706</v>
      </c>
      <c r="R140" s="51">
        <f t="shared" si="21"/>
        <v>3.88741906149435</v>
      </c>
      <c r="S140" s="55">
        <f t="shared" si="22"/>
        <v>5.53315406779677</v>
      </c>
    </row>
    <row r="141" spans="1:19">
      <c r="A141" s="42">
        <v>8</v>
      </c>
      <c r="B141" s="47">
        <f>'ENHANCED OIL RECOVERY'!$L$6</f>
        <v>270000</v>
      </c>
      <c r="C141" s="47">
        <f t="shared" si="23"/>
        <v>47</v>
      </c>
      <c r="D141" s="47">
        <f t="shared" si="15"/>
        <v>12.69</v>
      </c>
      <c r="E141" s="6">
        <f t="shared" si="13"/>
        <v>1.58625</v>
      </c>
      <c r="F141" s="6">
        <f t="shared" si="16"/>
        <v>11.10375</v>
      </c>
      <c r="G141" s="47">
        <f>'ENHANCED OIL RECOVERY'!$F$17/10^6</f>
        <v>1.6344</v>
      </c>
      <c r="H141" s="47">
        <f t="shared" si="24"/>
        <v>9.46935</v>
      </c>
      <c r="I141" s="47"/>
      <c r="J141" s="47"/>
      <c r="K141" s="47">
        <f t="shared" si="17"/>
        <v>9.46935</v>
      </c>
      <c r="L141" s="47">
        <f t="shared" si="18"/>
        <v>0</v>
      </c>
      <c r="M141" s="47">
        <f t="shared" si="25"/>
        <v>9.46935</v>
      </c>
      <c r="N141" s="50">
        <f>IF(M141&gt;0,M141*'ENHANCED OIL RECOVERY'!$K$15,0)</f>
        <v>1.89387</v>
      </c>
      <c r="O141" s="47">
        <f t="shared" si="14"/>
        <v>7.57548</v>
      </c>
      <c r="P141" s="47">
        <f t="shared" si="20"/>
        <v>21.0470123076924</v>
      </c>
      <c r="Q141" s="47">
        <f>(1+'ENHANCED OIL RECOVERY'!$K$16)^-A141</f>
        <v>0.466507380209733</v>
      </c>
      <c r="R141" s="51">
        <f t="shared" si="21"/>
        <v>3.53401732863123</v>
      </c>
      <c r="S141" s="55">
        <f t="shared" si="22"/>
        <v>9.067171396428</v>
      </c>
    </row>
    <row r="142" spans="1:19">
      <c r="A142" s="46">
        <v>9</v>
      </c>
      <c r="B142" s="47">
        <f>'ENHANCED OIL RECOVERY'!$L$6</f>
        <v>270000</v>
      </c>
      <c r="C142" s="47">
        <f t="shared" si="23"/>
        <v>47</v>
      </c>
      <c r="D142" s="47">
        <f t="shared" si="15"/>
        <v>12.69</v>
      </c>
      <c r="E142" s="6">
        <f t="shared" si="13"/>
        <v>1.58625</v>
      </c>
      <c r="F142" s="6">
        <f t="shared" si="16"/>
        <v>11.10375</v>
      </c>
      <c r="G142" s="47">
        <f>'ENHANCED OIL RECOVERY'!$F$17/10^6</f>
        <v>1.6344</v>
      </c>
      <c r="H142" s="47">
        <f t="shared" si="24"/>
        <v>9.46935</v>
      </c>
      <c r="I142" s="47"/>
      <c r="J142" s="47"/>
      <c r="K142" s="47">
        <f t="shared" si="17"/>
        <v>9.46935</v>
      </c>
      <c r="L142" s="47">
        <f t="shared" si="18"/>
        <v>0</v>
      </c>
      <c r="M142" s="47">
        <f t="shared" si="25"/>
        <v>9.46935</v>
      </c>
      <c r="N142" s="50">
        <f>IF(M142&gt;0,M142*'ENHANCED OIL RECOVERY'!$K$15,0)</f>
        <v>1.89387</v>
      </c>
      <c r="O142" s="47">
        <f t="shared" si="14"/>
        <v>7.57548</v>
      </c>
      <c r="P142" s="47">
        <f t="shared" si="20"/>
        <v>28.6224923076924</v>
      </c>
      <c r="Q142" s="47">
        <f>(1+'ENHANCED OIL RECOVERY'!$K$16)^-A142</f>
        <v>0.424097618372485</v>
      </c>
      <c r="R142" s="51">
        <f t="shared" si="21"/>
        <v>3.21274302602839</v>
      </c>
      <c r="S142" s="55">
        <f t="shared" si="22"/>
        <v>12.2799144224564</v>
      </c>
    </row>
    <row r="143" spans="1:19">
      <c r="A143" s="42">
        <v>10</v>
      </c>
      <c r="B143" s="47">
        <f>'ENHANCED OIL RECOVERY'!$L$6</f>
        <v>270000</v>
      </c>
      <c r="C143" s="47">
        <f t="shared" si="23"/>
        <v>47</v>
      </c>
      <c r="D143" s="47">
        <f t="shared" si="15"/>
        <v>12.69</v>
      </c>
      <c r="E143" s="6">
        <f t="shared" si="13"/>
        <v>1.58625</v>
      </c>
      <c r="F143" s="6">
        <f t="shared" si="16"/>
        <v>11.10375</v>
      </c>
      <c r="G143" s="47">
        <f>'ENHANCED OIL RECOVERY'!$F$17/10^6</f>
        <v>1.6344</v>
      </c>
      <c r="H143" s="47">
        <f t="shared" si="24"/>
        <v>9.46935</v>
      </c>
      <c r="I143" s="47"/>
      <c r="J143" s="47"/>
      <c r="K143" s="47">
        <f t="shared" si="17"/>
        <v>9.46935</v>
      </c>
      <c r="L143" s="47">
        <f t="shared" si="18"/>
        <v>0</v>
      </c>
      <c r="M143" s="47">
        <f t="shared" si="25"/>
        <v>9.46935</v>
      </c>
      <c r="N143" s="50">
        <f>IF(M143&gt;0,M143*'ENHANCED OIL RECOVERY'!$K$15,0)</f>
        <v>1.89387</v>
      </c>
      <c r="O143" s="47">
        <f t="shared" si="14"/>
        <v>7.57548</v>
      </c>
      <c r="P143" s="47">
        <f t="shared" si="20"/>
        <v>36.1979723076924</v>
      </c>
      <c r="Q143" s="47">
        <f>(1+'ENHANCED OIL RECOVERY'!$K$16)^-A143</f>
        <v>0.385543289429531</v>
      </c>
      <c r="R143" s="51">
        <f t="shared" si="21"/>
        <v>2.92067547820762</v>
      </c>
      <c r="S143" s="55">
        <f t="shared" si="22"/>
        <v>15.200589900664</v>
      </c>
    </row>
    <row r="144" spans="1:20">
      <c r="A144" s="241"/>
      <c r="B144" s="200"/>
      <c r="C144" s="200"/>
      <c r="D144" s="200"/>
      <c r="E144" s="23"/>
      <c r="F144" s="23"/>
      <c r="G144" s="200"/>
      <c r="H144" s="200"/>
      <c r="I144" s="200"/>
      <c r="J144" s="200"/>
      <c r="K144" s="200"/>
      <c r="L144" s="200"/>
      <c r="M144" s="200"/>
      <c r="N144" s="245"/>
      <c r="O144" s="200"/>
      <c r="P144" s="200"/>
      <c r="Q144" s="247"/>
      <c r="R144" s="46">
        <f>S143</f>
        <v>15.200589900664</v>
      </c>
      <c r="S144" s="248"/>
      <c r="T144" s="23"/>
    </row>
    <row r="145" spans="1:19">
      <c r="A145" s="84"/>
      <c r="B145" s="84"/>
      <c r="C145" s="84"/>
      <c r="D145" s="84"/>
      <c r="E145" s="89"/>
      <c r="F145" s="89"/>
      <c r="G145" s="84"/>
      <c r="H145" s="84"/>
      <c r="I145" s="84"/>
      <c r="J145" s="84"/>
      <c r="K145" s="84"/>
      <c r="L145" s="84"/>
      <c r="M145" s="84"/>
      <c r="N145" s="245"/>
      <c r="O145" s="84"/>
      <c r="P145" s="84"/>
      <c r="Q145" s="84"/>
      <c r="R145" s="84"/>
      <c r="S145" s="84"/>
    </row>
    <row r="146" spans="1:19">
      <c r="A146" s="242"/>
      <c r="B146" s="84"/>
      <c r="C146" s="84"/>
      <c r="D146" s="84"/>
      <c r="E146" s="89"/>
      <c r="F146" s="89"/>
      <c r="G146" s="84"/>
      <c r="H146" s="84"/>
      <c r="I146" s="84"/>
      <c r="J146" s="84"/>
      <c r="K146" s="84"/>
      <c r="L146" s="84"/>
      <c r="M146" s="84"/>
      <c r="N146" s="245"/>
      <c r="O146" s="84"/>
      <c r="P146" s="84"/>
      <c r="Q146" s="84"/>
      <c r="R146" s="84"/>
      <c r="S146" s="84"/>
    </row>
    <row r="147" spans="1:19">
      <c r="A147" s="84"/>
      <c r="B147" s="84"/>
      <c r="C147" s="84"/>
      <c r="D147" s="84"/>
      <c r="E147" s="89"/>
      <c r="F147" s="89"/>
      <c r="G147" s="84"/>
      <c r="H147" s="84"/>
      <c r="I147" s="84"/>
      <c r="J147" s="84"/>
      <c r="K147" s="84"/>
      <c r="L147" s="84"/>
      <c r="M147" s="84"/>
      <c r="N147" s="245"/>
      <c r="O147" s="84"/>
      <c r="P147" s="84"/>
      <c r="Q147" s="84"/>
      <c r="R147" s="84"/>
      <c r="S147" s="84"/>
    </row>
    <row r="148" spans="1:19">
      <c r="A148" s="242"/>
      <c r="B148" s="84"/>
      <c r="C148" s="84"/>
      <c r="D148" s="84"/>
      <c r="E148" s="89"/>
      <c r="F148" s="89"/>
      <c r="G148" s="84"/>
      <c r="H148" s="84"/>
      <c r="I148" s="84"/>
      <c r="J148" s="84"/>
      <c r="K148" s="84"/>
      <c r="L148" s="84"/>
      <c r="M148" s="84"/>
      <c r="N148" s="245"/>
      <c r="O148" s="84"/>
      <c r="P148" s="84"/>
      <c r="Q148" s="84"/>
      <c r="R148" s="84"/>
      <c r="S148" s="84"/>
    </row>
    <row r="149" spans="1:19">
      <c r="A149" s="84"/>
      <c r="B149" s="84"/>
      <c r="C149" s="84"/>
      <c r="D149" s="84"/>
      <c r="E149" s="89"/>
      <c r="F149" s="89"/>
      <c r="G149" s="84"/>
      <c r="H149" s="84"/>
      <c r="I149" s="84"/>
      <c r="J149" s="84"/>
      <c r="K149" s="84"/>
      <c r="L149" s="84"/>
      <c r="M149" s="84"/>
      <c r="N149" s="245"/>
      <c r="O149" s="84"/>
      <c r="P149" s="84"/>
      <c r="Q149" s="84"/>
      <c r="R149" s="84"/>
      <c r="S149" s="84"/>
    </row>
    <row r="150" spans="1:19">
      <c r="A150" s="242"/>
      <c r="B150" s="84"/>
      <c r="C150" s="84"/>
      <c r="D150" s="84"/>
      <c r="E150" s="89"/>
      <c r="F150" s="89"/>
      <c r="G150" s="84"/>
      <c r="H150" s="84"/>
      <c r="I150" s="84"/>
      <c r="J150" s="84"/>
      <c r="K150" s="84"/>
      <c r="L150" s="84"/>
      <c r="M150" s="84"/>
      <c r="N150" s="245"/>
      <c r="O150" s="84"/>
      <c r="P150" s="84"/>
      <c r="Q150" s="84"/>
      <c r="R150" s="84"/>
      <c r="S150" s="84"/>
    </row>
    <row r="151" spans="1:19">
      <c r="A151" s="84"/>
      <c r="B151" s="84"/>
      <c r="C151" s="84"/>
      <c r="D151" s="84"/>
      <c r="E151" s="89"/>
      <c r="F151" s="89"/>
      <c r="G151" s="84"/>
      <c r="H151" s="84"/>
      <c r="I151" s="84"/>
      <c r="J151" s="84"/>
      <c r="K151" s="84"/>
      <c r="L151" s="84"/>
      <c r="M151" s="84"/>
      <c r="N151" s="245"/>
      <c r="O151" s="84"/>
      <c r="P151" s="84"/>
      <c r="Q151" s="84"/>
      <c r="R151" s="84"/>
      <c r="S151" s="84"/>
    </row>
    <row r="152" spans="1:19">
      <c r="A152" s="242"/>
      <c r="B152" s="84"/>
      <c r="C152" s="84"/>
      <c r="D152" s="84"/>
      <c r="E152" s="89"/>
      <c r="F152" s="89"/>
      <c r="G152" s="84"/>
      <c r="H152" s="84"/>
      <c r="I152" s="84"/>
      <c r="J152" s="84"/>
      <c r="K152" s="84"/>
      <c r="L152" s="84"/>
      <c r="M152" s="84"/>
      <c r="N152" s="245"/>
      <c r="O152" s="84"/>
      <c r="P152" s="84"/>
      <c r="Q152" s="84"/>
      <c r="R152" s="84"/>
      <c r="S152" s="84"/>
    </row>
    <row r="153" spans="1:19">
      <c r="A153" s="242"/>
      <c r="B153" s="84"/>
      <c r="C153" s="84"/>
      <c r="D153" s="84"/>
      <c r="E153" s="89"/>
      <c r="F153" s="89"/>
      <c r="G153" s="84"/>
      <c r="H153" s="84"/>
      <c r="I153" s="84"/>
      <c r="J153" s="84"/>
      <c r="K153" s="84"/>
      <c r="L153" s="84"/>
      <c r="M153" s="84"/>
      <c r="N153" s="245"/>
      <c r="O153" s="84"/>
      <c r="P153" s="84"/>
      <c r="Q153" s="84"/>
      <c r="R153" s="84"/>
      <c r="S153" s="84"/>
    </row>
    <row r="154" spans="1:19">
      <c r="A154" s="84"/>
      <c r="B154" s="84"/>
      <c r="C154" s="84"/>
      <c r="D154" s="84"/>
      <c r="E154" s="89"/>
      <c r="F154" s="89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</row>
    <row r="155" spans="1:19">
      <c r="A155" s="243" t="s">
        <v>85</v>
      </c>
      <c r="B155" s="243">
        <f>B131-20</f>
        <v>27</v>
      </c>
      <c r="C155" s="243"/>
      <c r="D155" s="243"/>
      <c r="G155" s="243"/>
      <c r="H155" s="244"/>
      <c r="I155" s="243"/>
      <c r="J155" s="243"/>
      <c r="K155" s="243"/>
      <c r="L155" s="244"/>
      <c r="M155" s="243"/>
      <c r="N155" s="243"/>
      <c r="O155" s="243"/>
      <c r="P155" s="243"/>
      <c r="Q155" s="243"/>
      <c r="R155" s="243"/>
      <c r="S155" s="243"/>
    </row>
    <row r="156" ht="33.75" spans="1:19">
      <c r="A156" s="40" t="s">
        <v>34</v>
      </c>
      <c r="B156" s="41" t="s">
        <v>35</v>
      </c>
      <c r="C156" s="41" t="s">
        <v>36</v>
      </c>
      <c r="D156" s="41" t="s">
        <v>86</v>
      </c>
      <c r="E156" s="8" t="s">
        <v>153</v>
      </c>
      <c r="F156" s="8" t="s">
        <v>154</v>
      </c>
      <c r="G156" s="41" t="s">
        <v>87</v>
      </c>
      <c r="H156" s="47" t="s">
        <v>88</v>
      </c>
      <c r="I156" s="41" t="s">
        <v>40</v>
      </c>
      <c r="J156" s="41" t="s">
        <v>89</v>
      </c>
      <c r="K156" s="41" t="s">
        <v>90</v>
      </c>
      <c r="L156" s="41" t="s">
        <v>91</v>
      </c>
      <c r="M156" s="48" t="s">
        <v>92</v>
      </c>
      <c r="N156" s="49" t="s">
        <v>93</v>
      </c>
      <c r="O156" s="49" t="s">
        <v>94</v>
      </c>
      <c r="P156" s="49" t="s">
        <v>95</v>
      </c>
      <c r="Q156" s="49" t="s">
        <v>48</v>
      </c>
      <c r="R156" s="49" t="s">
        <v>96</v>
      </c>
      <c r="S156" s="49" t="s">
        <v>97</v>
      </c>
    </row>
    <row r="157" spans="1:19">
      <c r="A157" s="42">
        <v>0</v>
      </c>
      <c r="B157" s="43"/>
      <c r="C157" s="44"/>
      <c r="D157" s="45"/>
      <c r="E157" s="6">
        <f t="shared" ref="E157:E167" si="26">0.125*D157</f>
        <v>0</v>
      </c>
      <c r="F157" s="6">
        <f t="shared" ref="F157:F167" si="27">D157-E157</f>
        <v>0</v>
      </c>
      <c r="G157" s="44"/>
      <c r="H157" s="47">
        <f>F157-G157</f>
        <v>0</v>
      </c>
      <c r="I157" s="44">
        <f>'ENHANCED OIL RECOVERY'!F8</f>
        <v>47132307.6923077</v>
      </c>
      <c r="J157" s="44"/>
      <c r="K157" s="44"/>
      <c r="L157" s="44"/>
      <c r="M157" s="47">
        <f>L157</f>
        <v>0</v>
      </c>
      <c r="N157" s="50">
        <f>IF(M157&gt;0,M157*ENHANCED OIL [1]RECOVERY!$K$15,0)</f>
        <v>0</v>
      </c>
      <c r="O157" s="47">
        <f t="shared" ref="O157:O177" si="28">K157-N157</f>
        <v>0</v>
      </c>
      <c r="P157" s="47">
        <v>0</v>
      </c>
      <c r="Q157" s="47">
        <f>(1+'ENHANCED OIL RECOVERY'!$K$16)^-A157</f>
        <v>1</v>
      </c>
      <c r="R157" s="51">
        <f>P157*Q157</f>
        <v>0</v>
      </c>
      <c r="S157" s="54">
        <f>R157</f>
        <v>0</v>
      </c>
    </row>
    <row r="158" spans="1:19">
      <c r="A158" s="46">
        <v>1</v>
      </c>
      <c r="B158" s="47">
        <f t="shared" ref="B158:B167" si="29">$B$134</f>
        <v>270000</v>
      </c>
      <c r="C158" s="47">
        <f>B155</f>
        <v>27</v>
      </c>
      <c r="D158" s="47">
        <f t="shared" ref="D158:D167" si="30">B158*C158/10^6</f>
        <v>7.29</v>
      </c>
      <c r="E158" s="6">
        <f t="shared" si="26"/>
        <v>0.91125</v>
      </c>
      <c r="F158" s="6">
        <f t="shared" si="27"/>
        <v>6.37875</v>
      </c>
      <c r="G158" s="47">
        <f>'ENHANCED OIL RECOVERY'!$F$17/10^6</f>
        <v>1.6344</v>
      </c>
      <c r="H158" s="47">
        <f t="shared" ref="H158:H167" si="31">F158-G158</f>
        <v>4.74435</v>
      </c>
      <c r="I158" s="47"/>
      <c r="J158" s="47">
        <f>'ENHANCED OIL RECOVERY'!$F$8/'ENHANCED OIL RECOVERY'!$K$12/10^6</f>
        <v>11.7830769230769</v>
      </c>
      <c r="K158" s="47">
        <f t="shared" ref="K158:K167" si="32">H158-J158</f>
        <v>-7.0387269230769</v>
      </c>
      <c r="L158" s="47">
        <f t="shared" ref="L158:L167" si="33">IF((L157+K158)&lt;0,(L157+K158),0)</f>
        <v>-7.0387269230769</v>
      </c>
      <c r="M158" s="47">
        <f t="shared" ref="M158:M167" si="34">IF(L158&lt;0,L158,K158)</f>
        <v>-7.0387269230769</v>
      </c>
      <c r="N158" s="50">
        <f>IF(M158&gt;0,M158*'ENHANCED OIL RECOVERY'!$K$15,0)</f>
        <v>0</v>
      </c>
      <c r="O158" s="47">
        <f t="shared" si="28"/>
        <v>-7.0387269230769</v>
      </c>
      <c r="P158" s="47">
        <f t="shared" ref="P158:P167" si="35">P157+O158</f>
        <v>-7.0387269230769</v>
      </c>
      <c r="Q158" s="47">
        <f>(1+'ENHANCED OIL RECOVERY'!$K$16)^-A158</f>
        <v>0.909090909090909</v>
      </c>
      <c r="R158" s="51">
        <f t="shared" ref="R158:R167" si="36">O158*Q158</f>
        <v>-6.39884265734264</v>
      </c>
      <c r="S158" s="55">
        <f t="shared" ref="S158:S167" si="37">S157+R158</f>
        <v>-6.39884265734264</v>
      </c>
    </row>
    <row r="159" spans="1:19">
      <c r="A159" s="42">
        <v>2</v>
      </c>
      <c r="B159" s="47">
        <f t="shared" si="29"/>
        <v>270000</v>
      </c>
      <c r="C159" s="47">
        <f t="shared" ref="C159:C167" si="38">$C$158</f>
        <v>27</v>
      </c>
      <c r="D159" s="47">
        <f t="shared" si="30"/>
        <v>7.29</v>
      </c>
      <c r="E159" s="6">
        <f t="shared" si="26"/>
        <v>0.91125</v>
      </c>
      <c r="F159" s="6">
        <f t="shared" si="27"/>
        <v>6.37875</v>
      </c>
      <c r="G159" s="47">
        <f>'ENHANCED OIL RECOVERY'!$F$17/10^6</f>
        <v>1.6344</v>
      </c>
      <c r="H159" s="47">
        <f t="shared" si="31"/>
        <v>4.74435</v>
      </c>
      <c r="I159" s="47"/>
      <c r="J159" s="47">
        <f>'ENHANCED OIL RECOVERY'!$F$8/'ENHANCED OIL RECOVERY'!$K$12/10^6</f>
        <v>11.7830769230769</v>
      </c>
      <c r="K159" s="47">
        <f t="shared" si="32"/>
        <v>-7.0387269230769</v>
      </c>
      <c r="L159" s="47">
        <f t="shared" si="33"/>
        <v>-14.0774538461538</v>
      </c>
      <c r="M159" s="47">
        <f t="shared" si="34"/>
        <v>-14.0774538461538</v>
      </c>
      <c r="N159" s="50">
        <f>IF(M159&gt;0,M159*'ENHANCED OIL RECOVERY'!$K$15,0)</f>
        <v>0</v>
      </c>
      <c r="O159" s="47">
        <f t="shared" si="28"/>
        <v>-7.0387269230769</v>
      </c>
      <c r="P159" s="47">
        <f t="shared" si="35"/>
        <v>-14.0774538461538</v>
      </c>
      <c r="Q159" s="47">
        <f>(1+'ENHANCED OIL RECOVERY'!$K$16)^-A159</f>
        <v>0.826446280991735</v>
      </c>
      <c r="R159" s="51">
        <f t="shared" si="36"/>
        <v>-5.8171296884933</v>
      </c>
      <c r="S159" s="55">
        <f t="shared" si="37"/>
        <v>-12.2159723458359</v>
      </c>
    </row>
    <row r="160" spans="1:19">
      <c r="A160" s="46">
        <v>3</v>
      </c>
      <c r="B160" s="47">
        <f t="shared" si="29"/>
        <v>270000</v>
      </c>
      <c r="C160" s="47">
        <f t="shared" si="38"/>
        <v>27</v>
      </c>
      <c r="D160" s="47">
        <f t="shared" si="30"/>
        <v>7.29</v>
      </c>
      <c r="E160" s="6">
        <f t="shared" si="26"/>
        <v>0.91125</v>
      </c>
      <c r="F160" s="6">
        <f t="shared" si="27"/>
        <v>6.37875</v>
      </c>
      <c r="G160" s="47">
        <f>'ENHANCED OIL RECOVERY'!$F$17/10^6</f>
        <v>1.6344</v>
      </c>
      <c r="H160" s="47">
        <f t="shared" si="31"/>
        <v>4.74435</v>
      </c>
      <c r="I160" s="47"/>
      <c r="J160" s="47">
        <f>'ENHANCED OIL RECOVERY'!$F$8/'ENHANCED OIL RECOVERY'!$K$12/10^6</f>
        <v>11.7830769230769</v>
      </c>
      <c r="K160" s="47">
        <f t="shared" si="32"/>
        <v>-7.0387269230769</v>
      </c>
      <c r="L160" s="47">
        <f t="shared" si="33"/>
        <v>-21.1161807692307</v>
      </c>
      <c r="M160" s="47">
        <f t="shared" si="34"/>
        <v>-21.1161807692307</v>
      </c>
      <c r="N160" s="50">
        <f>IF(M160&gt;0,M160*'ENHANCED OIL RECOVERY'!$K$15,0)</f>
        <v>0</v>
      </c>
      <c r="O160" s="47">
        <f t="shared" si="28"/>
        <v>-7.0387269230769</v>
      </c>
      <c r="P160" s="47">
        <f t="shared" si="35"/>
        <v>-21.1161807692307</v>
      </c>
      <c r="Q160" s="47">
        <f>(1+'ENHANCED OIL RECOVERY'!$K$16)^-A160</f>
        <v>0.751314800901578</v>
      </c>
      <c r="R160" s="51">
        <f t="shared" si="36"/>
        <v>-5.2882997168121</v>
      </c>
      <c r="S160" s="55">
        <f t="shared" si="37"/>
        <v>-17.504272062648</v>
      </c>
    </row>
    <row r="161" spans="1:19">
      <c r="A161" s="42">
        <v>4</v>
      </c>
      <c r="B161" s="47">
        <f t="shared" si="29"/>
        <v>270000</v>
      </c>
      <c r="C161" s="47">
        <f t="shared" si="38"/>
        <v>27</v>
      </c>
      <c r="D161" s="47">
        <f t="shared" si="30"/>
        <v>7.29</v>
      </c>
      <c r="E161" s="6">
        <f t="shared" si="26"/>
        <v>0.91125</v>
      </c>
      <c r="F161" s="6">
        <f t="shared" si="27"/>
        <v>6.37875</v>
      </c>
      <c r="G161" s="47">
        <f>'ENHANCED OIL RECOVERY'!$F$17/10^6</f>
        <v>1.6344</v>
      </c>
      <c r="H161" s="47">
        <f t="shared" si="31"/>
        <v>4.74435</v>
      </c>
      <c r="I161" s="47"/>
      <c r="J161" s="47">
        <f>'ENHANCED OIL RECOVERY'!$F$8/'ENHANCED OIL RECOVERY'!$K$12/10^6</f>
        <v>11.7830769230769</v>
      </c>
      <c r="K161" s="47">
        <f t="shared" si="32"/>
        <v>-7.0387269230769</v>
      </c>
      <c r="L161" s="47">
        <f t="shared" si="33"/>
        <v>-28.1549076923076</v>
      </c>
      <c r="M161" s="47">
        <f t="shared" si="34"/>
        <v>-28.1549076923076</v>
      </c>
      <c r="N161" s="50">
        <f>IF(M161&gt;0,M161*'ENHANCED OIL RECOVERY'!$K$15,0)</f>
        <v>0</v>
      </c>
      <c r="O161" s="47">
        <f t="shared" si="28"/>
        <v>-7.0387269230769</v>
      </c>
      <c r="P161" s="47">
        <f t="shared" si="35"/>
        <v>-28.1549076923076</v>
      </c>
      <c r="Q161" s="47">
        <f>(1+'ENHANCED OIL RECOVERY'!$K$16)^-A161</f>
        <v>0.683013455365071</v>
      </c>
      <c r="R161" s="51">
        <f t="shared" si="36"/>
        <v>-4.80754519710191</v>
      </c>
      <c r="S161" s="55">
        <f t="shared" si="37"/>
        <v>-22.3118172597499</v>
      </c>
    </row>
    <row r="162" spans="1:19">
      <c r="A162" s="46">
        <v>5</v>
      </c>
      <c r="B162" s="47">
        <f t="shared" si="29"/>
        <v>270000</v>
      </c>
      <c r="C162" s="47">
        <f t="shared" si="38"/>
        <v>27</v>
      </c>
      <c r="D162" s="47">
        <f t="shared" si="30"/>
        <v>7.29</v>
      </c>
      <c r="E162" s="6">
        <f t="shared" si="26"/>
        <v>0.91125</v>
      </c>
      <c r="F162" s="6">
        <f t="shared" si="27"/>
        <v>6.37875</v>
      </c>
      <c r="G162" s="47">
        <f>'ENHANCED OIL RECOVERY'!$F$17/10^6</f>
        <v>1.6344</v>
      </c>
      <c r="H162" s="47">
        <f t="shared" si="31"/>
        <v>4.74435</v>
      </c>
      <c r="I162" s="47"/>
      <c r="J162" s="47"/>
      <c r="K162" s="47">
        <f t="shared" si="32"/>
        <v>4.74435</v>
      </c>
      <c r="L162" s="47">
        <f t="shared" si="33"/>
        <v>-23.4105576923076</v>
      </c>
      <c r="M162" s="47">
        <f t="shared" si="34"/>
        <v>-23.4105576923076</v>
      </c>
      <c r="N162" s="50">
        <f>IF(M162&gt;0,M162*'ENHANCED OIL RECOVERY'!$K$15,0)</f>
        <v>0</v>
      </c>
      <c r="O162" s="47">
        <f t="shared" si="28"/>
        <v>4.74435</v>
      </c>
      <c r="P162" s="47">
        <f t="shared" si="35"/>
        <v>-23.4105576923076</v>
      </c>
      <c r="Q162" s="47">
        <f>(1+'ENHANCED OIL RECOVERY'!$K$16)^-A162</f>
        <v>0.620921323059155</v>
      </c>
      <c r="R162" s="51">
        <f t="shared" si="36"/>
        <v>2.9458680790557</v>
      </c>
      <c r="S162" s="55">
        <f t="shared" si="37"/>
        <v>-19.3659491806942</v>
      </c>
    </row>
    <row r="163" spans="1:19">
      <c r="A163" s="42">
        <v>6</v>
      </c>
      <c r="B163" s="47">
        <f t="shared" si="29"/>
        <v>270000</v>
      </c>
      <c r="C163" s="47">
        <f t="shared" si="38"/>
        <v>27</v>
      </c>
      <c r="D163" s="47">
        <f t="shared" si="30"/>
        <v>7.29</v>
      </c>
      <c r="E163" s="6">
        <f t="shared" si="26"/>
        <v>0.91125</v>
      </c>
      <c r="F163" s="6">
        <f t="shared" si="27"/>
        <v>6.37875</v>
      </c>
      <c r="G163" s="47">
        <f>'ENHANCED OIL RECOVERY'!$F$17/10^6</f>
        <v>1.6344</v>
      </c>
      <c r="H163" s="47">
        <f t="shared" si="31"/>
        <v>4.74435</v>
      </c>
      <c r="I163" s="47"/>
      <c r="J163" s="47"/>
      <c r="K163" s="47">
        <f t="shared" si="32"/>
        <v>4.74435</v>
      </c>
      <c r="L163" s="47">
        <f t="shared" si="33"/>
        <v>-18.6662076923076</v>
      </c>
      <c r="M163" s="47">
        <f t="shared" si="34"/>
        <v>-18.6662076923076</v>
      </c>
      <c r="N163" s="50">
        <f>IF(M163&gt;0,M163*'ENHANCED OIL RECOVERY'!$K$15,0)</f>
        <v>0</v>
      </c>
      <c r="O163" s="47">
        <f t="shared" si="28"/>
        <v>4.74435</v>
      </c>
      <c r="P163" s="47">
        <f t="shared" si="35"/>
        <v>-18.6662076923076</v>
      </c>
      <c r="Q163" s="47">
        <f>(1+'ENHANCED OIL RECOVERY'!$K$16)^-A163</f>
        <v>0.564473930053777</v>
      </c>
      <c r="R163" s="51">
        <f t="shared" si="36"/>
        <v>2.67806189005064</v>
      </c>
      <c r="S163" s="55">
        <f t="shared" si="37"/>
        <v>-16.6878872906436</v>
      </c>
    </row>
    <row r="164" spans="1:19">
      <c r="A164" s="46">
        <v>7</v>
      </c>
      <c r="B164" s="47">
        <f t="shared" si="29"/>
        <v>270000</v>
      </c>
      <c r="C164" s="47">
        <f t="shared" si="38"/>
        <v>27</v>
      </c>
      <c r="D164" s="47">
        <f t="shared" si="30"/>
        <v>7.29</v>
      </c>
      <c r="E164" s="6">
        <f t="shared" si="26"/>
        <v>0.91125</v>
      </c>
      <c r="F164" s="6">
        <f t="shared" si="27"/>
        <v>6.37875</v>
      </c>
      <c r="G164" s="47">
        <f>'ENHANCED OIL RECOVERY'!$F$17/10^6</f>
        <v>1.6344</v>
      </c>
      <c r="H164" s="47">
        <f t="shared" si="31"/>
        <v>4.74435</v>
      </c>
      <c r="I164" s="47"/>
      <c r="J164" s="47"/>
      <c r="K164" s="47">
        <f t="shared" si="32"/>
        <v>4.74435</v>
      </c>
      <c r="L164" s="47">
        <f t="shared" si="33"/>
        <v>-13.9218576923076</v>
      </c>
      <c r="M164" s="47">
        <f t="shared" si="34"/>
        <v>-13.9218576923076</v>
      </c>
      <c r="N164" s="50">
        <f>IF(M164&gt;0,M164*'ENHANCED OIL RECOVERY'!$K$15,0)</f>
        <v>0</v>
      </c>
      <c r="O164" s="47">
        <f t="shared" si="28"/>
        <v>4.74435</v>
      </c>
      <c r="P164" s="47">
        <f t="shared" si="35"/>
        <v>-13.9218576923076</v>
      </c>
      <c r="Q164" s="47">
        <f>(1+'ENHANCED OIL RECOVERY'!$K$16)^-A164</f>
        <v>0.513158118230706</v>
      </c>
      <c r="R164" s="51">
        <f t="shared" si="36"/>
        <v>2.43460171822785</v>
      </c>
      <c r="S164" s="55">
        <f t="shared" si="37"/>
        <v>-14.2532855724158</v>
      </c>
    </row>
    <row r="165" spans="1:19">
      <c r="A165" s="42">
        <v>8</v>
      </c>
      <c r="B165" s="47">
        <f t="shared" si="29"/>
        <v>270000</v>
      </c>
      <c r="C165" s="47">
        <f t="shared" si="38"/>
        <v>27</v>
      </c>
      <c r="D165" s="47">
        <f t="shared" si="30"/>
        <v>7.29</v>
      </c>
      <c r="E165" s="6">
        <f t="shared" si="26"/>
        <v>0.91125</v>
      </c>
      <c r="F165" s="6">
        <f t="shared" si="27"/>
        <v>6.37875</v>
      </c>
      <c r="G165" s="47">
        <f>'ENHANCED OIL RECOVERY'!$F$17/10^6</f>
        <v>1.6344</v>
      </c>
      <c r="H165" s="47">
        <f t="shared" si="31"/>
        <v>4.74435</v>
      </c>
      <c r="I165" s="47"/>
      <c r="J165" s="47"/>
      <c r="K165" s="47">
        <f t="shared" si="32"/>
        <v>4.74435</v>
      </c>
      <c r="L165" s="47">
        <f t="shared" si="33"/>
        <v>-9.1775076923076</v>
      </c>
      <c r="M165" s="47">
        <f t="shared" si="34"/>
        <v>-9.1775076923076</v>
      </c>
      <c r="N165" s="50">
        <f>IF(M165&gt;0,M165*'ENHANCED OIL RECOVERY'!$K$15,0)</f>
        <v>0</v>
      </c>
      <c r="O165" s="47">
        <f t="shared" si="28"/>
        <v>4.74435</v>
      </c>
      <c r="P165" s="47">
        <f t="shared" si="35"/>
        <v>-9.1775076923076</v>
      </c>
      <c r="Q165" s="47">
        <f>(1+'ENHANCED OIL RECOVERY'!$K$16)^-A165</f>
        <v>0.466507380209733</v>
      </c>
      <c r="R165" s="51">
        <f t="shared" si="36"/>
        <v>2.21327428929805</v>
      </c>
      <c r="S165" s="55">
        <f t="shared" si="37"/>
        <v>-12.0400112831177</v>
      </c>
    </row>
    <row r="166" spans="1:19">
      <c r="A166" s="46">
        <v>9</v>
      </c>
      <c r="B166" s="47">
        <f t="shared" si="29"/>
        <v>270000</v>
      </c>
      <c r="C166" s="47">
        <f t="shared" si="38"/>
        <v>27</v>
      </c>
      <c r="D166" s="47">
        <f t="shared" si="30"/>
        <v>7.29</v>
      </c>
      <c r="E166" s="6">
        <f t="shared" si="26"/>
        <v>0.91125</v>
      </c>
      <c r="F166" s="6">
        <f t="shared" si="27"/>
        <v>6.37875</v>
      </c>
      <c r="G166" s="47">
        <f>'ENHANCED OIL RECOVERY'!$F$17/10^6</f>
        <v>1.6344</v>
      </c>
      <c r="H166" s="47">
        <f t="shared" si="31"/>
        <v>4.74435</v>
      </c>
      <c r="I166" s="47"/>
      <c r="J166" s="47"/>
      <c r="K166" s="47">
        <f t="shared" si="32"/>
        <v>4.74435</v>
      </c>
      <c r="L166" s="47">
        <f t="shared" si="33"/>
        <v>-4.4331576923076</v>
      </c>
      <c r="M166" s="47">
        <f t="shared" si="34"/>
        <v>-4.4331576923076</v>
      </c>
      <c r="N166" s="50">
        <f>IF(M166&gt;0,M166*'ENHANCED OIL RECOVERY'!$K$15,0)</f>
        <v>0</v>
      </c>
      <c r="O166" s="47">
        <f t="shared" si="28"/>
        <v>4.74435</v>
      </c>
      <c r="P166" s="47">
        <f t="shared" si="35"/>
        <v>-4.4331576923076</v>
      </c>
      <c r="Q166" s="47">
        <f>(1+'ENHANCED OIL RECOVERY'!$K$16)^-A166</f>
        <v>0.424097618372485</v>
      </c>
      <c r="R166" s="51">
        <f t="shared" si="36"/>
        <v>2.0120675357255</v>
      </c>
      <c r="S166" s="55">
        <f t="shared" si="37"/>
        <v>-10.0279437473922</v>
      </c>
    </row>
    <row r="167" spans="1:19">
      <c r="A167" s="42">
        <v>10</v>
      </c>
      <c r="B167" s="47">
        <f t="shared" si="29"/>
        <v>270000</v>
      </c>
      <c r="C167" s="47">
        <f t="shared" si="38"/>
        <v>27</v>
      </c>
      <c r="D167" s="47">
        <f t="shared" si="30"/>
        <v>7.29</v>
      </c>
      <c r="E167" s="6">
        <f t="shared" si="26"/>
        <v>0.91125</v>
      </c>
      <c r="F167" s="6">
        <f t="shared" si="27"/>
        <v>6.37875</v>
      </c>
      <c r="G167" s="47">
        <f>'ENHANCED OIL RECOVERY'!$F$17/10^6</f>
        <v>1.6344</v>
      </c>
      <c r="H167" s="47">
        <f t="shared" si="31"/>
        <v>4.74435</v>
      </c>
      <c r="I167" s="47"/>
      <c r="J167" s="47"/>
      <c r="K167" s="47">
        <f t="shared" si="32"/>
        <v>4.74435</v>
      </c>
      <c r="L167" s="47">
        <f t="shared" si="33"/>
        <v>0</v>
      </c>
      <c r="M167" s="47">
        <f t="shared" si="34"/>
        <v>4.74435</v>
      </c>
      <c r="N167" s="50">
        <f>IF(M167&gt;0,M167*'ENHANCED OIL RECOVERY'!$K$15,0)</f>
        <v>0.94887</v>
      </c>
      <c r="O167" s="47">
        <f t="shared" si="28"/>
        <v>3.79548</v>
      </c>
      <c r="P167" s="47">
        <f t="shared" si="35"/>
        <v>-0.637677692307597</v>
      </c>
      <c r="Q167" s="47">
        <f>(1+'ENHANCED OIL RECOVERY'!$K$16)^-A167</f>
        <v>0.385543289429531</v>
      </c>
      <c r="R167" s="51">
        <f t="shared" si="36"/>
        <v>1.463321844164</v>
      </c>
      <c r="S167" s="55">
        <f t="shared" si="37"/>
        <v>-8.56462190322821</v>
      </c>
    </row>
    <row r="168" spans="1:20">
      <c r="A168" s="241"/>
      <c r="B168" s="200"/>
      <c r="C168" s="200"/>
      <c r="D168" s="200"/>
      <c r="E168" s="23"/>
      <c r="F168" s="23"/>
      <c r="G168" s="200"/>
      <c r="H168" s="200"/>
      <c r="I168" s="200"/>
      <c r="J168" s="200"/>
      <c r="K168" s="200"/>
      <c r="L168" s="200"/>
      <c r="M168" s="200"/>
      <c r="N168" s="245"/>
      <c r="O168" s="200"/>
      <c r="P168" s="200"/>
      <c r="Q168" s="247"/>
      <c r="R168" s="46">
        <f>SUM(R158:R167)</f>
        <v>-8.56462190322821</v>
      </c>
      <c r="S168" s="249"/>
      <c r="T168" s="23"/>
    </row>
    <row r="169" spans="1:19">
      <c r="A169" s="242"/>
      <c r="B169" s="84"/>
      <c r="C169" s="84"/>
      <c r="D169" s="84"/>
      <c r="E169" s="89"/>
      <c r="F169" s="89"/>
      <c r="G169" s="84"/>
      <c r="H169" s="84"/>
      <c r="I169" s="84"/>
      <c r="J169" s="84"/>
      <c r="K169" s="84"/>
      <c r="L169" s="84"/>
      <c r="M169" s="84"/>
      <c r="N169" s="245"/>
      <c r="O169" s="84"/>
      <c r="P169" s="84"/>
      <c r="Q169" s="84"/>
      <c r="R169" s="84"/>
      <c r="S169" s="84"/>
    </row>
    <row r="170" spans="1:19">
      <c r="A170" s="84"/>
      <c r="B170" s="84"/>
      <c r="C170" s="84"/>
      <c r="D170" s="84"/>
      <c r="E170" s="89"/>
      <c r="F170" s="89"/>
      <c r="G170" s="84"/>
      <c r="H170" s="84"/>
      <c r="I170" s="84"/>
      <c r="J170" s="84"/>
      <c r="K170" s="84"/>
      <c r="L170" s="84"/>
      <c r="M170" s="84"/>
      <c r="N170" s="245"/>
      <c r="O170" s="84"/>
      <c r="P170" s="84"/>
      <c r="Q170" s="84"/>
      <c r="R170" s="84"/>
      <c r="S170" s="84"/>
    </row>
    <row r="171" spans="1:19">
      <c r="A171" s="242"/>
      <c r="B171" s="84"/>
      <c r="C171" s="84"/>
      <c r="D171" s="84"/>
      <c r="E171" s="89"/>
      <c r="F171" s="89"/>
      <c r="G171" s="84"/>
      <c r="H171" s="84"/>
      <c r="I171" s="84"/>
      <c r="J171" s="84"/>
      <c r="K171" s="84"/>
      <c r="L171" s="84"/>
      <c r="M171" s="84"/>
      <c r="N171" s="245"/>
      <c r="O171" s="84"/>
      <c r="P171" s="84"/>
      <c r="Q171" s="84"/>
      <c r="R171" s="84"/>
      <c r="S171" s="84"/>
    </row>
    <row r="172" spans="1:19">
      <c r="A172" s="84"/>
      <c r="B172" s="84"/>
      <c r="C172" s="84"/>
      <c r="D172" s="84"/>
      <c r="E172" s="89"/>
      <c r="F172" s="89"/>
      <c r="G172" s="84"/>
      <c r="H172" s="84"/>
      <c r="I172" s="84"/>
      <c r="J172" s="84"/>
      <c r="K172" s="84"/>
      <c r="L172" s="84"/>
      <c r="M172" s="246"/>
      <c r="N172" s="245"/>
      <c r="O172" s="84"/>
      <c r="P172" s="84"/>
      <c r="Q172" s="84"/>
      <c r="R172" s="84"/>
      <c r="S172" s="84"/>
    </row>
    <row r="173" spans="1:19">
      <c r="A173" s="242"/>
      <c r="B173" s="84"/>
      <c r="C173" s="84"/>
      <c r="D173" s="84"/>
      <c r="E173" s="89"/>
      <c r="F173" s="89"/>
      <c r="G173" s="84"/>
      <c r="H173" s="84"/>
      <c r="I173" s="84"/>
      <c r="J173" s="84"/>
      <c r="K173" s="84"/>
      <c r="L173" s="84"/>
      <c r="M173" s="84"/>
      <c r="N173" s="245"/>
      <c r="O173" s="84"/>
      <c r="P173" s="84"/>
      <c r="Q173" s="84"/>
      <c r="R173" s="84"/>
      <c r="S173" s="84"/>
    </row>
    <row r="174" spans="1:19">
      <c r="A174" s="84"/>
      <c r="B174" s="84"/>
      <c r="C174" s="84"/>
      <c r="D174" s="84"/>
      <c r="E174" s="89"/>
      <c r="F174" s="89"/>
      <c r="G174" s="84"/>
      <c r="H174" s="84"/>
      <c r="I174" s="84"/>
      <c r="J174" s="84"/>
      <c r="K174" s="84"/>
      <c r="L174" s="84"/>
      <c r="M174" s="84"/>
      <c r="N174" s="245"/>
      <c r="O174" s="84"/>
      <c r="P174" s="84"/>
      <c r="Q174" s="84"/>
      <c r="R174" s="84"/>
      <c r="S174" s="84"/>
    </row>
    <row r="175" spans="1:19">
      <c r="A175" s="242"/>
      <c r="B175" s="84"/>
      <c r="C175" s="84"/>
      <c r="D175" s="84"/>
      <c r="E175" s="89"/>
      <c r="F175" s="89"/>
      <c r="G175" s="84"/>
      <c r="H175" s="84"/>
      <c r="I175" s="84"/>
      <c r="J175" s="84"/>
      <c r="K175" s="84"/>
      <c r="L175" s="84"/>
      <c r="M175" s="84"/>
      <c r="N175" s="245"/>
      <c r="O175" s="84"/>
      <c r="P175" s="84"/>
      <c r="Q175" s="84"/>
      <c r="R175" s="84"/>
      <c r="S175" s="84"/>
    </row>
    <row r="176" spans="1:19">
      <c r="A176" s="84"/>
      <c r="B176" s="84"/>
      <c r="C176" s="84"/>
      <c r="D176" s="84"/>
      <c r="E176" s="89"/>
      <c r="F176" s="89"/>
      <c r="G176" s="84"/>
      <c r="H176" s="84"/>
      <c r="I176" s="84"/>
      <c r="J176" s="84"/>
      <c r="K176" s="84"/>
      <c r="L176" s="84"/>
      <c r="M176" s="84"/>
      <c r="N176" s="245"/>
      <c r="O176" s="84"/>
      <c r="P176" s="84"/>
      <c r="Q176" s="84"/>
      <c r="R176" s="84"/>
      <c r="S176" s="84"/>
    </row>
    <row r="177" spans="1:19">
      <c r="A177" s="242"/>
      <c r="B177" s="84"/>
      <c r="C177" s="84"/>
      <c r="D177" s="84"/>
      <c r="E177" s="89"/>
      <c r="F177" s="89"/>
      <c r="G177" s="84"/>
      <c r="H177" s="84"/>
      <c r="I177" s="84"/>
      <c r="J177" s="84"/>
      <c r="K177" s="84"/>
      <c r="L177" s="84"/>
      <c r="M177" s="84"/>
      <c r="N177" s="245"/>
      <c r="O177" s="84"/>
      <c r="P177" s="84"/>
      <c r="Q177" s="84"/>
      <c r="R177" s="84"/>
      <c r="S177" s="84"/>
    </row>
    <row r="178" spans="1:19">
      <c r="A178" s="84"/>
      <c r="B178" s="84"/>
      <c r="C178" s="84"/>
      <c r="D178" s="84"/>
      <c r="E178" s="89"/>
      <c r="F178" s="89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</row>
  </sheetData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zoomScale="57" zoomScaleNormal="57" workbookViewId="0">
      <selection activeCell="A1" sqref="A1:N28"/>
    </sheetView>
  </sheetViews>
  <sheetFormatPr defaultColWidth="9.14285714285714" defaultRowHeight="15"/>
  <cols>
    <col min="3" max="3" width="28.5714285714286" customWidth="1"/>
    <col min="4" max="4" width="14.1428571428571" customWidth="1"/>
    <col min="6" max="6" width="14.1428571428571" customWidth="1"/>
    <col min="12" max="12" width="10.1428571428571"/>
  </cols>
  <sheetData>
    <row r="1" ht="30" spans="1:13">
      <c r="A1" s="194" t="s">
        <v>155</v>
      </c>
      <c r="D1" s="78"/>
      <c r="E1" s="78"/>
      <c r="F1" s="79"/>
      <c r="G1" s="80"/>
      <c r="H1" s="80"/>
      <c r="I1" s="80"/>
      <c r="J1" s="80"/>
      <c r="K1" s="125"/>
      <c r="L1" s="126"/>
      <c r="M1" s="57"/>
    </row>
    <row r="2" spans="1:13">
      <c r="A2" s="31"/>
      <c r="B2" s="195" t="s">
        <v>156</v>
      </c>
      <c r="C2" s="196"/>
      <c r="D2" s="197"/>
      <c r="E2" s="197"/>
      <c r="F2" s="198" t="s">
        <v>157</v>
      </c>
      <c r="G2" s="31"/>
      <c r="H2" s="31"/>
      <c r="I2" s="31"/>
      <c r="J2" s="31"/>
      <c r="K2" s="31"/>
      <c r="L2" s="31"/>
      <c r="M2" s="31"/>
    </row>
    <row r="3" ht="15.75" spans="1:13">
      <c r="A3" s="31"/>
      <c r="B3" s="199" t="s">
        <v>158</v>
      </c>
      <c r="C3" s="84"/>
      <c r="D3" s="200"/>
      <c r="E3" s="200"/>
      <c r="F3" s="201">
        <f>332800*2</f>
        <v>665600</v>
      </c>
      <c r="G3" s="31"/>
      <c r="H3" s="31"/>
      <c r="I3" s="31"/>
      <c r="J3" s="31"/>
      <c r="K3" s="31"/>
      <c r="L3" s="31"/>
      <c r="M3" s="31"/>
    </row>
    <row r="4" spans="1:13">
      <c r="A4" s="31"/>
      <c r="B4" s="199" t="s">
        <v>159</v>
      </c>
      <c r="C4" s="200"/>
      <c r="D4" s="200"/>
      <c r="E4" s="200"/>
      <c r="F4" s="202">
        <f>385240*2</f>
        <v>770480</v>
      </c>
      <c r="G4" s="31"/>
      <c r="H4" s="203" t="s">
        <v>2</v>
      </c>
      <c r="I4" s="229"/>
      <c r="J4" s="229"/>
      <c r="K4" s="229"/>
      <c r="L4" s="230"/>
      <c r="M4" s="230"/>
    </row>
    <row r="5" spans="1:13">
      <c r="A5" s="31"/>
      <c r="B5" s="199" t="s">
        <v>160</v>
      </c>
      <c r="C5" s="200"/>
      <c r="D5" s="200"/>
      <c r="E5" s="200"/>
      <c r="F5" s="204">
        <f>6800+4600</f>
        <v>11400</v>
      </c>
      <c r="G5" s="31"/>
      <c r="H5" s="99"/>
      <c r="I5" s="31"/>
      <c r="J5" s="31"/>
      <c r="K5" s="31"/>
      <c r="L5" s="129"/>
      <c r="M5" s="129"/>
    </row>
    <row r="6" spans="1:13">
      <c r="A6" s="31"/>
      <c r="B6" s="205" t="s">
        <v>161</v>
      </c>
      <c r="C6" s="200"/>
      <c r="D6" s="200"/>
      <c r="E6" s="200"/>
      <c r="F6" s="201">
        <v>8000</v>
      </c>
      <c r="G6" s="31"/>
      <c r="H6" s="99" t="s">
        <v>162</v>
      </c>
      <c r="I6" s="31"/>
      <c r="J6" s="31"/>
      <c r="K6" s="31"/>
      <c r="L6" s="129">
        <f>1000</f>
        <v>1000</v>
      </c>
      <c r="M6" s="129">
        <f>L6</f>
        <v>1000</v>
      </c>
    </row>
    <row r="7" spans="1:13">
      <c r="A7" s="31"/>
      <c r="B7" s="205" t="s">
        <v>163</v>
      </c>
      <c r="C7" s="84"/>
      <c r="D7" s="84"/>
      <c r="E7" s="85"/>
      <c r="F7" s="206">
        <f>625700</f>
        <v>625700</v>
      </c>
      <c r="G7" s="31"/>
      <c r="H7" s="99" t="s">
        <v>164</v>
      </c>
      <c r="I7" s="31"/>
      <c r="J7" s="31"/>
      <c r="K7" s="129"/>
      <c r="L7" s="231">
        <f>1970</f>
        <v>1970</v>
      </c>
      <c r="M7" s="129"/>
    </row>
    <row r="8" ht="15.75" spans="1:13">
      <c r="A8" s="31"/>
      <c r="B8" s="207" t="s">
        <v>25</v>
      </c>
      <c r="C8" s="208"/>
      <c r="D8" s="208"/>
      <c r="E8" s="208"/>
      <c r="F8" s="209">
        <f>SUM(F5:F7)*10+SUM(F3:F4)</f>
        <v>7887080</v>
      </c>
      <c r="G8" s="31"/>
      <c r="H8" s="210" t="s">
        <v>25</v>
      </c>
      <c r="I8" s="232"/>
      <c r="J8" s="232"/>
      <c r="K8" s="232"/>
      <c r="L8" s="233">
        <f>L6</f>
        <v>1000</v>
      </c>
      <c r="M8" s="233">
        <f>SUM(M5:M7)</f>
        <v>1000</v>
      </c>
    </row>
    <row r="9" spans="1:13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>
      <c r="A10" s="31"/>
      <c r="B10" s="35" t="s">
        <v>104</v>
      </c>
      <c r="C10" s="35"/>
      <c r="D10" s="33"/>
      <c r="E10" s="33"/>
      <c r="F10" s="33"/>
      <c r="G10" s="90"/>
      <c r="H10" s="31"/>
      <c r="I10" s="31"/>
      <c r="J10" s="31"/>
      <c r="K10" s="31"/>
      <c r="L10" s="31"/>
      <c r="M10" s="31"/>
    </row>
    <row r="11" spans="1:13">
      <c r="A11" s="31"/>
      <c r="B11" s="69" t="s">
        <v>15</v>
      </c>
      <c r="C11" s="69"/>
      <c r="D11" s="69"/>
      <c r="E11" s="33" t="s">
        <v>165</v>
      </c>
      <c r="F11" s="47">
        <f>250*5</f>
        <v>1250</v>
      </c>
      <c r="G11" s="90"/>
      <c r="H11" s="211" t="s">
        <v>10</v>
      </c>
      <c r="I11" s="31"/>
      <c r="J11" s="31"/>
      <c r="K11" s="31"/>
      <c r="L11" s="31"/>
      <c r="M11" s="31"/>
    </row>
    <row r="12" spans="1:13">
      <c r="A12" s="31"/>
      <c r="B12" s="69" t="s">
        <v>122</v>
      </c>
      <c r="C12" s="69"/>
      <c r="D12" s="69"/>
      <c r="E12" s="33" t="s">
        <v>137</v>
      </c>
      <c r="F12" s="212">
        <v>35</v>
      </c>
      <c r="G12" s="90"/>
      <c r="H12" s="213" t="s">
        <v>13</v>
      </c>
      <c r="I12" s="213"/>
      <c r="J12" s="213"/>
      <c r="K12" s="213">
        <v>4</v>
      </c>
      <c r="L12" s="213" t="s">
        <v>14</v>
      </c>
      <c r="M12" s="31"/>
    </row>
    <row r="13" spans="1:13">
      <c r="A13" s="31"/>
      <c r="B13" s="51" t="s">
        <v>166</v>
      </c>
      <c r="C13" s="69"/>
      <c r="D13" s="69"/>
      <c r="E13" s="33" t="s">
        <v>165</v>
      </c>
      <c r="F13" s="33">
        <v>1250</v>
      </c>
      <c r="G13" s="90"/>
      <c r="H13" s="31"/>
      <c r="I13" s="31"/>
      <c r="J13" s="31"/>
      <c r="K13" s="31"/>
      <c r="L13" s="31"/>
      <c r="M13" s="31"/>
    </row>
    <row r="14" spans="1:13">
      <c r="A14" s="31"/>
      <c r="B14" s="33" t="s">
        <v>164</v>
      </c>
      <c r="C14" s="33"/>
      <c r="D14" s="33"/>
      <c r="E14" s="33"/>
      <c r="F14" s="214">
        <v>350</v>
      </c>
      <c r="G14" s="98"/>
      <c r="H14" s="215" t="s">
        <v>19</v>
      </c>
      <c r="I14" s="234"/>
      <c r="J14" s="234"/>
      <c r="K14" s="235"/>
      <c r="L14" s="31"/>
      <c r="M14" s="31"/>
    </row>
    <row r="15" spans="1:13">
      <c r="A15" s="31"/>
      <c r="B15" s="33" t="s">
        <v>167</v>
      </c>
      <c r="C15" s="33"/>
      <c r="D15" s="33"/>
      <c r="E15" s="33"/>
      <c r="F15" s="214">
        <f>250*5*24</f>
        <v>30000</v>
      </c>
      <c r="G15" s="90"/>
      <c r="H15" s="216" t="s">
        <v>21</v>
      </c>
      <c r="I15" s="105"/>
      <c r="J15" s="90"/>
      <c r="K15" s="236">
        <f>20%</f>
        <v>0.2</v>
      </c>
      <c r="L15" s="31"/>
      <c r="M15" s="31"/>
    </row>
    <row r="16" spans="1:13">
      <c r="A16" s="31"/>
      <c r="B16" s="33" t="s">
        <v>168</v>
      </c>
      <c r="C16" s="33"/>
      <c r="D16" s="33"/>
      <c r="E16" s="33"/>
      <c r="F16" s="217">
        <f>180000</f>
        <v>180000</v>
      </c>
      <c r="G16" s="90"/>
      <c r="H16" s="218" t="s">
        <v>24</v>
      </c>
      <c r="I16" s="237"/>
      <c r="J16" s="238">
        <f>10%</f>
        <v>0.1</v>
      </c>
      <c r="K16" s="238">
        <f>0.1</f>
        <v>0.1</v>
      </c>
      <c r="L16" s="31"/>
      <c r="M16" s="31"/>
    </row>
    <row r="17" spans="1:13">
      <c r="A17" s="31"/>
      <c r="B17" s="188" t="s">
        <v>25</v>
      </c>
      <c r="C17" s="188"/>
      <c r="D17" s="188"/>
      <c r="E17" s="188" t="s">
        <v>12</v>
      </c>
      <c r="F17" s="219">
        <f>((F11*F12)+(F13*F14)+F15)</f>
        <v>511250</v>
      </c>
      <c r="G17" s="90"/>
      <c r="H17" s="31"/>
      <c r="I17" s="31"/>
      <c r="J17" s="31"/>
      <c r="K17" s="31"/>
      <c r="L17" s="31"/>
      <c r="M17" s="31"/>
    </row>
    <row r="18" spans="1:13">
      <c r="A18" s="31"/>
      <c r="B18" s="108"/>
      <c r="C18" s="108"/>
      <c r="D18" s="108"/>
      <c r="E18" s="31"/>
      <c r="F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90"/>
      <c r="C19" s="183"/>
      <c r="D19" s="90"/>
      <c r="E19" s="31"/>
      <c r="F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90"/>
      <c r="C20" s="220"/>
      <c r="D20" s="90"/>
      <c r="E20" s="31"/>
      <c r="F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112"/>
      <c r="C21" s="221" t="s">
        <v>26</v>
      </c>
      <c r="D21" s="221"/>
      <c r="E21" s="222"/>
      <c r="F21" s="31"/>
      <c r="G21" s="31"/>
      <c r="H21" s="108"/>
      <c r="I21" s="108"/>
      <c r="J21" s="108"/>
      <c r="K21" s="31"/>
      <c r="L21" s="31"/>
      <c r="M21" s="31"/>
    </row>
    <row r="22" spans="1:13">
      <c r="A22" s="31"/>
      <c r="B22" s="112"/>
      <c r="C22" s="223" t="s">
        <v>27</v>
      </c>
      <c r="D22" s="224">
        <f>'SALICYLIC ACID 2'!P25</f>
        <v>4.79104530978501</v>
      </c>
      <c r="E22" s="223"/>
      <c r="F22" s="31"/>
      <c r="G22" s="31"/>
      <c r="H22" s="108"/>
      <c r="I22" s="108"/>
      <c r="J22" s="108"/>
      <c r="K22" s="31"/>
      <c r="L22" s="31"/>
      <c r="M22" s="31"/>
    </row>
    <row r="23" spans="1:13">
      <c r="A23" s="31"/>
      <c r="B23" s="112"/>
      <c r="C23" s="223" t="s">
        <v>28</v>
      </c>
      <c r="D23" s="225">
        <f>IRR('SALICYLIC ACID 2'!N4:N24)</f>
        <v>0.351363659286145</v>
      </c>
      <c r="E23" s="225"/>
      <c r="F23" s="31"/>
      <c r="G23" s="31"/>
      <c r="H23" s="108"/>
      <c r="I23" s="108"/>
      <c r="J23" s="108"/>
      <c r="K23" s="31"/>
      <c r="L23" s="31"/>
      <c r="M23" s="31"/>
    </row>
    <row r="24" spans="1:13">
      <c r="A24" s="31"/>
      <c r="B24" s="112"/>
      <c r="C24" s="223" t="s">
        <v>29</v>
      </c>
      <c r="D24" s="224">
        <f>D22*10^6/F8</f>
        <v>0.607454889488253</v>
      </c>
      <c r="E24" s="223"/>
      <c r="F24" s="31"/>
      <c r="G24" s="31"/>
      <c r="H24" s="108"/>
      <c r="I24" s="108"/>
      <c r="J24" s="108"/>
      <c r="K24" s="31"/>
      <c r="L24" s="31"/>
      <c r="M24" s="31"/>
    </row>
    <row r="25" spans="1:13">
      <c r="A25" s="31"/>
      <c r="B25" s="112"/>
      <c r="C25" s="223" t="s">
        <v>30</v>
      </c>
      <c r="D25" s="224">
        <f>1+D24</f>
        <v>1.60745488948825</v>
      </c>
      <c r="E25" s="223"/>
      <c r="F25" s="31"/>
      <c r="G25" s="31"/>
      <c r="H25" s="31"/>
      <c r="I25" s="31"/>
      <c r="J25" s="31"/>
      <c r="K25" s="31"/>
      <c r="L25" s="31"/>
      <c r="M25" s="31"/>
    </row>
    <row r="26" spans="1:13">
      <c r="A26" s="31"/>
      <c r="B26" s="112"/>
      <c r="C26" s="223" t="s">
        <v>31</v>
      </c>
      <c r="D26" s="226">
        <f>'SALICYLIC ACID 3'!D56</f>
        <v>6.10302036539846</v>
      </c>
      <c r="E26" s="223" t="s">
        <v>14</v>
      </c>
      <c r="F26" s="31"/>
      <c r="G26" s="31"/>
      <c r="H26" s="31"/>
      <c r="I26" s="31"/>
      <c r="J26" s="31"/>
      <c r="K26" s="31"/>
      <c r="L26" s="31"/>
      <c r="M26" s="31"/>
    </row>
    <row r="27" spans="1:13">
      <c r="A27" s="31"/>
      <c r="B27" s="31"/>
      <c r="C27" s="227" t="s">
        <v>32</v>
      </c>
      <c r="D27" s="228">
        <f>'SALICYLIC ACID 3'!C123+(0.05*'SALICYLIC ACID 3'!C123)</f>
        <v>1343.99453839511</v>
      </c>
      <c r="E27" s="227"/>
      <c r="F27" s="31"/>
      <c r="G27" s="31"/>
      <c r="H27" s="31"/>
      <c r="I27" s="31"/>
      <c r="J27" s="31"/>
      <c r="K27" s="31"/>
      <c r="L27" s="31"/>
      <c r="M27" s="31"/>
    </row>
    <row r="28" spans="1:1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</row>
    <row r="29" spans="1:1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</row>
    <row r="30" spans="1:1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zoomScale="65" zoomScaleNormal="65" workbookViewId="0">
      <selection activeCell="A1" sqref="$A1:$XFD1048576"/>
    </sheetView>
  </sheetViews>
  <sheetFormatPr defaultColWidth="9.14285714285714" defaultRowHeight="15"/>
  <cols>
    <col min="7" max="8" width="12.8571428571429"/>
    <col min="15" max="15" width="12.8571428571429"/>
  </cols>
  <sheetData>
    <row r="1" ht="30" spans="1:14">
      <c r="A1" s="56" t="s">
        <v>169</v>
      </c>
      <c r="B1" s="57"/>
      <c r="C1" s="57"/>
      <c r="D1" s="57"/>
      <c r="E1" s="57"/>
      <c r="F1" s="57"/>
      <c r="G1" s="57"/>
      <c r="H1" s="57"/>
      <c r="I1" s="57"/>
      <c r="J1" s="65"/>
      <c r="K1" s="65"/>
      <c r="L1" s="65"/>
      <c r="M1" s="65"/>
      <c r="N1" s="65"/>
    </row>
    <row r="3" ht="105" spans="1:17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45</v>
      </c>
      <c r="M3" s="67" t="s">
        <v>46</v>
      </c>
      <c r="N3" s="67" t="s">
        <v>47</v>
      </c>
      <c r="O3" s="67" t="s">
        <v>48</v>
      </c>
      <c r="P3" s="67" t="s">
        <v>49</v>
      </c>
      <c r="Q3" s="67" t="s">
        <v>50</v>
      </c>
    </row>
    <row r="4" spans="1:17">
      <c r="A4" s="60">
        <v>0</v>
      </c>
      <c r="B4" s="61"/>
      <c r="C4" s="62"/>
      <c r="D4" s="63"/>
      <c r="E4" s="62"/>
      <c r="F4" s="62"/>
      <c r="G4" s="62">
        <f>'SALICYLIC ACID'!F8</f>
        <v>7887080</v>
      </c>
      <c r="H4" s="62"/>
      <c r="I4" s="62"/>
      <c r="J4" s="62"/>
      <c r="K4" s="33">
        <f t="shared" ref="K4:K9" si="0">J4</f>
        <v>0</v>
      </c>
      <c r="L4" s="68">
        <f>IF(K4&gt;0,K4*'SALICYLIC ACID'!$K$15,0)</f>
        <v>0</v>
      </c>
      <c r="M4" s="33">
        <f t="shared" ref="M4:M24" si="1">I4-L4</f>
        <v>0</v>
      </c>
      <c r="N4" s="33">
        <v>0</v>
      </c>
      <c r="O4" s="33">
        <f>(1+'SALICYLIC ACID'!$K$16)^-A4</f>
        <v>1</v>
      </c>
      <c r="P4" s="69">
        <f>N4*O4</f>
        <v>0</v>
      </c>
      <c r="Q4" s="72">
        <f>P4</f>
        <v>0</v>
      </c>
    </row>
    <row r="5" spans="1:17">
      <c r="A5" s="35">
        <v>1</v>
      </c>
      <c r="B5" s="33">
        <f>'SALICYLIC ACID'!$L$6</f>
        <v>1000</v>
      </c>
      <c r="C5" s="33">
        <f>'SALICYLIC ACID'!$L$7</f>
        <v>1970</v>
      </c>
      <c r="D5" s="33">
        <f t="shared" ref="D5:D24" si="2">B5*C5/10^6</f>
        <v>1.97</v>
      </c>
      <c r="E5" s="64">
        <f>'SALICYLIC ACID'!$F$17/10^6</f>
        <v>0.51125</v>
      </c>
      <c r="F5" s="64">
        <f t="shared" ref="F5:F24" si="3">D5-E5</f>
        <v>1.45875</v>
      </c>
      <c r="G5" s="33"/>
      <c r="H5" s="64">
        <f>'SALICYLIC ACID'!$F$8/'SALICYLIC ACID'!$K$12/10^6</f>
        <v>1.97177</v>
      </c>
      <c r="I5" s="64">
        <f t="shared" ref="I5:I24" si="4">F5-H5</f>
        <v>-0.51302</v>
      </c>
      <c r="J5" s="64">
        <f>I5</f>
        <v>-0.51302</v>
      </c>
      <c r="K5" s="64">
        <f t="shared" si="0"/>
        <v>-0.51302</v>
      </c>
      <c r="L5" s="68">
        <f>IF(K5&gt;0,K5*'SALICYLIC ACID'!$K$15,0)</f>
        <v>0</v>
      </c>
      <c r="M5" s="64">
        <f t="shared" si="1"/>
        <v>-0.51302</v>
      </c>
      <c r="N5" s="64">
        <f t="shared" ref="N5:N24" si="5">N4+M5</f>
        <v>-0.51302</v>
      </c>
      <c r="O5" s="64">
        <f>(1+'SALICYLIC ACID'!$K$16)^-A5</f>
        <v>0.909090909090909</v>
      </c>
      <c r="P5" s="70">
        <f t="shared" ref="P5:P24" si="6">M5*O5</f>
        <v>-0.466381818181818</v>
      </c>
      <c r="Q5" s="73">
        <f t="shared" ref="Q5:Q24" si="7">Q4+P5</f>
        <v>-0.466381818181818</v>
      </c>
    </row>
    <row r="6" spans="1:17">
      <c r="A6" s="60">
        <v>2</v>
      </c>
      <c r="B6" s="33">
        <f>'SALICYLIC ACID'!$L$6</f>
        <v>1000</v>
      </c>
      <c r="C6" s="33">
        <f>$C$5</f>
        <v>1970</v>
      </c>
      <c r="D6" s="33">
        <f t="shared" si="2"/>
        <v>1.97</v>
      </c>
      <c r="E6" s="64">
        <f>'SALICYLIC ACID'!$F$17/10^6</f>
        <v>0.51125</v>
      </c>
      <c r="F6" s="64">
        <f t="shared" si="3"/>
        <v>1.45875</v>
      </c>
      <c r="G6" s="33"/>
      <c r="H6" s="64">
        <f>'SALICYLIC ACID'!$F$8/'SALICYLIC ACID'!$K$12/10^6</f>
        <v>1.97177</v>
      </c>
      <c r="I6" s="64">
        <f t="shared" si="4"/>
        <v>-0.51302</v>
      </c>
      <c r="J6" s="64">
        <f t="shared" ref="J6:J24" si="8">IF((J5+I6)&lt;0,(J5+I6),0)</f>
        <v>-1.02604</v>
      </c>
      <c r="K6" s="64">
        <f t="shared" si="0"/>
        <v>-1.02604</v>
      </c>
      <c r="L6" s="68">
        <f>IF(K6&gt;0,K6*'SALICYLIC ACID'!$K$15,0)</f>
        <v>0</v>
      </c>
      <c r="M6" s="64">
        <f t="shared" si="1"/>
        <v>-0.51302</v>
      </c>
      <c r="N6" s="64">
        <f t="shared" si="5"/>
        <v>-1.02604</v>
      </c>
      <c r="O6" s="64">
        <f>(1+'SALICYLIC ACID'!$K$16)^-A6</f>
        <v>0.826446280991735</v>
      </c>
      <c r="P6" s="70">
        <f t="shared" si="6"/>
        <v>-0.42398347107438</v>
      </c>
      <c r="Q6" s="73">
        <f t="shared" si="7"/>
        <v>-0.890365289256198</v>
      </c>
    </row>
    <row r="7" spans="1:17">
      <c r="A7" s="35">
        <v>3</v>
      </c>
      <c r="B7" s="33">
        <f>'SALICYLIC ACID'!$L$6</f>
        <v>1000</v>
      </c>
      <c r="C7" s="33">
        <f>$C$5</f>
        <v>1970</v>
      </c>
      <c r="D7" s="33">
        <f t="shared" si="2"/>
        <v>1.97</v>
      </c>
      <c r="E7" s="64">
        <f>'SALICYLIC ACID'!$F$17/10^6</f>
        <v>0.51125</v>
      </c>
      <c r="F7" s="64">
        <f t="shared" si="3"/>
        <v>1.45875</v>
      </c>
      <c r="G7" s="33"/>
      <c r="H7" s="64">
        <f>'SALICYLIC ACID'!$F$8/'SALICYLIC ACID'!$K$12/10^6</f>
        <v>1.97177</v>
      </c>
      <c r="I7" s="64">
        <f t="shared" si="4"/>
        <v>-0.51302</v>
      </c>
      <c r="J7" s="64">
        <f t="shared" si="8"/>
        <v>-1.53906</v>
      </c>
      <c r="K7" s="64">
        <f t="shared" si="0"/>
        <v>-1.53906</v>
      </c>
      <c r="L7" s="68">
        <f>IF(K7&gt;0,K7*'SALICYLIC ACID'!$K$15,0)</f>
        <v>0</v>
      </c>
      <c r="M7" s="64">
        <f t="shared" si="1"/>
        <v>-0.51302</v>
      </c>
      <c r="N7" s="64">
        <f t="shared" si="5"/>
        <v>-1.53906</v>
      </c>
      <c r="O7" s="64">
        <f>(1+'SALICYLIC ACID'!$K$16)^-A7</f>
        <v>0.751314800901578</v>
      </c>
      <c r="P7" s="70">
        <f t="shared" si="6"/>
        <v>-0.385439519158528</v>
      </c>
      <c r="Q7" s="73">
        <f t="shared" si="7"/>
        <v>-1.27580480841473</v>
      </c>
    </row>
    <row r="8" spans="1:17">
      <c r="A8" s="60">
        <v>4</v>
      </c>
      <c r="B8" s="33">
        <f>'SALICYLIC ACID'!$L$6</f>
        <v>1000</v>
      </c>
      <c r="C8" s="33">
        <f>$C$5</f>
        <v>1970</v>
      </c>
      <c r="D8" s="33">
        <f t="shared" si="2"/>
        <v>1.97</v>
      </c>
      <c r="E8" s="64">
        <f>'SALICYLIC ACID'!$F$17/10^6</f>
        <v>0.51125</v>
      </c>
      <c r="F8" s="64">
        <f t="shared" si="3"/>
        <v>1.45875</v>
      </c>
      <c r="G8" s="33"/>
      <c r="H8" s="64">
        <f>'SALICYLIC ACID'!$F$8/'SALICYLIC ACID'!$K$12/10^6</f>
        <v>1.97177</v>
      </c>
      <c r="I8" s="64">
        <f t="shared" si="4"/>
        <v>-0.51302</v>
      </c>
      <c r="J8" s="64">
        <f t="shared" si="8"/>
        <v>-2.05208</v>
      </c>
      <c r="K8" s="64">
        <f t="shared" si="0"/>
        <v>-2.05208</v>
      </c>
      <c r="L8" s="68">
        <f>IF(K8&gt;0,K8*'SALICYLIC ACID'!$K$15,0)</f>
        <v>0</v>
      </c>
      <c r="M8" s="64">
        <f t="shared" si="1"/>
        <v>-0.51302</v>
      </c>
      <c r="N8" s="64">
        <f t="shared" si="5"/>
        <v>-2.05208</v>
      </c>
      <c r="O8" s="64">
        <f>(1+'SALICYLIC ACID'!$K$16)^-A8</f>
        <v>0.683013455365071</v>
      </c>
      <c r="P8" s="70">
        <f t="shared" si="6"/>
        <v>-0.350399562871389</v>
      </c>
      <c r="Q8" s="73">
        <f t="shared" si="7"/>
        <v>-1.62620437128611</v>
      </c>
    </row>
    <row r="9" spans="1:17">
      <c r="A9" s="35">
        <v>5</v>
      </c>
      <c r="B9" s="33">
        <f>'SALICYLIC ACID'!$L$6</f>
        <v>1000</v>
      </c>
      <c r="C9" s="33">
        <f>$C$5</f>
        <v>1970</v>
      </c>
      <c r="D9" s="33">
        <f t="shared" si="2"/>
        <v>1.97</v>
      </c>
      <c r="E9" s="64">
        <f>'SALICYLIC ACID'!$F$17/10^6</f>
        <v>0.51125</v>
      </c>
      <c r="F9" s="64">
        <f t="shared" si="3"/>
        <v>1.45875</v>
      </c>
      <c r="G9" s="33"/>
      <c r="H9" s="33"/>
      <c r="I9" s="64">
        <f t="shared" si="4"/>
        <v>1.45875</v>
      </c>
      <c r="J9" s="64">
        <f t="shared" si="8"/>
        <v>-0.59333</v>
      </c>
      <c r="K9" s="64">
        <f t="shared" si="0"/>
        <v>-0.59333</v>
      </c>
      <c r="L9" s="68">
        <f>IF(K9&gt;0,K9*'SALICYLIC ACID'!$K$15,0)</f>
        <v>0</v>
      </c>
      <c r="M9" s="64">
        <f t="shared" si="1"/>
        <v>1.45875</v>
      </c>
      <c r="N9" s="64">
        <f t="shared" si="5"/>
        <v>-0.59333</v>
      </c>
      <c r="O9" s="64">
        <f>(1+'SALICYLIC ACID'!$K$16)^-A9</f>
        <v>0.620921323059155</v>
      </c>
      <c r="P9" s="70">
        <f t="shared" si="6"/>
        <v>0.905768980012542</v>
      </c>
      <c r="Q9" s="73">
        <f t="shared" si="7"/>
        <v>-0.720435391273572</v>
      </c>
    </row>
    <row r="10" spans="1:17">
      <c r="A10" s="60">
        <v>6</v>
      </c>
      <c r="B10" s="33">
        <f>'SALICYLIC ACID'!$L$6</f>
        <v>1000</v>
      </c>
      <c r="C10" s="33">
        <f>$C$5</f>
        <v>1970</v>
      </c>
      <c r="D10" s="33">
        <f t="shared" si="2"/>
        <v>1.97</v>
      </c>
      <c r="E10" s="64">
        <f>'SALICYLIC ACID'!$F$17/10^6</f>
        <v>0.51125</v>
      </c>
      <c r="F10" s="64">
        <f t="shared" si="3"/>
        <v>1.45875</v>
      </c>
      <c r="G10" s="33"/>
      <c r="H10" s="33"/>
      <c r="I10" s="64">
        <f t="shared" si="4"/>
        <v>1.45875</v>
      </c>
      <c r="J10" s="33">
        <f t="shared" si="8"/>
        <v>0</v>
      </c>
      <c r="K10" s="64">
        <f t="shared" ref="K10:K24" si="9">I10</f>
        <v>1.45875</v>
      </c>
      <c r="L10" s="71">
        <f>IF(K10&gt;0,K10*'SALICYLIC ACID'!$K$15,0)</f>
        <v>0.29175</v>
      </c>
      <c r="M10" s="64">
        <f t="shared" si="1"/>
        <v>1.167</v>
      </c>
      <c r="N10" s="64">
        <f t="shared" si="5"/>
        <v>0.57367</v>
      </c>
      <c r="O10" s="64">
        <f>(1+'SALICYLIC ACID'!$K$16)^-A10</f>
        <v>0.564473930053777</v>
      </c>
      <c r="P10" s="70">
        <f t="shared" si="6"/>
        <v>0.658741076372758</v>
      </c>
      <c r="Q10" s="73">
        <f t="shared" si="7"/>
        <v>-0.0616943149008141</v>
      </c>
    </row>
    <row r="11" spans="1:17">
      <c r="A11" s="35">
        <v>7</v>
      </c>
      <c r="B11" s="33">
        <f>'SALICYLIC ACID'!$L$6</f>
        <v>1000</v>
      </c>
      <c r="C11" s="33">
        <f>$C$5</f>
        <v>1970</v>
      </c>
      <c r="D11" s="33">
        <f t="shared" si="2"/>
        <v>1.97</v>
      </c>
      <c r="E11" s="64">
        <f>'SALICYLIC ACID'!$F$17/10^6</f>
        <v>0.51125</v>
      </c>
      <c r="F11" s="64">
        <f t="shared" si="3"/>
        <v>1.45875</v>
      </c>
      <c r="G11" s="33"/>
      <c r="H11" s="33"/>
      <c r="I11" s="64">
        <f t="shared" si="4"/>
        <v>1.45875</v>
      </c>
      <c r="J11" s="33">
        <f t="shared" si="8"/>
        <v>0</v>
      </c>
      <c r="K11" s="64">
        <f t="shared" si="9"/>
        <v>1.45875</v>
      </c>
      <c r="L11" s="71">
        <f>IF(K11&gt;0,K11*'SALICYLIC ACID'!$K$15,0)</f>
        <v>0.29175</v>
      </c>
      <c r="M11" s="64">
        <f t="shared" si="1"/>
        <v>1.167</v>
      </c>
      <c r="N11" s="64">
        <f t="shared" si="5"/>
        <v>1.74067</v>
      </c>
      <c r="O11" s="64">
        <f>(1+'SALICYLIC ACID'!$K$16)^-A11</f>
        <v>0.513158118230706</v>
      </c>
      <c r="P11" s="70">
        <f t="shared" si="6"/>
        <v>0.598855523975234</v>
      </c>
      <c r="Q11" s="73">
        <f t="shared" si="7"/>
        <v>0.53716120907442</v>
      </c>
    </row>
    <row r="12" spans="1:17">
      <c r="A12" s="60">
        <v>8</v>
      </c>
      <c r="B12" s="33">
        <f>'SALICYLIC ACID'!$L$6</f>
        <v>1000</v>
      </c>
      <c r="C12" s="33">
        <f>$C$5</f>
        <v>1970</v>
      </c>
      <c r="D12" s="33">
        <f t="shared" si="2"/>
        <v>1.97</v>
      </c>
      <c r="E12" s="64">
        <f>'SALICYLIC ACID'!$F$17/10^6</f>
        <v>0.51125</v>
      </c>
      <c r="F12" s="64">
        <f t="shared" si="3"/>
        <v>1.45875</v>
      </c>
      <c r="G12" s="33"/>
      <c r="H12" s="33"/>
      <c r="I12" s="64">
        <f t="shared" si="4"/>
        <v>1.45875</v>
      </c>
      <c r="J12" s="33">
        <f t="shared" si="8"/>
        <v>0</v>
      </c>
      <c r="K12" s="64">
        <f t="shared" si="9"/>
        <v>1.45875</v>
      </c>
      <c r="L12" s="71">
        <f>IF(K12&gt;0,K12*'SALICYLIC ACID'!$K$15,0)</f>
        <v>0.29175</v>
      </c>
      <c r="M12" s="64">
        <f t="shared" si="1"/>
        <v>1.167</v>
      </c>
      <c r="N12" s="64">
        <f t="shared" si="5"/>
        <v>2.90767</v>
      </c>
      <c r="O12" s="64">
        <f>(1+'SALICYLIC ACID'!$K$16)^-A12</f>
        <v>0.466507380209733</v>
      </c>
      <c r="P12" s="70">
        <f t="shared" si="6"/>
        <v>0.544414112704758</v>
      </c>
      <c r="Q12" s="73">
        <f t="shared" si="7"/>
        <v>1.08157532177918</v>
      </c>
    </row>
    <row r="13" spans="1:17">
      <c r="A13" s="35">
        <v>9</v>
      </c>
      <c r="B13" s="33">
        <f>'SALICYLIC ACID'!$L$6</f>
        <v>1000</v>
      </c>
      <c r="C13" s="33">
        <f>$C$5</f>
        <v>1970</v>
      </c>
      <c r="D13" s="33">
        <f t="shared" si="2"/>
        <v>1.97</v>
      </c>
      <c r="E13" s="64">
        <f>'SALICYLIC ACID'!$F$17/10^6</f>
        <v>0.51125</v>
      </c>
      <c r="F13" s="64">
        <f t="shared" si="3"/>
        <v>1.45875</v>
      </c>
      <c r="G13" s="33"/>
      <c r="H13" s="33"/>
      <c r="I13" s="64">
        <f t="shared" si="4"/>
        <v>1.45875</v>
      </c>
      <c r="J13" s="33">
        <f t="shared" si="8"/>
        <v>0</v>
      </c>
      <c r="K13" s="64">
        <f t="shared" si="9"/>
        <v>1.45875</v>
      </c>
      <c r="L13" s="71">
        <f>IF(K13&gt;0,K13*'SALICYLIC ACID'!$K$15,0)</f>
        <v>0.29175</v>
      </c>
      <c r="M13" s="64">
        <f t="shared" si="1"/>
        <v>1.167</v>
      </c>
      <c r="N13" s="64">
        <f t="shared" si="5"/>
        <v>4.07467</v>
      </c>
      <c r="O13" s="64">
        <f>(1+'SALICYLIC ACID'!$K$16)^-A13</f>
        <v>0.424097618372485</v>
      </c>
      <c r="P13" s="70">
        <f t="shared" si="6"/>
        <v>0.49492192064069</v>
      </c>
      <c r="Q13" s="73">
        <f t="shared" si="7"/>
        <v>1.57649724241987</v>
      </c>
    </row>
    <row r="14" spans="1:17">
      <c r="A14" s="60">
        <v>10</v>
      </c>
      <c r="B14" s="33">
        <f>'SALICYLIC ACID'!$L$6</f>
        <v>1000</v>
      </c>
      <c r="C14" s="33">
        <f>$C$5</f>
        <v>1970</v>
      </c>
      <c r="D14" s="33">
        <f t="shared" si="2"/>
        <v>1.97</v>
      </c>
      <c r="E14" s="64">
        <f>'SALICYLIC ACID'!$F$17/10^6</f>
        <v>0.51125</v>
      </c>
      <c r="F14" s="64">
        <f t="shared" si="3"/>
        <v>1.45875</v>
      </c>
      <c r="G14" s="33"/>
      <c r="H14" s="33"/>
      <c r="I14" s="64">
        <f t="shared" si="4"/>
        <v>1.45875</v>
      </c>
      <c r="J14" s="33">
        <f t="shared" si="8"/>
        <v>0</v>
      </c>
      <c r="K14" s="64">
        <f t="shared" si="9"/>
        <v>1.45875</v>
      </c>
      <c r="L14" s="71">
        <f>IF(K14&gt;0,K14*'SALICYLIC ACID'!$K$15,0)</f>
        <v>0.29175</v>
      </c>
      <c r="M14" s="64">
        <f t="shared" si="1"/>
        <v>1.167</v>
      </c>
      <c r="N14" s="64">
        <f t="shared" si="5"/>
        <v>5.24167</v>
      </c>
      <c r="O14" s="64">
        <f>(1+'SALICYLIC ACID'!$K$16)^-A14</f>
        <v>0.385543289429531</v>
      </c>
      <c r="P14" s="70">
        <f t="shared" si="6"/>
        <v>0.449929018764263</v>
      </c>
      <c r="Q14" s="73">
        <f t="shared" si="7"/>
        <v>2.02642626118413</v>
      </c>
    </row>
    <row r="15" spans="1:17">
      <c r="A15" s="35">
        <v>11</v>
      </c>
      <c r="B15" s="33">
        <f>'SALICYLIC ACID'!$L$6</f>
        <v>1000</v>
      </c>
      <c r="C15" s="33">
        <f>$C$5</f>
        <v>1970</v>
      </c>
      <c r="D15" s="33">
        <f t="shared" si="2"/>
        <v>1.97</v>
      </c>
      <c r="E15" s="64">
        <f>'SALICYLIC ACID'!$F$17/10^6</f>
        <v>0.51125</v>
      </c>
      <c r="F15" s="64">
        <f t="shared" si="3"/>
        <v>1.45875</v>
      </c>
      <c r="G15" s="33"/>
      <c r="H15" s="33"/>
      <c r="I15" s="64">
        <f t="shared" si="4"/>
        <v>1.45875</v>
      </c>
      <c r="J15" s="33">
        <f t="shared" si="8"/>
        <v>0</v>
      </c>
      <c r="K15" s="64">
        <f t="shared" si="9"/>
        <v>1.45875</v>
      </c>
      <c r="L15" s="71">
        <f>IF(K15&gt;0,K15*'SALICYLIC ACID'!$K$15,0)</f>
        <v>0.29175</v>
      </c>
      <c r="M15" s="64">
        <f t="shared" si="1"/>
        <v>1.167</v>
      </c>
      <c r="N15" s="64">
        <f t="shared" si="5"/>
        <v>6.40867</v>
      </c>
      <c r="O15" s="64">
        <f>(1+'SALICYLIC ACID'!$K$16)^-A15</f>
        <v>0.350493899481392</v>
      </c>
      <c r="P15" s="70">
        <f t="shared" si="6"/>
        <v>0.409026380694784</v>
      </c>
      <c r="Q15" s="73">
        <f t="shared" si="7"/>
        <v>2.43545264187892</v>
      </c>
    </row>
    <row r="16" spans="1:20">
      <c r="A16" s="60">
        <v>12</v>
      </c>
      <c r="B16" s="33">
        <f>'SALICYLIC ACID'!$L$6</f>
        <v>1000</v>
      </c>
      <c r="C16" s="33">
        <f>$C$5</f>
        <v>1970</v>
      </c>
      <c r="D16" s="33">
        <f t="shared" si="2"/>
        <v>1.97</v>
      </c>
      <c r="E16" s="64">
        <f>'SALICYLIC ACID'!$F$17/10^6</f>
        <v>0.51125</v>
      </c>
      <c r="F16" s="64">
        <f t="shared" si="3"/>
        <v>1.45875</v>
      </c>
      <c r="G16" s="33"/>
      <c r="H16" s="33"/>
      <c r="I16" s="64">
        <f t="shared" si="4"/>
        <v>1.45875</v>
      </c>
      <c r="J16" s="33">
        <f t="shared" si="8"/>
        <v>0</v>
      </c>
      <c r="K16" s="64">
        <f t="shared" si="9"/>
        <v>1.45875</v>
      </c>
      <c r="L16" s="71">
        <f>IF(K16&gt;0,K16*'SALICYLIC ACID'!$K$15,0)</f>
        <v>0.29175</v>
      </c>
      <c r="M16" s="64">
        <f t="shared" si="1"/>
        <v>1.167</v>
      </c>
      <c r="N16" s="64">
        <f t="shared" si="5"/>
        <v>7.57567</v>
      </c>
      <c r="O16" s="64">
        <f>(1+'SALICYLIC ACID'!$K$16)^-A16</f>
        <v>0.318630817710357</v>
      </c>
      <c r="P16" s="70">
        <f t="shared" si="6"/>
        <v>0.371842164267987</v>
      </c>
      <c r="Q16" s="73">
        <f t="shared" si="7"/>
        <v>2.8072948061469</v>
      </c>
      <c r="T16" s="74">
        <f>IRR(M5:M24)</f>
        <v>0.358708237039292</v>
      </c>
    </row>
    <row r="17" spans="1:17">
      <c r="A17" s="35">
        <v>13</v>
      </c>
      <c r="B17" s="33">
        <f>'SALICYLIC ACID'!$L$6</f>
        <v>1000</v>
      </c>
      <c r="C17" s="33">
        <f>$C$5</f>
        <v>1970</v>
      </c>
      <c r="D17" s="33">
        <f t="shared" si="2"/>
        <v>1.97</v>
      </c>
      <c r="E17" s="64">
        <f>'SALICYLIC ACID'!$F$17/10^6</f>
        <v>0.51125</v>
      </c>
      <c r="F17" s="64">
        <f t="shared" si="3"/>
        <v>1.45875</v>
      </c>
      <c r="G17" s="33"/>
      <c r="H17" s="33"/>
      <c r="I17" s="64">
        <f t="shared" si="4"/>
        <v>1.45875</v>
      </c>
      <c r="J17" s="33">
        <f t="shared" si="8"/>
        <v>0</v>
      </c>
      <c r="K17" s="64">
        <f t="shared" si="9"/>
        <v>1.45875</v>
      </c>
      <c r="L17" s="71">
        <f>IF(K17&gt;0,K17*'SALICYLIC ACID'!$K$15,0)</f>
        <v>0.29175</v>
      </c>
      <c r="M17" s="64">
        <f t="shared" si="1"/>
        <v>1.167</v>
      </c>
      <c r="N17" s="64">
        <f t="shared" si="5"/>
        <v>8.74267</v>
      </c>
      <c r="O17" s="64">
        <f>(1+'SALICYLIC ACID'!$K$16)^-A17</f>
        <v>0.289664379736688</v>
      </c>
      <c r="P17" s="70">
        <f t="shared" si="6"/>
        <v>0.338038331152715</v>
      </c>
      <c r="Q17" s="73">
        <f t="shared" si="7"/>
        <v>3.14533313729962</v>
      </c>
    </row>
    <row r="18" spans="1:17">
      <c r="A18" s="60">
        <v>14</v>
      </c>
      <c r="B18" s="33">
        <f>'SALICYLIC ACID'!$L$6</f>
        <v>1000</v>
      </c>
      <c r="C18" s="33">
        <f>$C$5</f>
        <v>1970</v>
      </c>
      <c r="D18" s="33">
        <f t="shared" si="2"/>
        <v>1.97</v>
      </c>
      <c r="E18" s="64">
        <f>'SALICYLIC ACID'!$F$17/10^6</f>
        <v>0.51125</v>
      </c>
      <c r="F18" s="64">
        <f t="shared" si="3"/>
        <v>1.45875</v>
      </c>
      <c r="G18" s="33"/>
      <c r="H18" s="33"/>
      <c r="I18" s="64">
        <f t="shared" si="4"/>
        <v>1.45875</v>
      </c>
      <c r="J18" s="33">
        <f t="shared" si="8"/>
        <v>0</v>
      </c>
      <c r="K18" s="64">
        <f t="shared" si="9"/>
        <v>1.45875</v>
      </c>
      <c r="L18" s="71">
        <f>IF(K18&gt;0,K18*'SALICYLIC ACID'!$K$15,0)</f>
        <v>0.29175</v>
      </c>
      <c r="M18" s="64">
        <f t="shared" si="1"/>
        <v>1.167</v>
      </c>
      <c r="N18" s="64">
        <f t="shared" si="5"/>
        <v>9.90967</v>
      </c>
      <c r="O18" s="64">
        <f>(1+'SALICYLIC ACID'!$K$16)^-A18</f>
        <v>0.26333125430608</v>
      </c>
      <c r="P18" s="70">
        <f t="shared" si="6"/>
        <v>0.307307573775195</v>
      </c>
      <c r="Q18" s="73">
        <f t="shared" si="7"/>
        <v>3.45264071107481</v>
      </c>
    </row>
    <row r="19" spans="1:17">
      <c r="A19" s="35">
        <v>15</v>
      </c>
      <c r="B19" s="33">
        <f>'SALICYLIC ACID'!$L$6</f>
        <v>1000</v>
      </c>
      <c r="C19" s="33">
        <f>$C$5</f>
        <v>1970</v>
      </c>
      <c r="D19" s="33">
        <f t="shared" si="2"/>
        <v>1.97</v>
      </c>
      <c r="E19" s="64">
        <f>'SALICYLIC ACID'!$F$17/10^6</f>
        <v>0.51125</v>
      </c>
      <c r="F19" s="64">
        <f t="shared" si="3"/>
        <v>1.45875</v>
      </c>
      <c r="G19" s="33"/>
      <c r="H19" s="33"/>
      <c r="I19" s="64">
        <f t="shared" si="4"/>
        <v>1.45875</v>
      </c>
      <c r="J19" s="33">
        <f t="shared" si="8"/>
        <v>0</v>
      </c>
      <c r="K19" s="64">
        <f t="shared" si="9"/>
        <v>1.45875</v>
      </c>
      <c r="L19" s="71">
        <f>IF(K19&gt;0,K19*'SALICYLIC ACID'!$K$15,0)</f>
        <v>0.29175</v>
      </c>
      <c r="M19" s="64">
        <f t="shared" si="1"/>
        <v>1.167</v>
      </c>
      <c r="N19" s="64">
        <f t="shared" si="5"/>
        <v>11.07667</v>
      </c>
      <c r="O19" s="64">
        <f>(1+'SALICYLIC ACID'!$K$16)^-A19</f>
        <v>0.239392049369163</v>
      </c>
      <c r="P19" s="70">
        <f t="shared" si="6"/>
        <v>0.279370521613813</v>
      </c>
      <c r="Q19" s="73">
        <f t="shared" si="7"/>
        <v>3.73201123268863</v>
      </c>
    </row>
    <row r="20" spans="1:17">
      <c r="A20" s="60">
        <v>16</v>
      </c>
      <c r="B20" s="33">
        <f>'SALICYLIC ACID'!$L$6</f>
        <v>1000</v>
      </c>
      <c r="C20" s="33">
        <f>$C$5</f>
        <v>1970</v>
      </c>
      <c r="D20" s="33">
        <f t="shared" si="2"/>
        <v>1.97</v>
      </c>
      <c r="E20" s="64">
        <f>'SALICYLIC ACID'!$F$17/10^6</f>
        <v>0.51125</v>
      </c>
      <c r="F20" s="64">
        <f t="shared" si="3"/>
        <v>1.45875</v>
      </c>
      <c r="G20" s="33"/>
      <c r="H20" s="33"/>
      <c r="I20" s="64">
        <f t="shared" si="4"/>
        <v>1.45875</v>
      </c>
      <c r="J20" s="33">
        <f t="shared" si="8"/>
        <v>0</v>
      </c>
      <c r="K20" s="64">
        <f t="shared" si="9"/>
        <v>1.45875</v>
      </c>
      <c r="L20" s="71">
        <f>IF(K20&gt;0,K20*'SALICYLIC ACID'!$K$15,0)</f>
        <v>0.29175</v>
      </c>
      <c r="M20" s="64">
        <f t="shared" si="1"/>
        <v>1.167</v>
      </c>
      <c r="N20" s="64">
        <f t="shared" si="5"/>
        <v>12.24367</v>
      </c>
      <c r="O20" s="64">
        <f>(1+'SALICYLIC ACID'!$K$16)^-A20</f>
        <v>0.217629135790149</v>
      </c>
      <c r="P20" s="70">
        <f t="shared" si="6"/>
        <v>0.253973201467104</v>
      </c>
      <c r="Q20" s="73">
        <f t="shared" si="7"/>
        <v>3.98598443415573</v>
      </c>
    </row>
    <row r="21" spans="1:17">
      <c r="A21" s="35">
        <v>17</v>
      </c>
      <c r="B21" s="33">
        <f>'SALICYLIC ACID'!$L$6</f>
        <v>1000</v>
      </c>
      <c r="C21" s="33">
        <f>$C$5</f>
        <v>1970</v>
      </c>
      <c r="D21" s="33">
        <f t="shared" si="2"/>
        <v>1.97</v>
      </c>
      <c r="E21" s="64">
        <f>'SALICYLIC ACID'!$F$17/10^6</f>
        <v>0.51125</v>
      </c>
      <c r="F21" s="64">
        <f t="shared" si="3"/>
        <v>1.45875</v>
      </c>
      <c r="G21" s="33"/>
      <c r="H21" s="33"/>
      <c r="I21" s="64">
        <f t="shared" si="4"/>
        <v>1.45875</v>
      </c>
      <c r="J21" s="33">
        <f t="shared" si="8"/>
        <v>0</v>
      </c>
      <c r="K21" s="64">
        <f t="shared" si="9"/>
        <v>1.45875</v>
      </c>
      <c r="L21" s="71">
        <f>IF(K21&gt;0,K21*'SALICYLIC ACID'!$K$15,0)</f>
        <v>0.29175</v>
      </c>
      <c r="M21" s="64">
        <f t="shared" si="1"/>
        <v>1.167</v>
      </c>
      <c r="N21" s="64">
        <f t="shared" si="5"/>
        <v>13.41067</v>
      </c>
      <c r="O21" s="64">
        <f>(1+'SALICYLIC ACID'!$K$16)^-A21</f>
        <v>0.197844668900135</v>
      </c>
      <c r="P21" s="70">
        <f t="shared" si="6"/>
        <v>0.230884728606458</v>
      </c>
      <c r="Q21" s="73">
        <f t="shared" si="7"/>
        <v>4.21686916276219</v>
      </c>
    </row>
    <row r="22" spans="1:17">
      <c r="A22" s="60">
        <v>18</v>
      </c>
      <c r="B22" s="33">
        <f>'SALICYLIC ACID'!$L$6</f>
        <v>1000</v>
      </c>
      <c r="C22" s="33">
        <f>$C$5</f>
        <v>1970</v>
      </c>
      <c r="D22" s="33">
        <f t="shared" si="2"/>
        <v>1.97</v>
      </c>
      <c r="E22" s="64">
        <f>'SALICYLIC ACID'!$F$17/10^6</f>
        <v>0.51125</v>
      </c>
      <c r="F22" s="64">
        <f t="shared" si="3"/>
        <v>1.45875</v>
      </c>
      <c r="G22" s="33"/>
      <c r="H22" s="33"/>
      <c r="I22" s="64">
        <f t="shared" si="4"/>
        <v>1.45875</v>
      </c>
      <c r="J22" s="33">
        <f t="shared" si="8"/>
        <v>0</v>
      </c>
      <c r="K22" s="64">
        <f t="shared" si="9"/>
        <v>1.45875</v>
      </c>
      <c r="L22" s="71">
        <f>IF(K22&gt;0,K22*'SALICYLIC ACID'!$K$15,0)</f>
        <v>0.29175</v>
      </c>
      <c r="M22" s="64">
        <f t="shared" si="1"/>
        <v>1.167</v>
      </c>
      <c r="N22" s="64">
        <f t="shared" si="5"/>
        <v>14.57767</v>
      </c>
      <c r="O22" s="64">
        <f>(1+'SALICYLIC ACID'!$K$16)^-A22</f>
        <v>0.179858789909214</v>
      </c>
      <c r="P22" s="70">
        <f t="shared" si="6"/>
        <v>0.209895207824053</v>
      </c>
      <c r="Q22" s="73">
        <f t="shared" si="7"/>
        <v>4.42676437058624</v>
      </c>
    </row>
    <row r="23" spans="1:17">
      <c r="A23" s="35">
        <v>19</v>
      </c>
      <c r="B23" s="33">
        <f>'SALICYLIC ACID'!$L$6</f>
        <v>1000</v>
      </c>
      <c r="C23" s="33">
        <f>$C$5</f>
        <v>1970</v>
      </c>
      <c r="D23" s="33">
        <f t="shared" si="2"/>
        <v>1.97</v>
      </c>
      <c r="E23" s="64">
        <f>'SALICYLIC ACID'!$F$17/10^6</f>
        <v>0.51125</v>
      </c>
      <c r="F23" s="64">
        <f t="shared" si="3"/>
        <v>1.45875</v>
      </c>
      <c r="G23" s="33"/>
      <c r="H23" s="33"/>
      <c r="I23" s="64">
        <f t="shared" si="4"/>
        <v>1.45875</v>
      </c>
      <c r="J23" s="33">
        <f t="shared" si="8"/>
        <v>0</v>
      </c>
      <c r="K23" s="64">
        <f t="shared" si="9"/>
        <v>1.45875</v>
      </c>
      <c r="L23" s="71">
        <f>IF(K23&gt;0,K23*'SALICYLIC ACID'!$K$15,0)</f>
        <v>0.29175</v>
      </c>
      <c r="M23" s="64">
        <f t="shared" si="1"/>
        <v>1.167</v>
      </c>
      <c r="N23" s="64">
        <f t="shared" si="5"/>
        <v>15.74467</v>
      </c>
      <c r="O23" s="64">
        <f>(1+'SALICYLIC ACID'!$K$16)^-A23</f>
        <v>0.163507990826558</v>
      </c>
      <c r="P23" s="70">
        <f t="shared" si="6"/>
        <v>0.190813825294593</v>
      </c>
      <c r="Q23" s="73">
        <f t="shared" si="7"/>
        <v>4.61757819588083</v>
      </c>
    </row>
    <row r="24" spans="1:17">
      <c r="A24" s="60">
        <v>20</v>
      </c>
      <c r="B24" s="33">
        <f>'SALICYLIC ACID'!$L$6</f>
        <v>1000</v>
      </c>
      <c r="C24" s="33">
        <f>$C$5</f>
        <v>1970</v>
      </c>
      <c r="D24" s="33">
        <f t="shared" si="2"/>
        <v>1.97</v>
      </c>
      <c r="E24" s="64">
        <f>'SALICYLIC ACID'!$F$17/10^6</f>
        <v>0.51125</v>
      </c>
      <c r="F24" s="64">
        <f t="shared" si="3"/>
        <v>1.45875</v>
      </c>
      <c r="G24" s="33"/>
      <c r="H24" s="33"/>
      <c r="I24" s="64">
        <f t="shared" si="4"/>
        <v>1.45875</v>
      </c>
      <c r="J24" s="33">
        <f t="shared" si="8"/>
        <v>0</v>
      </c>
      <c r="K24" s="64">
        <f t="shared" si="9"/>
        <v>1.45875</v>
      </c>
      <c r="L24" s="71">
        <f>IF(K24&gt;0,K24*'SALICYLIC ACID'!$K$15,0)</f>
        <v>0.29175</v>
      </c>
      <c r="M24" s="64">
        <f t="shared" si="1"/>
        <v>1.167</v>
      </c>
      <c r="N24" s="64">
        <f t="shared" si="5"/>
        <v>16.91167</v>
      </c>
      <c r="O24" s="64">
        <f>(1+'SALICYLIC ACID'!$K$16)^-A24</f>
        <v>0.148643628024143</v>
      </c>
      <c r="P24" s="70">
        <f t="shared" si="6"/>
        <v>0.173467113904175</v>
      </c>
      <c r="Q24" s="73">
        <f t="shared" si="7"/>
        <v>4.79104530978501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70">
        <f>SUM(P4:P24)</f>
        <v>4.79104530978501</v>
      </c>
      <c r="Q25" s="33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8"/>
  <sheetViews>
    <sheetView zoomScale="54" zoomScaleNormal="54" topLeftCell="A24" workbookViewId="0">
      <selection activeCell="A24" sqref="$A1:$XFD1048576"/>
    </sheetView>
  </sheetViews>
  <sheetFormatPr defaultColWidth="9.14285714285714" defaultRowHeight="15"/>
  <cols>
    <col min="3" max="3" width="14"/>
    <col min="7" max="8" width="11"/>
    <col min="15" max="15" width="11"/>
  </cols>
  <sheetData>
    <row r="1" ht="47.25" spans="1:6">
      <c r="A1" s="1" t="s">
        <v>114</v>
      </c>
      <c r="B1" s="2"/>
      <c r="C1" s="2"/>
      <c r="D1" s="2"/>
      <c r="E1" s="2"/>
      <c r="F1" s="2"/>
    </row>
    <row r="4" spans="1:2">
      <c r="A4" s="3" t="s">
        <v>52</v>
      </c>
      <c r="B4" s="4">
        <f>IRR('SALICYLIC ACID 2'!N4:N24)</f>
        <v>0.351363659286145</v>
      </c>
    </row>
    <row r="6" ht="30" spans="2:12">
      <c r="B6" s="5" t="s">
        <v>53</v>
      </c>
      <c r="C6" s="6">
        <f>'SALICYLIC ACID'!K16</f>
        <v>0.1</v>
      </c>
      <c r="D6" s="6">
        <f>D11</f>
        <v>0.15</v>
      </c>
      <c r="E6" s="6">
        <f>$D$18</f>
        <v>0.3</v>
      </c>
      <c r="F6" s="6">
        <f>D25</f>
        <v>0.45</v>
      </c>
      <c r="H6" s="8" t="s">
        <v>54</v>
      </c>
      <c r="I6" s="9">
        <f t="shared" ref="I6:L6" si="0">C7</f>
        <v>4.79104530978501</v>
      </c>
      <c r="J6" s="9">
        <f t="shared" si="0"/>
        <v>0</v>
      </c>
      <c r="K6" s="9">
        <f t="shared" si="0"/>
        <v>0</v>
      </c>
      <c r="L6" s="9">
        <f t="shared" si="0"/>
        <v>0</v>
      </c>
    </row>
    <row r="7" ht="30" spans="2:12">
      <c r="B7" s="8" t="s">
        <v>54</v>
      </c>
      <c r="C7" s="9">
        <f>'SALICYLIC ACID 2'!Q24</f>
        <v>4.79104530978501</v>
      </c>
      <c r="D7" s="9">
        <f>W15</f>
        <v>0</v>
      </c>
      <c r="E7" s="9">
        <f>W22</f>
        <v>0</v>
      </c>
      <c r="F7" s="9">
        <f>W29</f>
        <v>0</v>
      </c>
      <c r="H7" s="5" t="s">
        <v>24</v>
      </c>
      <c r="I7" s="6">
        <f t="shared" ref="I7:L7" si="1">C6</f>
        <v>0.1</v>
      </c>
      <c r="J7" s="6">
        <f t="shared" si="1"/>
        <v>0.15</v>
      </c>
      <c r="K7" s="6">
        <f t="shared" si="1"/>
        <v>0.3</v>
      </c>
      <c r="L7" s="6">
        <f t="shared" si="1"/>
        <v>0.45</v>
      </c>
    </row>
    <row r="11" spans="1:22">
      <c r="A11" s="11"/>
      <c r="B11" s="12" t="s">
        <v>55</v>
      </c>
      <c r="C11" s="8"/>
      <c r="D11" s="8">
        <f>'SALICYLIC ACID'!K16+5%</f>
        <v>0.15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13"/>
    </row>
    <row r="12" spans="1:22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</row>
    <row r="13" ht="60" spans="1:22">
      <c r="A13" s="11" t="s">
        <v>57</v>
      </c>
      <c r="B13" s="14">
        <f>'SALICYLIC ACID 2'!M4</f>
        <v>0</v>
      </c>
      <c r="C13" s="14">
        <f>'SALICYLIC ACID 2'!M5</f>
        <v>-0.51302</v>
      </c>
      <c r="D13" s="14">
        <f>'SALICYLIC ACID 2'!M6</f>
        <v>-0.51302</v>
      </c>
      <c r="E13" s="14">
        <f>'SALICYLIC ACID 2'!M7</f>
        <v>-0.51302</v>
      </c>
      <c r="F13" s="14">
        <f>'SALICYLIC ACID 2'!M8</f>
        <v>-0.51302</v>
      </c>
      <c r="G13" s="14">
        <f>'SALICYLIC ACID 2'!M9</f>
        <v>1.45875</v>
      </c>
      <c r="H13" s="14">
        <f>'SALICYLIC ACID 2'!M10</f>
        <v>1.167</v>
      </c>
      <c r="I13" s="14">
        <f>'SALICYLIC ACID 2'!M11</f>
        <v>1.167</v>
      </c>
      <c r="J13" s="14">
        <f>'SALICYLIC ACID 2'!M12</f>
        <v>1.167</v>
      </c>
      <c r="K13" s="14">
        <f>'SALICYLIC ACID 2'!M13</f>
        <v>1.167</v>
      </c>
      <c r="L13" s="14">
        <f>'SALICYLIC ACID 2'!M14</f>
        <v>1.167</v>
      </c>
      <c r="M13" s="14">
        <f>'SALICYLIC ACID 2'!M15</f>
        <v>1.167</v>
      </c>
      <c r="N13" s="14">
        <f>'SALICYLIC ACID 2'!M16</f>
        <v>1.167</v>
      </c>
      <c r="O13" s="14">
        <f>'SALICYLIC ACID 2'!M17</f>
        <v>1.167</v>
      </c>
      <c r="P13" s="14">
        <f>'SALICYLIC ACID 2'!M18</f>
        <v>1.167</v>
      </c>
      <c r="Q13" s="14">
        <f>'SALICYLIC ACID 2'!M19</f>
        <v>1.167</v>
      </c>
      <c r="R13" s="14">
        <f>'SALICYLIC ACID 2'!M20</f>
        <v>1.167</v>
      </c>
      <c r="S13" s="14">
        <f>'SALICYLIC ACID 2'!M21</f>
        <v>1.167</v>
      </c>
      <c r="T13" s="14">
        <f>'SALICYLIC ACID 2'!M22</f>
        <v>1.167</v>
      </c>
      <c r="U13" s="14">
        <f>'SALICYLIC ACID 2'!M23</f>
        <v>1.167</v>
      </c>
      <c r="V13" s="14">
        <f>'SALICYLIC ACID 2'!M24</f>
        <v>1.167</v>
      </c>
    </row>
    <row r="14" ht="30" spans="1:22">
      <c r="A14" s="11" t="s">
        <v>58</v>
      </c>
      <c r="B14" s="14">
        <f>(1+$D$11)^-B12</f>
        <v>1</v>
      </c>
      <c r="C14" s="14">
        <f>(1+$D$11)^-C12</f>
        <v>0.869565217391304</v>
      </c>
      <c r="D14" s="14">
        <f>(1+$D$11)^-D12</f>
        <v>0.756143667296787</v>
      </c>
      <c r="E14" s="14">
        <f>(1+$D$11)^-E12</f>
        <v>0.657516232431988</v>
      </c>
      <c r="F14" s="14">
        <f>(1+$D$11)^-F12</f>
        <v>0.571753245593033</v>
      </c>
      <c r="G14" s="14">
        <f>(1+$D$11)^-G12</f>
        <v>0.49717673529829</v>
      </c>
      <c r="H14" s="14">
        <f>(1+$D$11)^-H12</f>
        <v>0.432327595911557</v>
      </c>
      <c r="I14" s="14">
        <f>(1+$D$11)^-I12</f>
        <v>0.375937039923093</v>
      </c>
      <c r="J14" s="14">
        <f>(1+$D$11)^-J12</f>
        <v>0.326901773846168</v>
      </c>
      <c r="K14" s="14">
        <f>(1+$D$11)^-K12</f>
        <v>0.284262412040146</v>
      </c>
      <c r="L14" s="14">
        <f>(1+$D$11)^-L12</f>
        <v>0.247184706121866</v>
      </c>
      <c r="M14" s="14">
        <f>(1+$D$11)^-M12</f>
        <v>0.214943222714666</v>
      </c>
      <c r="N14" s="14">
        <f>(1+$D$11)^-N12</f>
        <v>0.186907150186666</v>
      </c>
      <c r="O14" s="14">
        <f>(1+$D$11)^-O12</f>
        <v>0.162527956684057</v>
      </c>
      <c r="P14" s="14">
        <f>(1+$D$11)^-P12</f>
        <v>0.141328657986137</v>
      </c>
      <c r="Q14" s="14">
        <f>(1+$D$11)^-Q12</f>
        <v>0.122894485205336</v>
      </c>
      <c r="R14" s="14">
        <f>(1+$D$11)^-R12</f>
        <v>0.106864769743771</v>
      </c>
      <c r="S14" s="14">
        <f>(1+$D$11)^-S12</f>
        <v>0.0929258867337138</v>
      </c>
      <c r="T14" s="14">
        <f>(1+$D$11)^-T12</f>
        <v>0.0808051188988816</v>
      </c>
      <c r="U14" s="14">
        <f>(1+$D$11)^-U12</f>
        <v>0.0702653207816362</v>
      </c>
      <c r="V14" s="14">
        <f>(1+$D$11)^-V12</f>
        <v>0.0611002789405532</v>
      </c>
    </row>
    <row r="15" ht="30" spans="1:22">
      <c r="A15" s="11" t="s">
        <v>59</v>
      </c>
      <c r="B15" s="15">
        <f t="shared" ref="B15:N15" si="2">B13*B14</f>
        <v>0</v>
      </c>
      <c r="C15" s="15">
        <f t="shared" si="2"/>
        <v>-0.446104347826087</v>
      </c>
      <c r="D15" s="15">
        <f t="shared" si="2"/>
        <v>-0.387916824196598</v>
      </c>
      <c r="E15" s="15">
        <f t="shared" si="2"/>
        <v>-0.337318977562258</v>
      </c>
      <c r="F15" s="15">
        <f t="shared" si="2"/>
        <v>-0.293320850054138</v>
      </c>
      <c r="G15" s="15">
        <f t="shared" si="2"/>
        <v>0.72525656261638</v>
      </c>
      <c r="H15" s="15">
        <f t="shared" si="2"/>
        <v>0.504526304428787</v>
      </c>
      <c r="I15" s="15">
        <f t="shared" si="2"/>
        <v>0.43871852559025</v>
      </c>
      <c r="J15" s="15">
        <f t="shared" si="2"/>
        <v>0.381494370078478</v>
      </c>
      <c r="K15" s="15">
        <f t="shared" si="2"/>
        <v>0.33173423485085</v>
      </c>
      <c r="L15" s="15">
        <f t="shared" si="2"/>
        <v>0.288464552044218</v>
      </c>
      <c r="M15" s="15">
        <f t="shared" si="2"/>
        <v>0.250838740908015</v>
      </c>
      <c r="N15" s="15">
        <f t="shared" si="2"/>
        <v>0.218120644267839</v>
      </c>
      <c r="O15" s="15">
        <f t="shared" ref="O15:V15" si="3">N13*O14</f>
        <v>0.189670125450295</v>
      </c>
      <c r="P15" s="15">
        <f t="shared" si="3"/>
        <v>0.164930543869822</v>
      </c>
      <c r="Q15" s="15">
        <f t="shared" si="3"/>
        <v>0.143417864234627</v>
      </c>
      <c r="R15" s="15">
        <f t="shared" si="3"/>
        <v>0.124711186290981</v>
      </c>
      <c r="S15" s="15">
        <f t="shared" si="3"/>
        <v>0.108444509818244</v>
      </c>
      <c r="T15" s="15">
        <f t="shared" si="3"/>
        <v>0.0942995737549948</v>
      </c>
      <c r="U15" s="15">
        <f t="shared" si="3"/>
        <v>0.0819996293521695</v>
      </c>
      <c r="V15" s="15">
        <f t="shared" si="3"/>
        <v>0.0713040255236256</v>
      </c>
    </row>
    <row r="18" spans="1:22">
      <c r="A18" s="16"/>
      <c r="B18" s="12" t="s">
        <v>55</v>
      </c>
      <c r="C18" s="8"/>
      <c r="D18" s="8">
        <f>D11+15%</f>
        <v>0.3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</row>
    <row r="19" spans="1:22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</row>
    <row r="20" ht="60" spans="1:22">
      <c r="A20" s="17" t="s">
        <v>57</v>
      </c>
      <c r="B20" s="14">
        <f t="shared" ref="B20:N20" si="4">B13</f>
        <v>0</v>
      </c>
      <c r="C20" s="14">
        <f t="shared" si="4"/>
        <v>-0.51302</v>
      </c>
      <c r="D20" s="14">
        <f t="shared" si="4"/>
        <v>-0.51302</v>
      </c>
      <c r="E20" s="14">
        <f t="shared" si="4"/>
        <v>-0.51302</v>
      </c>
      <c r="F20" s="14">
        <f t="shared" si="4"/>
        <v>-0.51302</v>
      </c>
      <c r="G20" s="14">
        <f t="shared" si="4"/>
        <v>1.45875</v>
      </c>
      <c r="H20" s="14">
        <f t="shared" si="4"/>
        <v>1.167</v>
      </c>
      <c r="I20" s="14">
        <f t="shared" si="4"/>
        <v>1.167</v>
      </c>
      <c r="J20" s="14">
        <f t="shared" si="4"/>
        <v>1.167</v>
      </c>
      <c r="K20" s="14">
        <f t="shared" si="4"/>
        <v>1.167</v>
      </c>
      <c r="L20" s="14">
        <f t="shared" si="4"/>
        <v>1.167</v>
      </c>
      <c r="M20" s="14">
        <f t="shared" si="4"/>
        <v>1.167</v>
      </c>
      <c r="N20" s="14">
        <f t="shared" si="4"/>
        <v>1.167</v>
      </c>
      <c r="O20" s="14">
        <f t="shared" ref="O20:Q20" si="5">N13</f>
        <v>1.167</v>
      </c>
      <c r="P20" s="14">
        <f t="shared" si="5"/>
        <v>1.167</v>
      </c>
      <c r="Q20" s="14">
        <f t="shared" si="5"/>
        <v>1.167</v>
      </c>
      <c r="R20" s="14">
        <f t="shared" ref="R20:V20" si="6">R13</f>
        <v>1.167</v>
      </c>
      <c r="S20" s="14">
        <f t="shared" si="6"/>
        <v>1.167</v>
      </c>
      <c r="T20" s="14">
        <f t="shared" si="6"/>
        <v>1.167</v>
      </c>
      <c r="U20" s="14">
        <f t="shared" si="6"/>
        <v>1.167</v>
      </c>
      <c r="V20" s="14">
        <f t="shared" si="6"/>
        <v>1.167</v>
      </c>
    </row>
    <row r="21" ht="30" spans="1:22">
      <c r="A21" s="17" t="s">
        <v>58</v>
      </c>
      <c r="B21" s="14">
        <f>(1+$D$18)^-B19</f>
        <v>1</v>
      </c>
      <c r="C21" s="14">
        <f>(1+$D$18)^-C19</f>
        <v>0.769230769230769</v>
      </c>
      <c r="D21" s="14">
        <f>(1+$D$18)^-D19</f>
        <v>0.591715976331361</v>
      </c>
      <c r="E21" s="14">
        <f>(1+$D$18)^-E19</f>
        <v>0.455166135639508</v>
      </c>
      <c r="F21" s="14">
        <f>(1+$D$18)^-F19</f>
        <v>0.350127796645776</v>
      </c>
      <c r="G21" s="14">
        <f>(1+$D$18)^-G19</f>
        <v>0.269329074342904</v>
      </c>
      <c r="H21" s="14">
        <f>(1+$D$18)^-H19</f>
        <v>0.207176211033003</v>
      </c>
      <c r="I21" s="14">
        <f>(1+$D$18)^-I19</f>
        <v>0.159366316179233</v>
      </c>
      <c r="J21" s="14">
        <f>(1+$D$18)^-J19</f>
        <v>0.122589473984026</v>
      </c>
      <c r="K21" s="14">
        <f>(1+$D$18)^-K19</f>
        <v>0.0942995953723274</v>
      </c>
      <c r="L21" s="14">
        <f>(1+$D$18)^-L19</f>
        <v>0.0725381502864057</v>
      </c>
      <c r="M21" s="14">
        <f>(1+$D$18)^-M19</f>
        <v>0.055798577143389</v>
      </c>
      <c r="N21" s="24">
        <f>(1+$D$18)^-N19</f>
        <v>0.0429219824179915</v>
      </c>
      <c r="O21" s="14">
        <f>(1+$D$18)^-O19</f>
        <v>0.0330169095523012</v>
      </c>
      <c r="P21" s="14">
        <f>(1+$D$18)^-P19</f>
        <v>0.0253976227325394</v>
      </c>
      <c r="Q21" s="14">
        <f>(1+$D$18)^-Q19</f>
        <v>0.0195366328711841</v>
      </c>
      <c r="R21" s="14">
        <f>(1+$D$18)^-R19</f>
        <v>0.0150281791316801</v>
      </c>
      <c r="S21" s="14">
        <f>(1+$D$18)^-S19</f>
        <v>0.0115601377936001</v>
      </c>
      <c r="T21" s="14">
        <f>(1+$D$18)^-T19</f>
        <v>0.00889241368738467</v>
      </c>
      <c r="U21" s="14">
        <f>(1+$D$18)^-U19</f>
        <v>0.00684031822106513</v>
      </c>
      <c r="V21" s="14">
        <f>(1+$D$18)^-V19</f>
        <v>0.00526178324697318</v>
      </c>
    </row>
    <row r="22" ht="30" spans="1:22">
      <c r="A22" s="17" t="s">
        <v>59</v>
      </c>
      <c r="B22" s="15">
        <f t="shared" ref="B22:V22" si="7">B20*B21</f>
        <v>0</v>
      </c>
      <c r="C22" s="15">
        <f t="shared" si="7"/>
        <v>-0.394630769230769</v>
      </c>
      <c r="D22" s="15">
        <f t="shared" si="7"/>
        <v>-0.303562130177515</v>
      </c>
      <c r="E22" s="15">
        <f t="shared" si="7"/>
        <v>-0.23350933090578</v>
      </c>
      <c r="F22" s="15">
        <f t="shared" si="7"/>
        <v>-0.179622562235216</v>
      </c>
      <c r="G22" s="15">
        <f t="shared" si="7"/>
        <v>0.392883787197711</v>
      </c>
      <c r="H22" s="15">
        <f t="shared" si="7"/>
        <v>0.241774638275514</v>
      </c>
      <c r="I22" s="15">
        <f t="shared" si="7"/>
        <v>0.185980490981165</v>
      </c>
      <c r="J22" s="15">
        <f t="shared" si="7"/>
        <v>0.143061916139358</v>
      </c>
      <c r="K22" s="15">
        <f t="shared" si="7"/>
        <v>0.110047627799506</v>
      </c>
      <c r="L22" s="15">
        <f t="shared" si="7"/>
        <v>0.0846520213842355</v>
      </c>
      <c r="M22" s="15">
        <f t="shared" si="7"/>
        <v>0.065116939526335</v>
      </c>
      <c r="N22" s="15">
        <f t="shared" si="7"/>
        <v>0.0500899534817961</v>
      </c>
      <c r="O22" s="15">
        <f t="shared" si="7"/>
        <v>0.0385307334475355</v>
      </c>
      <c r="P22" s="15">
        <f t="shared" si="7"/>
        <v>0.0296390257288735</v>
      </c>
      <c r="Q22" s="15">
        <f t="shared" si="7"/>
        <v>0.0227992505606718</v>
      </c>
      <c r="R22" s="15">
        <f t="shared" si="7"/>
        <v>0.0175378850466707</v>
      </c>
      <c r="S22" s="15">
        <f t="shared" si="7"/>
        <v>0.0134906808051313</v>
      </c>
      <c r="T22" s="15">
        <f t="shared" si="7"/>
        <v>0.0103774467731779</v>
      </c>
      <c r="U22" s="15">
        <f t="shared" si="7"/>
        <v>0.00798265136398301</v>
      </c>
      <c r="V22" s="15">
        <f t="shared" si="7"/>
        <v>0.0061405010492177</v>
      </c>
    </row>
    <row r="25" spans="1:22">
      <c r="A25" s="16"/>
      <c r="B25" s="12" t="s">
        <v>55</v>
      </c>
      <c r="C25" s="8"/>
      <c r="D25" s="8">
        <f>D18+15%</f>
        <v>0.45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</row>
    <row r="26" spans="1:22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</row>
    <row r="27" ht="60" spans="1:22">
      <c r="A27" s="17" t="s">
        <v>57</v>
      </c>
      <c r="B27" s="14">
        <f t="shared" ref="B27:N27" si="8">B20</f>
        <v>0</v>
      </c>
      <c r="C27" s="14">
        <f t="shared" si="8"/>
        <v>-0.51302</v>
      </c>
      <c r="D27" s="14">
        <f t="shared" si="8"/>
        <v>-0.51302</v>
      </c>
      <c r="E27" s="14">
        <f t="shared" si="8"/>
        <v>-0.51302</v>
      </c>
      <c r="F27" s="14">
        <f t="shared" si="8"/>
        <v>-0.51302</v>
      </c>
      <c r="G27" s="14">
        <f t="shared" si="8"/>
        <v>1.45875</v>
      </c>
      <c r="H27" s="14">
        <f t="shared" si="8"/>
        <v>1.167</v>
      </c>
      <c r="I27" s="14">
        <f t="shared" si="8"/>
        <v>1.167</v>
      </c>
      <c r="J27" s="14">
        <f t="shared" si="8"/>
        <v>1.167</v>
      </c>
      <c r="K27" s="14">
        <f t="shared" si="8"/>
        <v>1.167</v>
      </c>
      <c r="L27" s="14">
        <f t="shared" si="8"/>
        <v>1.167</v>
      </c>
      <c r="M27" s="14">
        <f t="shared" si="8"/>
        <v>1.167</v>
      </c>
      <c r="N27" s="14">
        <f t="shared" si="8"/>
        <v>1.167</v>
      </c>
      <c r="O27" s="14">
        <f t="shared" ref="O27:Q27" si="9">N20</f>
        <v>1.167</v>
      </c>
      <c r="P27" s="14">
        <f t="shared" si="9"/>
        <v>1.167</v>
      </c>
      <c r="Q27" s="14">
        <f t="shared" si="9"/>
        <v>1.167</v>
      </c>
      <c r="R27" s="14">
        <f t="shared" ref="R27:V27" si="10">R20</f>
        <v>1.167</v>
      </c>
      <c r="S27" s="14">
        <f t="shared" si="10"/>
        <v>1.167</v>
      </c>
      <c r="T27" s="14">
        <f t="shared" si="10"/>
        <v>1.167</v>
      </c>
      <c r="U27" s="14">
        <f t="shared" si="10"/>
        <v>1.167</v>
      </c>
      <c r="V27" s="14">
        <f t="shared" si="10"/>
        <v>1.167</v>
      </c>
    </row>
    <row r="28" ht="30" spans="1:22">
      <c r="A28" s="17" t="s">
        <v>58</v>
      </c>
      <c r="B28" s="14">
        <f>(1+$D$18)^-B26</f>
        <v>1</v>
      </c>
      <c r="C28" s="14">
        <f>(1+$D$25)^-C26</f>
        <v>0.689655172413793</v>
      </c>
      <c r="D28" s="14">
        <f>(1+$D$25)^-D26</f>
        <v>0.475624256837099</v>
      </c>
      <c r="E28" s="14">
        <f>(1+$D$25)^-E26</f>
        <v>0.328016728853171</v>
      </c>
      <c r="F28" s="14">
        <f>(1+$D$25)^-F26</f>
        <v>0.226218433691842</v>
      </c>
      <c r="G28" s="14">
        <f>(1+$D$25)^-G26</f>
        <v>0.156012712890926</v>
      </c>
      <c r="H28" s="14">
        <f>(1+$D$25)^-H26</f>
        <v>0.107594974407535</v>
      </c>
      <c r="I28" s="14">
        <f>(1+$D$25)^-I26</f>
        <v>0.0742034306258862</v>
      </c>
      <c r="J28" s="14">
        <f>(1+$D$25)^-J26</f>
        <v>0.0511747797419905</v>
      </c>
      <c r="K28" s="14">
        <f>(1+$D$25)^-K26</f>
        <v>0.0352929515462003</v>
      </c>
      <c r="L28" s="14">
        <f>(1+$D$25)^-L26</f>
        <v>0.0243399665835864</v>
      </c>
      <c r="M28" s="14">
        <f>(1+$D$25)^-M26</f>
        <v>0.0167861838507493</v>
      </c>
      <c r="N28" s="14">
        <f>(1+$D$25)^-N26</f>
        <v>0.0115766785177581</v>
      </c>
      <c r="O28" s="14">
        <f>(1+$D$25)^-O26</f>
        <v>0.00798391621914352</v>
      </c>
      <c r="P28" s="14">
        <f>(1+$D$25)^-P26</f>
        <v>0.0055061491166507</v>
      </c>
      <c r="Q28" s="14">
        <f>(1+$D$25)^-Q26</f>
        <v>0.00379734421837979</v>
      </c>
      <c r="R28" s="14">
        <f>(1+$D$25)^-R26</f>
        <v>0.00261885808164124</v>
      </c>
      <c r="S28" s="14">
        <f>(1+$D$25)^-S26</f>
        <v>0.00180610902182154</v>
      </c>
      <c r="T28" s="14">
        <f>(1+$D$25)^-T26</f>
        <v>0.00124559242884244</v>
      </c>
      <c r="U28" s="14">
        <f>(1+$D$25)^-U26</f>
        <v>0.00085902926127065</v>
      </c>
      <c r="V28" s="14">
        <f>(1+$D$25)^-V26</f>
        <v>0.000592433973290104</v>
      </c>
    </row>
    <row r="29" ht="30" spans="1:22">
      <c r="A29" s="17" t="s">
        <v>59</v>
      </c>
      <c r="B29" s="15">
        <f t="shared" ref="B29:V29" si="11">B27*B28</f>
        <v>0</v>
      </c>
      <c r="C29" s="15">
        <f t="shared" si="11"/>
        <v>-0.353806896551724</v>
      </c>
      <c r="D29" s="15">
        <f t="shared" si="11"/>
        <v>-0.244004756242569</v>
      </c>
      <c r="E29" s="15">
        <f t="shared" si="11"/>
        <v>-0.168279142236254</v>
      </c>
      <c r="F29" s="15">
        <f t="shared" si="11"/>
        <v>-0.116054580852589</v>
      </c>
      <c r="G29" s="15">
        <f t="shared" si="11"/>
        <v>0.227583544929638</v>
      </c>
      <c r="H29" s="15">
        <f t="shared" si="11"/>
        <v>0.125563335133593</v>
      </c>
      <c r="I29" s="15">
        <f t="shared" si="11"/>
        <v>0.0865954035404092</v>
      </c>
      <c r="J29" s="15">
        <f t="shared" si="11"/>
        <v>0.0597209679589029</v>
      </c>
      <c r="K29" s="15">
        <f t="shared" si="11"/>
        <v>0.0411868744544158</v>
      </c>
      <c r="L29" s="15">
        <f t="shared" si="11"/>
        <v>0.0284047410030453</v>
      </c>
      <c r="M29" s="15">
        <f t="shared" si="11"/>
        <v>0.0195894765538244</v>
      </c>
      <c r="N29" s="15">
        <f t="shared" si="11"/>
        <v>0.0135099838302237</v>
      </c>
      <c r="O29" s="15">
        <f t="shared" si="11"/>
        <v>0.00931723022774049</v>
      </c>
      <c r="P29" s="15">
        <f t="shared" si="11"/>
        <v>0.00642567601913137</v>
      </c>
      <c r="Q29" s="15">
        <f t="shared" si="11"/>
        <v>0.00443150070284922</v>
      </c>
      <c r="R29" s="15">
        <f t="shared" si="11"/>
        <v>0.00305620738127533</v>
      </c>
      <c r="S29" s="15">
        <f t="shared" si="11"/>
        <v>0.00210772922846574</v>
      </c>
      <c r="T29" s="15">
        <f t="shared" si="11"/>
        <v>0.00145360636445913</v>
      </c>
      <c r="U29" s="15">
        <f t="shared" si="11"/>
        <v>0.00100248714790285</v>
      </c>
      <c r="V29" s="15">
        <f t="shared" si="11"/>
        <v>0.000691370446829551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FORECAST(0,I61:J61,I60:J60)</f>
        <v>6.10302036539846</v>
      </c>
    </row>
    <row r="60" ht="75" spans="2:22">
      <c r="B60" s="17" t="s">
        <v>62</v>
      </c>
      <c r="C60" s="20">
        <f>'SALICYLIC ACID 2'!Q4</f>
        <v>0</v>
      </c>
      <c r="D60" s="20">
        <f>'SALICYLIC ACID 2'!Q5</f>
        <v>-0.466381818181818</v>
      </c>
      <c r="E60" s="20">
        <f>'SALICYLIC ACID 2'!Q6</f>
        <v>-0.890365289256198</v>
      </c>
      <c r="F60" s="20">
        <f>'SALICYLIC ACID 2'!Q7</f>
        <v>-1.27580480841473</v>
      </c>
      <c r="G60" s="20">
        <f>'SALICYLIC ACID 2'!Q8</f>
        <v>-1.62620437128611</v>
      </c>
      <c r="H60" s="20">
        <f>'SALICYLIC ACID 2'!Q9</f>
        <v>-0.720435391273572</v>
      </c>
      <c r="I60" s="20">
        <f>'SALICYLIC ACID 2'!Q10</f>
        <v>-0.0616943149008141</v>
      </c>
      <c r="J60" s="20">
        <f>'SALICYLIC ACID 2'!Q11</f>
        <v>0.53716120907442</v>
      </c>
      <c r="K60" s="20">
        <f>'SALICYLIC ACID 2'!Q12</f>
        <v>1.08157532177918</v>
      </c>
      <c r="L60" s="20">
        <f>'SALICYLIC ACID 2'!Q13</f>
        <v>1.57649724241987</v>
      </c>
      <c r="M60" s="20">
        <f>'SALICYLIC ACID 2'!Q14</f>
        <v>2.02642626118413</v>
      </c>
      <c r="N60" s="20">
        <f>'SALICYLIC ACID 2'!Q15</f>
        <v>2.43545264187892</v>
      </c>
      <c r="O60" s="20">
        <f>'SALICYLIC ACID 2'!Q16</f>
        <v>2.8072948061469</v>
      </c>
      <c r="P60" s="20">
        <f>'SALICYLIC ACID 2'!Q17</f>
        <v>3.14533313729962</v>
      </c>
      <c r="Q60" s="20">
        <f>'SALICYLIC ACID 2'!Q18</f>
        <v>3.45264071107481</v>
      </c>
      <c r="R60" s="20">
        <f>'SALICYLIC ACID 2'!Q19</f>
        <v>3.73201123268863</v>
      </c>
      <c r="S60" s="20">
        <f>'SALICYLIC ACID 2'!Q20</f>
        <v>3.98598443415573</v>
      </c>
      <c r="T60" s="20">
        <f>'SALICYLIC ACID 2'!Q21</f>
        <v>4.21686916276219</v>
      </c>
      <c r="U60" s="20">
        <f>'SALICYLIC ACID 2'!Q22</f>
        <v>4.42676437058624</v>
      </c>
      <c r="V60" s="20">
        <f>'SALICYLIC ACID 2'!Q23</f>
        <v>4.61757819588083</v>
      </c>
    </row>
    <row r="61" spans="2:22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</row>
    <row r="62" ht="75" spans="2:22">
      <c r="B62" s="17" t="s">
        <v>62</v>
      </c>
      <c r="C62" s="21">
        <f t="shared" ref="C62:V62" si="12">C60</f>
        <v>0</v>
      </c>
      <c r="D62" s="21">
        <f t="shared" si="12"/>
        <v>-0.466381818181818</v>
      </c>
      <c r="E62" s="21">
        <f t="shared" si="12"/>
        <v>-0.890365289256198</v>
      </c>
      <c r="F62" s="21">
        <f t="shared" si="12"/>
        <v>-1.27580480841473</v>
      </c>
      <c r="G62" s="21">
        <f t="shared" si="12"/>
        <v>-1.62620437128611</v>
      </c>
      <c r="H62" s="21">
        <f t="shared" si="12"/>
        <v>-0.720435391273572</v>
      </c>
      <c r="I62" s="21">
        <f t="shared" si="12"/>
        <v>-0.0616943149008141</v>
      </c>
      <c r="J62" s="21">
        <f t="shared" si="12"/>
        <v>0.53716120907442</v>
      </c>
      <c r="K62" s="21">
        <f t="shared" si="12"/>
        <v>1.08157532177918</v>
      </c>
      <c r="L62" s="21">
        <f t="shared" si="12"/>
        <v>1.57649724241987</v>
      </c>
      <c r="M62" s="21">
        <f t="shared" si="12"/>
        <v>2.02642626118413</v>
      </c>
      <c r="N62" s="21">
        <f t="shared" si="12"/>
        <v>2.43545264187892</v>
      </c>
      <c r="O62" s="21">
        <f t="shared" si="12"/>
        <v>2.8072948061469</v>
      </c>
      <c r="P62" s="21">
        <f t="shared" si="12"/>
        <v>3.14533313729962</v>
      </c>
      <c r="Q62" s="21">
        <f t="shared" si="12"/>
        <v>3.45264071107481</v>
      </c>
      <c r="R62" s="21">
        <f t="shared" si="12"/>
        <v>3.73201123268863</v>
      </c>
      <c r="S62" s="21">
        <f t="shared" si="12"/>
        <v>3.98598443415573</v>
      </c>
      <c r="T62" s="21">
        <f t="shared" si="12"/>
        <v>4.21686916276219</v>
      </c>
      <c r="U62" s="21">
        <f t="shared" si="12"/>
        <v>4.42676437058624</v>
      </c>
      <c r="V62" s="21">
        <f t="shared" si="12"/>
        <v>4.61757819588083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'SALICYLIC ACID'!K16</f>
        <v>0.1</v>
      </c>
      <c r="D104" s="33"/>
    </row>
    <row r="105" spans="1:4">
      <c r="A105" s="31"/>
      <c r="B105" s="33" t="s">
        <v>72</v>
      </c>
      <c r="C105" s="33">
        <f>'SALICYLIC ACID'!F8/10^6</f>
        <v>7.88708</v>
      </c>
      <c r="D105" s="33" t="s">
        <v>73</v>
      </c>
    </row>
    <row r="106" spans="1:4">
      <c r="A106" s="31"/>
      <c r="B106" s="33" t="s">
        <v>74</v>
      </c>
      <c r="C106" s="33">
        <f>C7</f>
        <v>4.79104530978501</v>
      </c>
      <c r="D106" s="33" t="s">
        <v>73</v>
      </c>
    </row>
    <row r="107" spans="1:4">
      <c r="A107" s="31"/>
      <c r="B107" s="33" t="s">
        <v>66</v>
      </c>
      <c r="C107" s="33">
        <f>'SALICYLIC ACID'!F8/10^6</f>
        <v>7.88708</v>
      </c>
      <c r="D107" s="33"/>
    </row>
    <row r="108" spans="1:4">
      <c r="A108" s="31"/>
      <c r="B108" s="35" t="s">
        <v>64</v>
      </c>
      <c r="C108" s="35">
        <f>C106/C107</f>
        <v>0.607454889488253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0.607454889488253</v>
      </c>
      <c r="D113" s="31"/>
    </row>
    <row r="114" spans="1:4">
      <c r="A114" s="31"/>
      <c r="B114" s="37" t="s">
        <v>76</v>
      </c>
      <c r="C114" s="37">
        <f>1+C113</f>
        <v>1.60745488948825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4.79104530978501</v>
      </c>
    </row>
    <row r="123" spans="1:3">
      <c r="A123" s="3" t="s">
        <v>83</v>
      </c>
      <c r="B123" s="3"/>
      <c r="C123">
        <f>FORECAST(0,C125:E125,C126:E126)</f>
        <v>1279.99479847154</v>
      </c>
    </row>
    <row r="125" spans="2:5">
      <c r="B125" t="s">
        <v>84</v>
      </c>
      <c r="C125" s="6">
        <f>'SALICYLIC ACID'!L7</f>
        <v>1970</v>
      </c>
      <c r="D125" s="6">
        <f>B131</f>
        <v>1770</v>
      </c>
      <c r="E125" s="6">
        <f>B155</f>
        <v>1570</v>
      </c>
    </row>
    <row r="126" spans="2:5">
      <c r="B126" t="s">
        <v>54</v>
      </c>
      <c r="C126" s="6">
        <f>'SALICYLIC ACID 2'!Q24</f>
        <v>4.79104530978501</v>
      </c>
      <c r="D126" s="6">
        <f>Q153</f>
        <v>3.54853751200292</v>
      </c>
      <c r="E126" s="6">
        <f>Q177</f>
        <v>1.99163056413383</v>
      </c>
    </row>
    <row r="131" spans="1:2">
      <c r="A131" t="s">
        <v>85</v>
      </c>
      <c r="B131">
        <f>C125-200</f>
        <v>1770</v>
      </c>
    </row>
    <row r="132" ht="45" spans="1:17">
      <c r="A132" s="40" t="s">
        <v>34</v>
      </c>
      <c r="B132" s="41" t="s">
        <v>35</v>
      </c>
      <c r="C132" s="41" t="s">
        <v>36</v>
      </c>
      <c r="D132" s="41" t="s">
        <v>86</v>
      </c>
      <c r="E132" s="41" t="s">
        <v>87</v>
      </c>
      <c r="F132" s="41" t="s">
        <v>88</v>
      </c>
      <c r="G132" s="41" t="s">
        <v>40</v>
      </c>
      <c r="H132" s="41" t="s">
        <v>89</v>
      </c>
      <c r="I132" s="41" t="s">
        <v>90</v>
      </c>
      <c r="J132" s="41" t="s">
        <v>91</v>
      </c>
      <c r="K132" s="48" t="s">
        <v>92</v>
      </c>
      <c r="L132" s="49" t="s">
        <v>93</v>
      </c>
      <c r="M132" s="49" t="s">
        <v>94</v>
      </c>
      <c r="N132" s="49" t="s">
        <v>95</v>
      </c>
      <c r="O132" s="49" t="s">
        <v>48</v>
      </c>
      <c r="P132" s="49" t="s">
        <v>96</v>
      </c>
      <c r="Q132" s="49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'SALICYLIC ACID'!F8</f>
        <v>7887080</v>
      </c>
      <c r="H133" s="44"/>
      <c r="I133" s="44"/>
      <c r="J133" s="44"/>
      <c r="K133" s="47">
        <f>J133</f>
        <v>0</v>
      </c>
      <c r="L133" s="50">
        <f>IF(K133&gt;0,K133*SALICYLIC [3]ACID!$K$15,0)</f>
        <v>0</v>
      </c>
      <c r="M133" s="47">
        <f t="shared" ref="M133:M153" si="13">I133-L133</f>
        <v>0</v>
      </c>
      <c r="N133" s="47">
        <v>0</v>
      </c>
      <c r="O133" s="47">
        <f>(1+'SALICYLIC ACID'!$K$16)^-A133</f>
        <v>1</v>
      </c>
      <c r="P133" s="51">
        <f>N133*O133</f>
        <v>0</v>
      </c>
      <c r="Q133" s="54">
        <f>P133</f>
        <v>0</v>
      </c>
    </row>
    <row r="134" spans="1:17">
      <c r="A134" s="46">
        <v>1</v>
      </c>
      <c r="B134" s="47">
        <f>'SALICYLIC ACID'!$L$6</f>
        <v>1000</v>
      </c>
      <c r="C134" s="47">
        <f>B131</f>
        <v>1770</v>
      </c>
      <c r="D134" s="47">
        <f t="shared" ref="D134:D153" si="14">B134*C134/10^6</f>
        <v>1.77</v>
      </c>
      <c r="E134" s="47">
        <f>'SALICYLIC ACID'!$F$17/10^6</f>
        <v>0.51125</v>
      </c>
      <c r="F134" s="47">
        <f t="shared" ref="F134:F153" si="15">D134-E134</f>
        <v>1.25875</v>
      </c>
      <c r="G134" s="47"/>
      <c r="H134" s="47">
        <f>'SALICYLIC ACID'!$F$8/'SALICYLIC ACID'!$K$12/10^6</f>
        <v>1.97177</v>
      </c>
      <c r="I134" s="47">
        <f t="shared" ref="I134:I153" si="16">F134-H134</f>
        <v>-0.71302</v>
      </c>
      <c r="J134" s="47">
        <f t="shared" ref="J134:J153" si="17">IF((J133+I134)&lt;0,(J133+I134),0)</f>
        <v>-0.71302</v>
      </c>
      <c r="K134" s="47">
        <f t="shared" ref="K134:K140" si="18">IF(J134&gt;0,I134,J134)</f>
        <v>-0.71302</v>
      </c>
      <c r="L134" s="50">
        <f>IF(K134&gt;0,K134*SALICYLIC [3]ACID!$K$15,0)</f>
        <v>0</v>
      </c>
      <c r="M134" s="47">
        <f t="shared" si="13"/>
        <v>-0.71302</v>
      </c>
      <c r="N134" s="47">
        <f t="shared" ref="N134:N153" si="19">N133+M134</f>
        <v>-0.71302</v>
      </c>
      <c r="O134" s="47">
        <f>(1+'SALICYLIC ACID'!$K$16)^-A134</f>
        <v>0.909090909090909</v>
      </c>
      <c r="P134" s="51">
        <f t="shared" ref="P134:P153" si="20">M134*O134</f>
        <v>-0.6482</v>
      </c>
      <c r="Q134" s="55">
        <f t="shared" ref="Q134:Q153" si="21">Q133+P134</f>
        <v>-0.6482</v>
      </c>
    </row>
    <row r="135" spans="1:17">
      <c r="A135" s="42">
        <v>2</v>
      </c>
      <c r="B135" s="47">
        <f>'SALICYLIC ACID'!$L$6</f>
        <v>1000</v>
      </c>
      <c r="C135" s="47">
        <f t="shared" ref="C135:C153" si="22">$C$134</f>
        <v>1770</v>
      </c>
      <c r="D135" s="47">
        <f t="shared" si="14"/>
        <v>1.77</v>
      </c>
      <c r="E135" s="47">
        <f>'SALICYLIC ACID'!$F$17/10^6</f>
        <v>0.51125</v>
      </c>
      <c r="F135" s="47">
        <f t="shared" si="15"/>
        <v>1.25875</v>
      </c>
      <c r="G135" s="47"/>
      <c r="H135" s="47">
        <f>'SALICYLIC ACID'!$F$8/'SALICYLIC ACID'!$K$12/10^6</f>
        <v>1.97177</v>
      </c>
      <c r="I135" s="47">
        <f t="shared" si="16"/>
        <v>-0.71302</v>
      </c>
      <c r="J135" s="47">
        <f t="shared" si="17"/>
        <v>-1.42604</v>
      </c>
      <c r="K135" s="47">
        <f t="shared" si="18"/>
        <v>-1.42604</v>
      </c>
      <c r="L135" s="50">
        <f>IF(K135&gt;0,K135*SALICYLIC [3]ACID!$K$15,0)</f>
        <v>0</v>
      </c>
      <c r="M135" s="47">
        <f t="shared" si="13"/>
        <v>-0.71302</v>
      </c>
      <c r="N135" s="47">
        <f t="shared" si="19"/>
        <v>-1.42604</v>
      </c>
      <c r="O135" s="47">
        <f>(1+'SALICYLIC ACID'!$K$16)^-A135</f>
        <v>0.826446280991735</v>
      </c>
      <c r="P135" s="51">
        <f t="shared" si="20"/>
        <v>-0.589272727272727</v>
      </c>
      <c r="Q135" s="55">
        <f t="shared" si="21"/>
        <v>-1.23747272727273</v>
      </c>
    </row>
    <row r="136" spans="1:17">
      <c r="A136" s="46">
        <v>3</v>
      </c>
      <c r="B136" s="47">
        <f>'SALICYLIC ACID'!$L$6</f>
        <v>1000</v>
      </c>
      <c r="C136" s="47">
        <f t="shared" si="22"/>
        <v>1770</v>
      </c>
      <c r="D136" s="47">
        <f t="shared" si="14"/>
        <v>1.77</v>
      </c>
      <c r="E136" s="47">
        <f>'SALICYLIC ACID'!$F$17/10^6</f>
        <v>0.51125</v>
      </c>
      <c r="F136" s="47">
        <f t="shared" si="15"/>
        <v>1.25875</v>
      </c>
      <c r="G136" s="47"/>
      <c r="H136" s="47">
        <f>'SALICYLIC ACID'!$F$8/'SALICYLIC ACID'!$K$12/10^6</f>
        <v>1.97177</v>
      </c>
      <c r="I136" s="47">
        <f t="shared" si="16"/>
        <v>-0.71302</v>
      </c>
      <c r="J136" s="47">
        <f t="shared" si="17"/>
        <v>-2.13906</v>
      </c>
      <c r="K136" s="47">
        <f t="shared" si="18"/>
        <v>-2.13906</v>
      </c>
      <c r="L136" s="50">
        <f>IF(K136&gt;0,K136*SALICYLIC [3]ACID!$K$15,0)</f>
        <v>0</v>
      </c>
      <c r="M136" s="47">
        <f t="shared" si="13"/>
        <v>-0.71302</v>
      </c>
      <c r="N136" s="47">
        <f t="shared" si="19"/>
        <v>-2.13906</v>
      </c>
      <c r="O136" s="47">
        <f>(1+'SALICYLIC ACID'!$K$16)^-A136</f>
        <v>0.751314800901578</v>
      </c>
      <c r="P136" s="51">
        <f t="shared" si="20"/>
        <v>-0.535702479338843</v>
      </c>
      <c r="Q136" s="55">
        <f t="shared" si="21"/>
        <v>-1.77317520661157</v>
      </c>
    </row>
    <row r="137" spans="1:17">
      <c r="A137" s="42">
        <v>4</v>
      </c>
      <c r="B137" s="47">
        <f>'SALICYLIC ACID'!$L$6</f>
        <v>1000</v>
      </c>
      <c r="C137" s="47">
        <f t="shared" si="22"/>
        <v>1770</v>
      </c>
      <c r="D137" s="47">
        <f t="shared" si="14"/>
        <v>1.77</v>
      </c>
      <c r="E137" s="47">
        <f>'SALICYLIC ACID'!$F$17/10^6</f>
        <v>0.51125</v>
      </c>
      <c r="F137" s="47">
        <f t="shared" si="15"/>
        <v>1.25875</v>
      </c>
      <c r="G137" s="47"/>
      <c r="H137" s="47">
        <f>'SALICYLIC ACID'!$F$8/'SALICYLIC ACID'!$K$12/10^6</f>
        <v>1.97177</v>
      </c>
      <c r="I137" s="47">
        <f t="shared" si="16"/>
        <v>-0.71302</v>
      </c>
      <c r="J137" s="47">
        <f t="shared" si="17"/>
        <v>-2.85208</v>
      </c>
      <c r="K137" s="47">
        <f t="shared" si="18"/>
        <v>-2.85208</v>
      </c>
      <c r="L137" s="50">
        <f>IF(K137&gt;0,K137*SALICYLIC [3]ACID!$K$15,0)</f>
        <v>0</v>
      </c>
      <c r="M137" s="47">
        <f t="shared" si="13"/>
        <v>-0.71302</v>
      </c>
      <c r="N137" s="47">
        <f t="shared" si="19"/>
        <v>-2.85208</v>
      </c>
      <c r="O137" s="47">
        <f>(1+'SALICYLIC ACID'!$K$16)^-A137</f>
        <v>0.683013455365071</v>
      </c>
      <c r="P137" s="51">
        <f t="shared" si="20"/>
        <v>-0.487002253944403</v>
      </c>
      <c r="Q137" s="55">
        <f t="shared" si="21"/>
        <v>-2.26017746055597</v>
      </c>
    </row>
    <row r="138" spans="1:17">
      <c r="A138" s="46">
        <v>5</v>
      </c>
      <c r="B138" s="47">
        <f>'SALICYLIC ACID'!$L$6</f>
        <v>1000</v>
      </c>
      <c r="C138" s="47">
        <f t="shared" si="22"/>
        <v>1770</v>
      </c>
      <c r="D138" s="47">
        <f t="shared" si="14"/>
        <v>1.77</v>
      </c>
      <c r="E138" s="47">
        <f>'SALICYLIC ACID'!$F$17/10^6</f>
        <v>0.51125</v>
      </c>
      <c r="F138" s="47">
        <f t="shared" si="15"/>
        <v>1.25875</v>
      </c>
      <c r="G138" s="47"/>
      <c r="H138" s="47"/>
      <c r="I138" s="47">
        <f t="shared" si="16"/>
        <v>1.25875</v>
      </c>
      <c r="J138" s="47">
        <f t="shared" si="17"/>
        <v>-1.59333</v>
      </c>
      <c r="K138" s="47">
        <f t="shared" si="18"/>
        <v>-1.59333</v>
      </c>
      <c r="L138" s="50">
        <f>IF(K138&gt;0,K138*SALICYLIC [3]ACID!$K$15,0)</f>
        <v>0</v>
      </c>
      <c r="M138" s="47">
        <f t="shared" si="13"/>
        <v>1.25875</v>
      </c>
      <c r="N138" s="47">
        <f t="shared" si="19"/>
        <v>-1.59333</v>
      </c>
      <c r="O138" s="47">
        <f>(1+'SALICYLIC ACID'!$K$16)^-A138</f>
        <v>0.620921323059155</v>
      </c>
      <c r="P138" s="51">
        <f t="shared" si="20"/>
        <v>0.781584715400711</v>
      </c>
      <c r="Q138" s="55">
        <f t="shared" si="21"/>
        <v>-1.47859274515526</v>
      </c>
    </row>
    <row r="139" spans="1:17">
      <c r="A139" s="42">
        <v>6</v>
      </c>
      <c r="B139" s="47">
        <f>'SALICYLIC ACID'!$L$6</f>
        <v>1000</v>
      </c>
      <c r="C139" s="47">
        <f t="shared" si="22"/>
        <v>1770</v>
      </c>
      <c r="D139" s="47">
        <f t="shared" si="14"/>
        <v>1.77</v>
      </c>
      <c r="E139" s="47">
        <f>'SALICYLIC ACID'!$F$17/10^6</f>
        <v>0.51125</v>
      </c>
      <c r="F139" s="47">
        <f t="shared" si="15"/>
        <v>1.25875</v>
      </c>
      <c r="G139" s="47"/>
      <c r="H139" s="47"/>
      <c r="I139" s="47">
        <f t="shared" si="16"/>
        <v>1.25875</v>
      </c>
      <c r="J139" s="47">
        <f t="shared" si="17"/>
        <v>-0.33458</v>
      </c>
      <c r="K139" s="47">
        <f t="shared" si="18"/>
        <v>-0.33458</v>
      </c>
      <c r="L139" s="50">
        <f>IF(K139&gt;0,K139*SALICYLIC [3]ACID!$K$15,0)</f>
        <v>0</v>
      </c>
      <c r="M139" s="47">
        <f t="shared" si="13"/>
        <v>1.25875</v>
      </c>
      <c r="N139" s="47">
        <f t="shared" si="19"/>
        <v>-0.33458</v>
      </c>
      <c r="O139" s="47">
        <f>(1+'SALICYLIC ACID'!$K$16)^-A139</f>
        <v>0.564473930053777</v>
      </c>
      <c r="P139" s="51">
        <f t="shared" si="20"/>
        <v>0.710531559455192</v>
      </c>
      <c r="Q139" s="55">
        <f t="shared" si="21"/>
        <v>-0.768061185700069</v>
      </c>
    </row>
    <row r="140" spans="1:17">
      <c r="A140" s="46">
        <v>7</v>
      </c>
      <c r="B140" s="47">
        <f>'SALICYLIC ACID'!$L$6</f>
        <v>1000</v>
      </c>
      <c r="C140" s="47">
        <f t="shared" si="22"/>
        <v>1770</v>
      </c>
      <c r="D140" s="47">
        <f t="shared" si="14"/>
        <v>1.77</v>
      </c>
      <c r="E140" s="47">
        <f>'SALICYLIC ACID'!$F$17/10^6</f>
        <v>0.51125</v>
      </c>
      <c r="F140" s="47">
        <f t="shared" si="15"/>
        <v>1.25875</v>
      </c>
      <c r="G140" s="47"/>
      <c r="H140" s="47"/>
      <c r="I140" s="47">
        <f t="shared" si="16"/>
        <v>1.25875</v>
      </c>
      <c r="J140" s="47">
        <f t="shared" si="17"/>
        <v>0</v>
      </c>
      <c r="K140" s="47">
        <f t="shared" si="18"/>
        <v>0</v>
      </c>
      <c r="L140" s="50">
        <f>IF(K140&gt;0,K140*SALICYLIC [3]ACID!$K$15,0)</f>
        <v>0</v>
      </c>
      <c r="M140" s="47">
        <f t="shared" si="13"/>
        <v>1.25875</v>
      </c>
      <c r="N140" s="47">
        <f t="shared" si="19"/>
        <v>0.92417</v>
      </c>
      <c r="O140" s="47">
        <f>(1+'SALICYLIC ACID'!$K$16)^-A140</f>
        <v>0.513158118230706</v>
      </c>
      <c r="P140" s="51">
        <f t="shared" si="20"/>
        <v>0.645937781322901</v>
      </c>
      <c r="Q140" s="55">
        <f t="shared" si="21"/>
        <v>-0.122123404377168</v>
      </c>
    </row>
    <row r="141" spans="1:17">
      <c r="A141" s="42">
        <v>8</v>
      </c>
      <c r="B141" s="47">
        <f>'SALICYLIC ACID'!$L$6</f>
        <v>1000</v>
      </c>
      <c r="C141" s="47">
        <f t="shared" si="22"/>
        <v>1770</v>
      </c>
      <c r="D141" s="47">
        <f t="shared" si="14"/>
        <v>1.77</v>
      </c>
      <c r="E141" s="47">
        <f>'SALICYLIC ACID'!$F$17/10^6</f>
        <v>0.51125</v>
      </c>
      <c r="F141" s="47">
        <f t="shared" si="15"/>
        <v>1.25875</v>
      </c>
      <c r="G141" s="47"/>
      <c r="H141" s="47"/>
      <c r="I141" s="47">
        <f t="shared" si="16"/>
        <v>1.25875</v>
      </c>
      <c r="J141" s="47">
        <f t="shared" si="17"/>
        <v>0</v>
      </c>
      <c r="K141" s="47">
        <f t="shared" ref="K141:K153" si="23">I141</f>
        <v>1.25875</v>
      </c>
      <c r="L141" s="50">
        <f>IF(K141&gt;0,K141*'SALICYLIC ACID'!$K$15,0)</f>
        <v>0.25175</v>
      </c>
      <c r="M141" s="47">
        <f t="shared" si="13"/>
        <v>1.007</v>
      </c>
      <c r="N141" s="47">
        <f t="shared" si="19"/>
        <v>1.93117</v>
      </c>
      <c r="O141" s="47">
        <f>(1+'SALICYLIC ACID'!$K$16)^-A141</f>
        <v>0.466507380209733</v>
      </c>
      <c r="P141" s="51">
        <f t="shared" si="20"/>
        <v>0.469772931871201</v>
      </c>
      <c r="Q141" s="55">
        <f t="shared" si="21"/>
        <v>0.347649527494033</v>
      </c>
    </row>
    <row r="142" spans="1:17">
      <c r="A142" s="46">
        <v>9</v>
      </c>
      <c r="B142" s="47">
        <f>'SALICYLIC ACID'!$L$6</f>
        <v>1000</v>
      </c>
      <c r="C142" s="47">
        <f t="shared" si="22"/>
        <v>1770</v>
      </c>
      <c r="D142" s="47">
        <f t="shared" si="14"/>
        <v>1.77</v>
      </c>
      <c r="E142" s="47">
        <f>'SALICYLIC ACID'!$F$17/10^6</f>
        <v>0.51125</v>
      </c>
      <c r="F142" s="47">
        <f t="shared" si="15"/>
        <v>1.25875</v>
      </c>
      <c r="G142" s="47"/>
      <c r="H142" s="47"/>
      <c r="I142" s="47">
        <f t="shared" si="16"/>
        <v>1.25875</v>
      </c>
      <c r="J142" s="47">
        <f t="shared" si="17"/>
        <v>0</v>
      </c>
      <c r="K142" s="47">
        <f t="shared" si="23"/>
        <v>1.25875</v>
      </c>
      <c r="L142" s="50">
        <f>IF(K142&gt;0,K142*'SALICYLIC ACID'!$K$15,0)</f>
        <v>0.25175</v>
      </c>
      <c r="M142" s="47">
        <f t="shared" si="13"/>
        <v>1.007</v>
      </c>
      <c r="N142" s="47">
        <f t="shared" si="19"/>
        <v>2.93817</v>
      </c>
      <c r="O142" s="47">
        <f>(1+'SALICYLIC ACID'!$K$16)^-A142</f>
        <v>0.424097618372485</v>
      </c>
      <c r="P142" s="51">
        <f t="shared" si="20"/>
        <v>0.427066301701092</v>
      </c>
      <c r="Q142" s="55">
        <f t="shared" si="21"/>
        <v>0.774715829195125</v>
      </c>
    </row>
    <row r="143" spans="1:17">
      <c r="A143" s="42">
        <v>10</v>
      </c>
      <c r="B143" s="47">
        <f>'SALICYLIC ACID'!$L$6</f>
        <v>1000</v>
      </c>
      <c r="C143" s="47">
        <f t="shared" si="22"/>
        <v>1770</v>
      </c>
      <c r="D143" s="47">
        <f t="shared" si="14"/>
        <v>1.77</v>
      </c>
      <c r="E143" s="47">
        <f>'SALICYLIC ACID'!$F$17/10^6</f>
        <v>0.51125</v>
      </c>
      <c r="F143" s="47">
        <f t="shared" si="15"/>
        <v>1.25875</v>
      </c>
      <c r="G143" s="47"/>
      <c r="H143" s="47"/>
      <c r="I143" s="47">
        <f t="shared" si="16"/>
        <v>1.25875</v>
      </c>
      <c r="J143" s="47">
        <f t="shared" si="17"/>
        <v>0</v>
      </c>
      <c r="K143" s="47">
        <f t="shared" si="23"/>
        <v>1.25875</v>
      </c>
      <c r="L143" s="50">
        <f>IF(K143&gt;0,K143*'SALICYLIC ACID'!$K$15,0)</f>
        <v>0.25175</v>
      </c>
      <c r="M143" s="47">
        <f t="shared" si="13"/>
        <v>1.007</v>
      </c>
      <c r="N143" s="47">
        <f t="shared" si="19"/>
        <v>3.94517</v>
      </c>
      <c r="O143" s="47">
        <f>(1+'SALICYLIC ACID'!$K$16)^-A143</f>
        <v>0.385543289429531</v>
      </c>
      <c r="P143" s="51">
        <f t="shared" si="20"/>
        <v>0.388242092455538</v>
      </c>
      <c r="Q143" s="55">
        <f t="shared" si="21"/>
        <v>1.16295792165066</v>
      </c>
    </row>
    <row r="144" spans="1:17">
      <c r="A144" s="46">
        <v>11</v>
      </c>
      <c r="B144" s="47">
        <f>'SALICYLIC ACID'!$L$6</f>
        <v>1000</v>
      </c>
      <c r="C144" s="47">
        <f t="shared" si="22"/>
        <v>1770</v>
      </c>
      <c r="D144" s="47">
        <f t="shared" si="14"/>
        <v>1.77</v>
      </c>
      <c r="E144" s="47">
        <f>'SALICYLIC ACID'!$F$17/10^6</f>
        <v>0.51125</v>
      </c>
      <c r="F144" s="47">
        <f t="shared" si="15"/>
        <v>1.25875</v>
      </c>
      <c r="G144" s="47"/>
      <c r="H144" s="47"/>
      <c r="I144" s="47">
        <f t="shared" si="16"/>
        <v>1.25875</v>
      </c>
      <c r="J144" s="47">
        <f t="shared" si="17"/>
        <v>0</v>
      </c>
      <c r="K144" s="47">
        <f t="shared" si="23"/>
        <v>1.25875</v>
      </c>
      <c r="L144" s="50">
        <f>IF(K144&gt;0,K144*'SALICYLIC ACID'!$K$15,0)</f>
        <v>0.25175</v>
      </c>
      <c r="M144" s="47">
        <f t="shared" si="13"/>
        <v>1.007</v>
      </c>
      <c r="N144" s="47">
        <f t="shared" si="19"/>
        <v>4.95217</v>
      </c>
      <c r="O144" s="47">
        <f>(1+'SALICYLIC ACID'!$K$16)^-A144</f>
        <v>0.350493899481392</v>
      </c>
      <c r="P144" s="51">
        <f t="shared" si="20"/>
        <v>0.352947356777762</v>
      </c>
      <c r="Q144" s="55">
        <f t="shared" si="21"/>
        <v>1.51590527842843</v>
      </c>
    </row>
    <row r="145" spans="1:17">
      <c r="A145" s="42">
        <v>12</v>
      </c>
      <c r="B145" s="47">
        <f>'SALICYLIC ACID'!$L$6</f>
        <v>1000</v>
      </c>
      <c r="C145" s="47">
        <f t="shared" si="22"/>
        <v>1770</v>
      </c>
      <c r="D145" s="47">
        <f t="shared" si="14"/>
        <v>1.77</v>
      </c>
      <c r="E145" s="47">
        <f>'SALICYLIC ACID'!$F$17/10^6</f>
        <v>0.51125</v>
      </c>
      <c r="F145" s="47">
        <f t="shared" si="15"/>
        <v>1.25875</v>
      </c>
      <c r="G145" s="47"/>
      <c r="H145" s="47"/>
      <c r="I145" s="47">
        <f t="shared" si="16"/>
        <v>1.25875</v>
      </c>
      <c r="J145" s="47">
        <f t="shared" si="17"/>
        <v>0</v>
      </c>
      <c r="K145" s="47">
        <f t="shared" si="23"/>
        <v>1.25875</v>
      </c>
      <c r="L145" s="50">
        <f>IF(K145&gt;0,K145*'SALICYLIC ACID'!$K$15,0)</f>
        <v>0.25175</v>
      </c>
      <c r="M145" s="47">
        <f t="shared" si="13"/>
        <v>1.007</v>
      </c>
      <c r="N145" s="47">
        <f t="shared" si="19"/>
        <v>5.95917</v>
      </c>
      <c r="O145" s="47">
        <f>(1+'SALICYLIC ACID'!$K$16)^-A145</f>
        <v>0.318630817710357</v>
      </c>
      <c r="P145" s="51">
        <f t="shared" si="20"/>
        <v>0.32086123343433</v>
      </c>
      <c r="Q145" s="55">
        <f t="shared" si="21"/>
        <v>1.83676651186275</v>
      </c>
    </row>
    <row r="146" spans="1:17">
      <c r="A146" s="46">
        <v>13</v>
      </c>
      <c r="B146" s="47">
        <f>'SALICYLIC ACID'!$L$6</f>
        <v>1000</v>
      </c>
      <c r="C146" s="47">
        <f t="shared" si="22"/>
        <v>1770</v>
      </c>
      <c r="D146" s="47">
        <f t="shared" si="14"/>
        <v>1.77</v>
      </c>
      <c r="E146" s="47">
        <f>'SALICYLIC ACID'!$F$17/10^6</f>
        <v>0.51125</v>
      </c>
      <c r="F146" s="47">
        <f t="shared" si="15"/>
        <v>1.25875</v>
      </c>
      <c r="G146" s="47"/>
      <c r="H146" s="47"/>
      <c r="I146" s="47">
        <f t="shared" si="16"/>
        <v>1.25875</v>
      </c>
      <c r="J146" s="47">
        <f t="shared" si="17"/>
        <v>0</v>
      </c>
      <c r="K146" s="47">
        <f t="shared" si="23"/>
        <v>1.25875</v>
      </c>
      <c r="L146" s="50">
        <f>IF(K146&gt;0,K146*'SALICYLIC ACID'!$K$15,0)</f>
        <v>0.25175</v>
      </c>
      <c r="M146" s="47">
        <f t="shared" si="13"/>
        <v>1.007</v>
      </c>
      <c r="N146" s="47">
        <f t="shared" si="19"/>
        <v>6.96617</v>
      </c>
      <c r="O146" s="47">
        <f>(1+'SALICYLIC ACID'!$K$16)^-A146</f>
        <v>0.289664379736688</v>
      </c>
      <c r="P146" s="51">
        <f t="shared" si="20"/>
        <v>0.291692030394845</v>
      </c>
      <c r="Q146" s="55">
        <f t="shared" si="21"/>
        <v>2.1284585422576</v>
      </c>
    </row>
    <row r="147" spans="1:17">
      <c r="A147" s="42">
        <v>14</v>
      </c>
      <c r="B147" s="47">
        <f>'SALICYLIC ACID'!$L$6</f>
        <v>1000</v>
      </c>
      <c r="C147" s="47">
        <f t="shared" si="22"/>
        <v>1770</v>
      </c>
      <c r="D147" s="47">
        <f t="shared" si="14"/>
        <v>1.77</v>
      </c>
      <c r="E147" s="47">
        <f>'SALICYLIC ACID'!$F$17/10^6</f>
        <v>0.51125</v>
      </c>
      <c r="F147" s="47">
        <f t="shared" si="15"/>
        <v>1.25875</v>
      </c>
      <c r="G147" s="47"/>
      <c r="H147" s="47"/>
      <c r="I147" s="47">
        <f t="shared" si="16"/>
        <v>1.25875</v>
      </c>
      <c r="J147" s="47">
        <f t="shared" si="17"/>
        <v>0</v>
      </c>
      <c r="K147" s="47">
        <f t="shared" si="23"/>
        <v>1.25875</v>
      </c>
      <c r="L147" s="50">
        <f>IF(K147&gt;0,K147*'SALICYLIC ACID'!$K$15,0)</f>
        <v>0.25175</v>
      </c>
      <c r="M147" s="47">
        <f t="shared" si="13"/>
        <v>1.007</v>
      </c>
      <c r="N147" s="47">
        <f t="shared" si="19"/>
        <v>7.97317</v>
      </c>
      <c r="O147" s="47">
        <f>(1+'SALICYLIC ACID'!$K$16)^-A147</f>
        <v>0.26333125430608</v>
      </c>
      <c r="P147" s="51">
        <f t="shared" si="20"/>
        <v>0.265174573086223</v>
      </c>
      <c r="Q147" s="55">
        <f t="shared" si="21"/>
        <v>2.39363311534382</v>
      </c>
    </row>
    <row r="148" spans="1:17">
      <c r="A148" s="46">
        <v>15</v>
      </c>
      <c r="B148" s="47">
        <f>'SALICYLIC ACID'!$L$6</f>
        <v>1000</v>
      </c>
      <c r="C148" s="47">
        <f t="shared" si="22"/>
        <v>1770</v>
      </c>
      <c r="D148" s="47">
        <f t="shared" si="14"/>
        <v>1.77</v>
      </c>
      <c r="E148" s="47">
        <f>'SALICYLIC ACID'!$F$17/10^6</f>
        <v>0.51125</v>
      </c>
      <c r="F148" s="47">
        <f t="shared" si="15"/>
        <v>1.25875</v>
      </c>
      <c r="G148" s="47"/>
      <c r="H148" s="47"/>
      <c r="I148" s="47">
        <f t="shared" si="16"/>
        <v>1.25875</v>
      </c>
      <c r="J148" s="47">
        <f t="shared" si="17"/>
        <v>0</v>
      </c>
      <c r="K148" s="47">
        <f t="shared" si="23"/>
        <v>1.25875</v>
      </c>
      <c r="L148" s="50">
        <f>IF(K148&gt;0,K148*'SALICYLIC ACID'!$K$15,0)</f>
        <v>0.25175</v>
      </c>
      <c r="M148" s="47">
        <f t="shared" si="13"/>
        <v>1.007</v>
      </c>
      <c r="N148" s="47">
        <f t="shared" si="19"/>
        <v>8.98017</v>
      </c>
      <c r="O148" s="47">
        <f>(1+'SALICYLIC ACID'!$K$16)^-A148</f>
        <v>0.239392049369163</v>
      </c>
      <c r="P148" s="51">
        <f t="shared" si="20"/>
        <v>0.241067793714747</v>
      </c>
      <c r="Q148" s="55">
        <f t="shared" si="21"/>
        <v>2.63470090905857</v>
      </c>
    </row>
    <row r="149" spans="1:17">
      <c r="A149" s="42">
        <v>16</v>
      </c>
      <c r="B149" s="47">
        <f>'SALICYLIC ACID'!$L$6</f>
        <v>1000</v>
      </c>
      <c r="C149" s="47">
        <f t="shared" si="22"/>
        <v>1770</v>
      </c>
      <c r="D149" s="47">
        <f t="shared" si="14"/>
        <v>1.77</v>
      </c>
      <c r="E149" s="47">
        <f>'SALICYLIC ACID'!$F$17/10^6</f>
        <v>0.51125</v>
      </c>
      <c r="F149" s="47">
        <f t="shared" si="15"/>
        <v>1.25875</v>
      </c>
      <c r="G149" s="47"/>
      <c r="H149" s="47"/>
      <c r="I149" s="47">
        <f t="shared" si="16"/>
        <v>1.25875</v>
      </c>
      <c r="J149" s="47">
        <f t="shared" si="17"/>
        <v>0</v>
      </c>
      <c r="K149" s="47">
        <f t="shared" si="23"/>
        <v>1.25875</v>
      </c>
      <c r="L149" s="50">
        <f>IF(K149&gt;0,K149*'SALICYLIC ACID'!$K$15,0)</f>
        <v>0.25175</v>
      </c>
      <c r="M149" s="47">
        <f t="shared" si="13"/>
        <v>1.007</v>
      </c>
      <c r="N149" s="47">
        <f t="shared" si="19"/>
        <v>9.98717</v>
      </c>
      <c r="O149" s="47">
        <f>(1+'SALICYLIC ACID'!$K$16)^-A149</f>
        <v>0.217629135790149</v>
      </c>
      <c r="P149" s="51">
        <f t="shared" si="20"/>
        <v>0.21915253974068</v>
      </c>
      <c r="Q149" s="55">
        <f t="shared" si="21"/>
        <v>2.85385344879925</v>
      </c>
    </row>
    <row r="150" spans="1:17">
      <c r="A150" s="46">
        <v>17</v>
      </c>
      <c r="B150" s="47">
        <f>'SALICYLIC ACID'!$L$6</f>
        <v>1000</v>
      </c>
      <c r="C150" s="47">
        <f t="shared" si="22"/>
        <v>1770</v>
      </c>
      <c r="D150" s="47">
        <f t="shared" si="14"/>
        <v>1.77</v>
      </c>
      <c r="E150" s="47">
        <f>'SALICYLIC ACID'!$F$17/10^6</f>
        <v>0.51125</v>
      </c>
      <c r="F150" s="47">
        <f t="shared" si="15"/>
        <v>1.25875</v>
      </c>
      <c r="G150" s="47"/>
      <c r="H150" s="47"/>
      <c r="I150" s="47">
        <f t="shared" si="16"/>
        <v>1.25875</v>
      </c>
      <c r="J150" s="47">
        <f t="shared" si="17"/>
        <v>0</v>
      </c>
      <c r="K150" s="47">
        <f t="shared" si="23"/>
        <v>1.25875</v>
      </c>
      <c r="L150" s="50">
        <f>IF(K150&gt;0,K150*'SALICYLIC ACID'!$K$15,0)</f>
        <v>0.25175</v>
      </c>
      <c r="M150" s="47">
        <f t="shared" si="13"/>
        <v>1.007</v>
      </c>
      <c r="N150" s="47">
        <f t="shared" si="19"/>
        <v>10.99417</v>
      </c>
      <c r="O150" s="47">
        <f>(1+'SALICYLIC ACID'!$K$16)^-A150</f>
        <v>0.197844668900135</v>
      </c>
      <c r="P150" s="51">
        <f t="shared" si="20"/>
        <v>0.199229581582436</v>
      </c>
      <c r="Q150" s="55">
        <f t="shared" si="21"/>
        <v>3.05308303038168</v>
      </c>
    </row>
    <row r="151" spans="1:17">
      <c r="A151" s="42">
        <v>18</v>
      </c>
      <c r="B151" s="47">
        <f>'SALICYLIC ACID'!$L$6</f>
        <v>1000</v>
      </c>
      <c r="C151" s="47">
        <f t="shared" si="22"/>
        <v>1770</v>
      </c>
      <c r="D151" s="47">
        <f t="shared" si="14"/>
        <v>1.77</v>
      </c>
      <c r="E151" s="47">
        <f>'SALICYLIC ACID'!$F$17/10^6</f>
        <v>0.51125</v>
      </c>
      <c r="F151" s="47">
        <f t="shared" si="15"/>
        <v>1.25875</v>
      </c>
      <c r="G151" s="47"/>
      <c r="H151" s="47"/>
      <c r="I151" s="47">
        <f t="shared" si="16"/>
        <v>1.25875</v>
      </c>
      <c r="J151" s="47">
        <f t="shared" si="17"/>
        <v>0</v>
      </c>
      <c r="K151" s="47">
        <f t="shared" si="23"/>
        <v>1.25875</v>
      </c>
      <c r="L151" s="50">
        <f>IF(K151&gt;0,K151*'SALICYLIC ACID'!$K$15,0)</f>
        <v>0.25175</v>
      </c>
      <c r="M151" s="47">
        <f t="shared" si="13"/>
        <v>1.007</v>
      </c>
      <c r="N151" s="47">
        <f t="shared" si="19"/>
        <v>12.00117</v>
      </c>
      <c r="O151" s="47">
        <f>(1+'SALICYLIC ACID'!$K$16)^-A151</f>
        <v>0.179858789909214</v>
      </c>
      <c r="P151" s="51">
        <f t="shared" si="20"/>
        <v>0.181117801438579</v>
      </c>
      <c r="Q151" s="55">
        <f t="shared" si="21"/>
        <v>3.23420083182026</v>
      </c>
    </row>
    <row r="152" spans="1:17">
      <c r="A152" s="46">
        <v>19</v>
      </c>
      <c r="B152" s="47">
        <f>'SALICYLIC ACID'!$L$6</f>
        <v>1000</v>
      </c>
      <c r="C152" s="47">
        <f t="shared" si="22"/>
        <v>1770</v>
      </c>
      <c r="D152" s="47">
        <f t="shared" si="14"/>
        <v>1.77</v>
      </c>
      <c r="E152" s="47">
        <f>'SALICYLIC ACID'!$F$17/10^6</f>
        <v>0.51125</v>
      </c>
      <c r="F152" s="47">
        <f t="shared" si="15"/>
        <v>1.25875</v>
      </c>
      <c r="G152" s="47"/>
      <c r="H152" s="47"/>
      <c r="I152" s="47">
        <f t="shared" si="16"/>
        <v>1.25875</v>
      </c>
      <c r="J152" s="47">
        <f t="shared" si="17"/>
        <v>0</v>
      </c>
      <c r="K152" s="47">
        <f t="shared" si="23"/>
        <v>1.25875</v>
      </c>
      <c r="L152" s="50">
        <f>IF(K152&gt;0,K152*'SALICYLIC ACID'!$K$15,0)</f>
        <v>0.25175</v>
      </c>
      <c r="M152" s="47">
        <f t="shared" si="13"/>
        <v>1.007</v>
      </c>
      <c r="N152" s="47">
        <f t="shared" si="19"/>
        <v>13.00817</v>
      </c>
      <c r="O152" s="47">
        <f>(1+'SALICYLIC ACID'!$K$16)^-A152</f>
        <v>0.163507990826558</v>
      </c>
      <c r="P152" s="51">
        <f t="shared" si="20"/>
        <v>0.164652546762344</v>
      </c>
      <c r="Q152" s="55">
        <f t="shared" si="21"/>
        <v>3.39885337858261</v>
      </c>
    </row>
    <row r="153" spans="1:17">
      <c r="A153" s="42">
        <v>20</v>
      </c>
      <c r="B153" s="47">
        <f>'SALICYLIC ACID'!$L$6</f>
        <v>1000</v>
      </c>
      <c r="C153" s="47">
        <f t="shared" si="22"/>
        <v>1770</v>
      </c>
      <c r="D153" s="47">
        <f t="shared" si="14"/>
        <v>1.77</v>
      </c>
      <c r="E153" s="47">
        <f>'SALICYLIC ACID'!$F$17/10^6</f>
        <v>0.51125</v>
      </c>
      <c r="F153" s="47">
        <f t="shared" si="15"/>
        <v>1.25875</v>
      </c>
      <c r="G153" s="47"/>
      <c r="H153" s="47"/>
      <c r="I153" s="47">
        <f t="shared" si="16"/>
        <v>1.25875</v>
      </c>
      <c r="J153" s="47">
        <f t="shared" si="17"/>
        <v>0</v>
      </c>
      <c r="K153" s="47">
        <f t="shared" si="23"/>
        <v>1.25875</v>
      </c>
      <c r="L153" s="50">
        <f>IF(K153&gt;0,K153*'SALICYLIC ACID'!$K$15,0)</f>
        <v>0.25175</v>
      </c>
      <c r="M153" s="47">
        <f t="shared" si="13"/>
        <v>1.007</v>
      </c>
      <c r="N153" s="47">
        <f t="shared" si="19"/>
        <v>14.01517</v>
      </c>
      <c r="O153" s="47">
        <f>(1+'SALICYLIC ACID'!$K$16)^-A153</f>
        <v>0.148643628024143</v>
      </c>
      <c r="P153" s="51">
        <f t="shared" si="20"/>
        <v>0.149684133420312</v>
      </c>
      <c r="Q153" s="55">
        <f t="shared" si="21"/>
        <v>3.54853751200292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3.54853751200292</v>
      </c>
      <c r="Q154" s="47"/>
    </row>
    <row r="155" spans="1:17">
      <c r="A155" s="6" t="s">
        <v>85</v>
      </c>
      <c r="B155" s="6">
        <f>B131-200</f>
        <v>1570</v>
      </c>
      <c r="C155" s="6"/>
      <c r="D155" s="6"/>
      <c r="E155" s="6"/>
      <c r="F155" s="6"/>
      <c r="G155" s="6"/>
      <c r="H155" s="6"/>
      <c r="I155" s="6"/>
      <c r="J155" s="47"/>
      <c r="K155" s="6"/>
      <c r="L155" s="6"/>
      <c r="M155" s="6"/>
      <c r="N155" s="6"/>
      <c r="O155" s="6"/>
      <c r="P155" s="6"/>
      <c r="Q155" s="6"/>
    </row>
    <row r="156" ht="45" spans="1:17">
      <c r="A156" s="40" t="s">
        <v>34</v>
      </c>
      <c r="B156" s="41" t="s">
        <v>35</v>
      </c>
      <c r="C156" s="41" t="s">
        <v>36</v>
      </c>
      <c r="D156" s="41" t="s">
        <v>86</v>
      </c>
      <c r="E156" s="41" t="s">
        <v>87</v>
      </c>
      <c r="F156" s="41" t="s">
        <v>88</v>
      </c>
      <c r="G156" s="41" t="s">
        <v>40</v>
      </c>
      <c r="H156" s="41" t="s">
        <v>89</v>
      </c>
      <c r="I156" s="41" t="s">
        <v>90</v>
      </c>
      <c r="J156" s="41" t="s">
        <v>91</v>
      </c>
      <c r="K156" s="48" t="s">
        <v>92</v>
      </c>
      <c r="L156" s="49" t="s">
        <v>93</v>
      </c>
      <c r="M156" s="49" t="s">
        <v>94</v>
      </c>
      <c r="N156" s="49" t="s">
        <v>95</v>
      </c>
      <c r="O156" s="49" t="s">
        <v>48</v>
      </c>
      <c r="P156" s="49" t="s">
        <v>96</v>
      </c>
      <c r="Q156" s="49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'SALICYLIC ACID'!F8</f>
        <v>7887080</v>
      </c>
      <c r="H157" s="44"/>
      <c r="I157" s="44"/>
      <c r="J157" s="44"/>
      <c r="K157" s="47">
        <f t="shared" ref="K157:K164" si="24">J157</f>
        <v>0</v>
      </c>
      <c r="L157" s="50">
        <f>IF(K157&gt;0,K157*SALICYLIC [3]ACID!$K$15,0)</f>
        <v>0</v>
      </c>
      <c r="M157" s="47">
        <f t="shared" ref="M157:M177" si="25">I157-L157</f>
        <v>0</v>
      </c>
      <c r="N157" s="47">
        <v>0</v>
      </c>
      <c r="O157" s="47">
        <f>(1+'SALICYLIC ACID'!$K$16)^-A157</f>
        <v>1</v>
      </c>
      <c r="P157" s="51">
        <f>N157*O157</f>
        <v>0</v>
      </c>
      <c r="Q157" s="54">
        <f>P157</f>
        <v>0</v>
      </c>
    </row>
    <row r="158" spans="1:17">
      <c r="A158" s="46">
        <v>1</v>
      </c>
      <c r="B158" s="47">
        <f t="shared" ref="B158:B177" si="26">$B$134</f>
        <v>1000</v>
      </c>
      <c r="C158" s="47">
        <f>B155</f>
        <v>1570</v>
      </c>
      <c r="D158" s="47">
        <f t="shared" ref="D158:D177" si="27">B158*C158/10^6</f>
        <v>1.57</v>
      </c>
      <c r="E158" s="47">
        <f>'SALICYLIC ACID'!$F$17/10^6</f>
        <v>0.51125</v>
      </c>
      <c r="F158" s="47">
        <f t="shared" ref="F158:F177" si="28">D158-E158</f>
        <v>1.05875</v>
      </c>
      <c r="G158" s="47"/>
      <c r="H158" s="47">
        <f>'SALICYLIC ACID'!$F$8/'SALICYLIC ACID'!$K$12/10^6</f>
        <v>1.97177</v>
      </c>
      <c r="I158" s="47">
        <f t="shared" ref="I158:I177" si="29">F158-H158</f>
        <v>-0.91302</v>
      </c>
      <c r="J158" s="47">
        <f t="shared" ref="J158:J177" si="30">IF((J157+I158)&lt;0,(J157+I158),0)</f>
        <v>-0.91302</v>
      </c>
      <c r="K158" s="47">
        <f t="shared" si="24"/>
        <v>-0.91302</v>
      </c>
      <c r="L158" s="50">
        <f>IF(K158&gt;0,K158*SALICYLIC [3]ACID!$K$15,0)</f>
        <v>0</v>
      </c>
      <c r="M158" s="47">
        <f t="shared" si="25"/>
        <v>-0.91302</v>
      </c>
      <c r="N158" s="47">
        <f t="shared" ref="N158:N177" si="31">N157+M158</f>
        <v>-0.91302</v>
      </c>
      <c r="O158" s="47">
        <f>(1+'SALICYLIC ACID'!$K$16)^-A158</f>
        <v>0.909090909090909</v>
      </c>
      <c r="P158" s="51">
        <f t="shared" ref="P158:P177" si="32">M158*O158</f>
        <v>-0.830018181818182</v>
      </c>
      <c r="Q158" s="55">
        <f t="shared" ref="Q158:Q177" si="33">Q157+P158</f>
        <v>-0.830018181818182</v>
      </c>
    </row>
    <row r="159" spans="1:17">
      <c r="A159" s="42">
        <v>2</v>
      </c>
      <c r="B159" s="47">
        <f t="shared" si="26"/>
        <v>1000</v>
      </c>
      <c r="C159" s="47">
        <f t="shared" ref="C159:C177" si="34">$C$158</f>
        <v>1570</v>
      </c>
      <c r="D159" s="47">
        <f t="shared" si="27"/>
        <v>1.57</v>
      </c>
      <c r="E159" s="47">
        <f>'SALICYLIC ACID'!$F$17/10^6</f>
        <v>0.51125</v>
      </c>
      <c r="F159" s="47">
        <f t="shared" si="28"/>
        <v>1.05875</v>
      </c>
      <c r="G159" s="47"/>
      <c r="H159" s="47">
        <f>'SALICYLIC ACID'!$F$8/'SALICYLIC ACID'!$K$12/10^6</f>
        <v>1.97177</v>
      </c>
      <c r="I159" s="47">
        <f t="shared" si="29"/>
        <v>-0.91302</v>
      </c>
      <c r="J159" s="47">
        <f t="shared" si="30"/>
        <v>-1.82604</v>
      </c>
      <c r="K159" s="47">
        <f t="shared" si="24"/>
        <v>-1.82604</v>
      </c>
      <c r="L159" s="50">
        <f>IF(K159&gt;0,K159*SALICYLIC [3]ACID!$K$15,0)</f>
        <v>0</v>
      </c>
      <c r="M159" s="47">
        <f t="shared" si="25"/>
        <v>-0.91302</v>
      </c>
      <c r="N159" s="47">
        <f t="shared" si="31"/>
        <v>-1.82604</v>
      </c>
      <c r="O159" s="47">
        <f>(1+'SALICYLIC ACID'!$K$16)^-A159</f>
        <v>0.826446280991735</v>
      </c>
      <c r="P159" s="51">
        <f t="shared" si="32"/>
        <v>-0.754561983471074</v>
      </c>
      <c r="Q159" s="55">
        <f t="shared" si="33"/>
        <v>-1.58458016528926</v>
      </c>
    </row>
    <row r="160" spans="1:17">
      <c r="A160" s="46">
        <v>3</v>
      </c>
      <c r="B160" s="47">
        <f t="shared" si="26"/>
        <v>1000</v>
      </c>
      <c r="C160" s="47">
        <f t="shared" si="34"/>
        <v>1570</v>
      </c>
      <c r="D160" s="47">
        <f t="shared" si="27"/>
        <v>1.57</v>
      </c>
      <c r="E160" s="47">
        <f>'SALICYLIC ACID'!$F$17/10^6</f>
        <v>0.51125</v>
      </c>
      <c r="F160" s="47">
        <f t="shared" si="28"/>
        <v>1.05875</v>
      </c>
      <c r="G160" s="47"/>
      <c r="H160" s="47">
        <f>'SALICYLIC ACID'!$F$8/'SALICYLIC ACID'!$K$12/10^6</f>
        <v>1.97177</v>
      </c>
      <c r="I160" s="47">
        <f t="shared" si="29"/>
        <v>-0.91302</v>
      </c>
      <c r="J160" s="47">
        <f t="shared" si="30"/>
        <v>-2.73906</v>
      </c>
      <c r="K160" s="47">
        <f t="shared" si="24"/>
        <v>-2.73906</v>
      </c>
      <c r="L160" s="50">
        <f>IF(K160&gt;0,K160*SALICYLIC [3]ACID!$K$15,0)</f>
        <v>0</v>
      </c>
      <c r="M160" s="47">
        <f t="shared" si="25"/>
        <v>-0.91302</v>
      </c>
      <c r="N160" s="47">
        <f t="shared" si="31"/>
        <v>-2.73906</v>
      </c>
      <c r="O160" s="47">
        <f>(1+'SALICYLIC ACID'!$K$16)^-A160</f>
        <v>0.751314800901578</v>
      </c>
      <c r="P160" s="51">
        <f t="shared" si="32"/>
        <v>-0.685965439519159</v>
      </c>
      <c r="Q160" s="55">
        <f t="shared" si="33"/>
        <v>-2.27054560480841</v>
      </c>
    </row>
    <row r="161" spans="1:17">
      <c r="A161" s="42">
        <v>4</v>
      </c>
      <c r="B161" s="47">
        <f t="shared" si="26"/>
        <v>1000</v>
      </c>
      <c r="C161" s="47">
        <f t="shared" si="34"/>
        <v>1570</v>
      </c>
      <c r="D161" s="47">
        <f t="shared" si="27"/>
        <v>1.57</v>
      </c>
      <c r="E161" s="47">
        <f>'SALICYLIC ACID'!$F$17/10^6</f>
        <v>0.51125</v>
      </c>
      <c r="F161" s="47">
        <f t="shared" si="28"/>
        <v>1.05875</v>
      </c>
      <c r="G161" s="47"/>
      <c r="H161" s="47">
        <f>'SALICYLIC ACID'!$F$8/'SALICYLIC ACID'!$K$12/10^6</f>
        <v>1.97177</v>
      </c>
      <c r="I161" s="47">
        <f t="shared" si="29"/>
        <v>-0.91302</v>
      </c>
      <c r="J161" s="47">
        <f t="shared" si="30"/>
        <v>-3.65208</v>
      </c>
      <c r="K161" s="47">
        <f t="shared" si="24"/>
        <v>-3.65208</v>
      </c>
      <c r="L161" s="50">
        <f>IF(K161&gt;0,K161*SALICYLIC [3]ACID!$K$15,0)</f>
        <v>0</v>
      </c>
      <c r="M161" s="47">
        <f t="shared" si="25"/>
        <v>-0.91302</v>
      </c>
      <c r="N161" s="47">
        <f t="shared" si="31"/>
        <v>-3.65208</v>
      </c>
      <c r="O161" s="47">
        <f>(1+'SALICYLIC ACID'!$K$16)^-A161</f>
        <v>0.683013455365071</v>
      </c>
      <c r="P161" s="51">
        <f t="shared" si="32"/>
        <v>-0.623604945017417</v>
      </c>
      <c r="Q161" s="55">
        <f t="shared" si="33"/>
        <v>-2.89415054982583</v>
      </c>
    </row>
    <row r="162" spans="1:17">
      <c r="A162" s="46">
        <v>5</v>
      </c>
      <c r="B162" s="47">
        <f t="shared" si="26"/>
        <v>1000</v>
      </c>
      <c r="C162" s="47">
        <f t="shared" si="34"/>
        <v>1570</v>
      </c>
      <c r="D162" s="47">
        <f t="shared" si="27"/>
        <v>1.57</v>
      </c>
      <c r="E162" s="47">
        <f>'SALICYLIC ACID'!$F$17/10^6</f>
        <v>0.51125</v>
      </c>
      <c r="F162" s="47">
        <f t="shared" si="28"/>
        <v>1.05875</v>
      </c>
      <c r="G162" s="47"/>
      <c r="H162" s="47"/>
      <c r="I162" s="47">
        <f t="shared" si="29"/>
        <v>1.05875</v>
      </c>
      <c r="J162" s="47">
        <f t="shared" si="30"/>
        <v>-2.59333</v>
      </c>
      <c r="K162" s="47">
        <f t="shared" si="24"/>
        <v>-2.59333</v>
      </c>
      <c r="L162" s="50">
        <f>IF(K162&gt;0,K162*SALICYLIC [3]ACID!$K$15,0)</f>
        <v>0</v>
      </c>
      <c r="M162" s="47">
        <f t="shared" si="25"/>
        <v>1.05875</v>
      </c>
      <c r="N162" s="47">
        <f t="shared" si="31"/>
        <v>-2.59333</v>
      </c>
      <c r="O162" s="47">
        <f>(1+'SALICYLIC ACID'!$K$16)^-A162</f>
        <v>0.620921323059155</v>
      </c>
      <c r="P162" s="51">
        <f t="shared" si="32"/>
        <v>0.65740045078888</v>
      </c>
      <c r="Q162" s="55">
        <f t="shared" si="33"/>
        <v>-2.23675009903695</v>
      </c>
    </row>
    <row r="163" spans="1:17">
      <c r="A163" s="42">
        <v>6</v>
      </c>
      <c r="B163" s="47">
        <f t="shared" si="26"/>
        <v>1000</v>
      </c>
      <c r="C163" s="47">
        <f t="shared" si="34"/>
        <v>1570</v>
      </c>
      <c r="D163" s="47">
        <f t="shared" si="27"/>
        <v>1.57</v>
      </c>
      <c r="E163" s="47">
        <f>'SALICYLIC ACID'!$F$17/10^6</f>
        <v>0.51125</v>
      </c>
      <c r="F163" s="47">
        <f t="shared" si="28"/>
        <v>1.05875</v>
      </c>
      <c r="G163" s="47"/>
      <c r="H163" s="47"/>
      <c r="I163" s="47">
        <f t="shared" si="29"/>
        <v>1.05875</v>
      </c>
      <c r="J163" s="47">
        <f t="shared" si="30"/>
        <v>-1.53458</v>
      </c>
      <c r="K163" s="47">
        <f t="shared" si="24"/>
        <v>-1.53458</v>
      </c>
      <c r="L163" s="50">
        <f>IF(K163&gt;0,K163*SALICYLIC [3]ACID!$K$15,0)</f>
        <v>0</v>
      </c>
      <c r="M163" s="47">
        <f t="shared" si="25"/>
        <v>1.05875</v>
      </c>
      <c r="N163" s="47">
        <f t="shared" si="31"/>
        <v>-1.53458</v>
      </c>
      <c r="O163" s="47">
        <f>(1+'SALICYLIC ACID'!$K$16)^-A163</f>
        <v>0.564473930053777</v>
      </c>
      <c r="P163" s="51">
        <f t="shared" si="32"/>
        <v>0.597636773444436</v>
      </c>
      <c r="Q163" s="55">
        <f t="shared" si="33"/>
        <v>-1.63911332559251</v>
      </c>
    </row>
    <row r="164" spans="1:17">
      <c r="A164" s="46">
        <v>7</v>
      </c>
      <c r="B164" s="47">
        <f t="shared" si="26"/>
        <v>1000</v>
      </c>
      <c r="C164" s="47">
        <f t="shared" si="34"/>
        <v>1570</v>
      </c>
      <c r="D164" s="47">
        <f t="shared" si="27"/>
        <v>1.57</v>
      </c>
      <c r="E164" s="47">
        <f>'SALICYLIC ACID'!$F$17/10^6</f>
        <v>0.51125</v>
      </c>
      <c r="F164" s="47">
        <f t="shared" si="28"/>
        <v>1.05875</v>
      </c>
      <c r="G164" s="47"/>
      <c r="H164" s="47"/>
      <c r="I164" s="47">
        <f t="shared" si="29"/>
        <v>1.05875</v>
      </c>
      <c r="J164" s="47">
        <f t="shared" si="30"/>
        <v>-0.47583</v>
      </c>
      <c r="K164" s="47">
        <f t="shared" si="24"/>
        <v>-0.47583</v>
      </c>
      <c r="L164" s="50">
        <f>IF(K164&gt;0,K164*SALICYLIC [3]ACID!$K$15,0)</f>
        <v>0</v>
      </c>
      <c r="M164" s="47">
        <f t="shared" si="25"/>
        <v>1.05875</v>
      </c>
      <c r="N164" s="47">
        <f t="shared" si="31"/>
        <v>-0.47583</v>
      </c>
      <c r="O164" s="47">
        <f>(1+'SALICYLIC ACID'!$K$16)^-A164</f>
        <v>0.513158118230706</v>
      </c>
      <c r="P164" s="51">
        <f t="shared" si="32"/>
        <v>0.54330615767676</v>
      </c>
      <c r="Q164" s="55">
        <f t="shared" si="33"/>
        <v>-1.09580716791575</v>
      </c>
    </row>
    <row r="165" spans="1:17">
      <c r="A165" s="42">
        <v>8</v>
      </c>
      <c r="B165" s="47">
        <f t="shared" si="26"/>
        <v>1000</v>
      </c>
      <c r="C165" s="47">
        <f t="shared" si="34"/>
        <v>1570</v>
      </c>
      <c r="D165" s="47">
        <f t="shared" si="27"/>
        <v>1.57</v>
      </c>
      <c r="E165" s="47">
        <f>'SALICYLIC ACID'!$F$17/10^6</f>
        <v>0.51125</v>
      </c>
      <c r="F165" s="47">
        <f t="shared" si="28"/>
        <v>1.05875</v>
      </c>
      <c r="G165" s="47"/>
      <c r="H165" s="47"/>
      <c r="I165" s="47">
        <f t="shared" si="29"/>
        <v>1.05875</v>
      </c>
      <c r="J165" s="47">
        <f t="shared" si="30"/>
        <v>0</v>
      </c>
      <c r="K165" s="47">
        <f t="shared" ref="K165:K177" si="35">I165</f>
        <v>1.05875</v>
      </c>
      <c r="L165" s="50">
        <f>IF(K165&gt;0,K165*'SALICYLIC ACID'!$K$15,0)</f>
        <v>0.21175</v>
      </c>
      <c r="M165" s="47">
        <f t="shared" si="25"/>
        <v>0.847</v>
      </c>
      <c r="N165" s="47">
        <f t="shared" si="31"/>
        <v>0.37117</v>
      </c>
      <c r="O165" s="47">
        <f>(1+'SALICYLIC ACID'!$K$16)^-A165</f>
        <v>0.466507380209733</v>
      </c>
      <c r="P165" s="51">
        <f t="shared" si="32"/>
        <v>0.395131751037644</v>
      </c>
      <c r="Q165" s="55">
        <f t="shared" si="33"/>
        <v>-0.700675416878111</v>
      </c>
    </row>
    <row r="166" spans="1:17">
      <c r="A166" s="46">
        <v>9</v>
      </c>
      <c r="B166" s="47">
        <f t="shared" si="26"/>
        <v>1000</v>
      </c>
      <c r="C166" s="47">
        <f t="shared" si="34"/>
        <v>1570</v>
      </c>
      <c r="D166" s="47">
        <f t="shared" si="27"/>
        <v>1.57</v>
      </c>
      <c r="E166" s="47">
        <f>'SALICYLIC ACID'!$F$17/10^6</f>
        <v>0.51125</v>
      </c>
      <c r="F166" s="47">
        <f t="shared" si="28"/>
        <v>1.05875</v>
      </c>
      <c r="G166" s="47"/>
      <c r="H166" s="47"/>
      <c r="I166" s="47">
        <f t="shared" si="29"/>
        <v>1.05875</v>
      </c>
      <c r="J166" s="47">
        <f t="shared" si="30"/>
        <v>0</v>
      </c>
      <c r="K166" s="47">
        <f t="shared" si="35"/>
        <v>1.05875</v>
      </c>
      <c r="L166" s="50">
        <f>IF(K166&gt;0,K166*'SALICYLIC ACID'!$K$15,0)</f>
        <v>0.21175</v>
      </c>
      <c r="M166" s="47">
        <f t="shared" si="25"/>
        <v>0.847</v>
      </c>
      <c r="N166" s="47">
        <f t="shared" si="31"/>
        <v>1.21817</v>
      </c>
      <c r="O166" s="47">
        <f>(1+'SALICYLIC ACID'!$K$16)^-A166</f>
        <v>0.424097618372485</v>
      </c>
      <c r="P166" s="51">
        <f t="shared" si="32"/>
        <v>0.359210682761495</v>
      </c>
      <c r="Q166" s="55">
        <f t="shared" si="33"/>
        <v>-0.341464734116616</v>
      </c>
    </row>
    <row r="167" spans="1:17">
      <c r="A167" s="42">
        <v>10</v>
      </c>
      <c r="B167" s="47">
        <f t="shared" si="26"/>
        <v>1000</v>
      </c>
      <c r="C167" s="47">
        <f t="shared" si="34"/>
        <v>1570</v>
      </c>
      <c r="D167" s="47">
        <f t="shared" si="27"/>
        <v>1.57</v>
      </c>
      <c r="E167" s="47">
        <f>'SALICYLIC ACID'!$F$17/10^6</f>
        <v>0.51125</v>
      </c>
      <c r="F167" s="47">
        <f t="shared" si="28"/>
        <v>1.05875</v>
      </c>
      <c r="G167" s="47"/>
      <c r="H167" s="47"/>
      <c r="I167" s="47">
        <f t="shared" si="29"/>
        <v>1.05875</v>
      </c>
      <c r="J167" s="47">
        <f t="shared" si="30"/>
        <v>0</v>
      </c>
      <c r="K167" s="47">
        <f t="shared" si="35"/>
        <v>1.05875</v>
      </c>
      <c r="L167" s="50">
        <f>IF(K167&gt;0,K167*'SALICYLIC ACID'!$K$15,0)</f>
        <v>0.21175</v>
      </c>
      <c r="M167" s="47">
        <f t="shared" si="25"/>
        <v>0.847</v>
      </c>
      <c r="N167" s="47">
        <f t="shared" si="31"/>
        <v>2.06517</v>
      </c>
      <c r="O167" s="47">
        <f>(1+'SALICYLIC ACID'!$K$16)^-A167</f>
        <v>0.385543289429531</v>
      </c>
      <c r="P167" s="51">
        <f t="shared" si="32"/>
        <v>0.326555166146813</v>
      </c>
      <c r="Q167" s="55">
        <f t="shared" si="33"/>
        <v>-0.0149095679698029</v>
      </c>
    </row>
    <row r="168" spans="1:17">
      <c r="A168" s="46">
        <v>11</v>
      </c>
      <c r="B168" s="47">
        <f t="shared" si="26"/>
        <v>1000</v>
      </c>
      <c r="C168" s="47">
        <f t="shared" si="34"/>
        <v>1570</v>
      </c>
      <c r="D168" s="47">
        <f t="shared" si="27"/>
        <v>1.57</v>
      </c>
      <c r="E168" s="47">
        <f>'SALICYLIC ACID'!$F$17/10^6</f>
        <v>0.51125</v>
      </c>
      <c r="F168" s="47">
        <f t="shared" si="28"/>
        <v>1.05875</v>
      </c>
      <c r="G168" s="47"/>
      <c r="H168" s="47"/>
      <c r="I168" s="47">
        <f t="shared" si="29"/>
        <v>1.05875</v>
      </c>
      <c r="J168" s="47">
        <f t="shared" si="30"/>
        <v>0</v>
      </c>
      <c r="K168" s="47">
        <f t="shared" si="35"/>
        <v>1.05875</v>
      </c>
      <c r="L168" s="50">
        <f>IF(K168&gt;0,K168*'SALICYLIC ACID'!$K$15,0)</f>
        <v>0.21175</v>
      </c>
      <c r="M168" s="47">
        <f t="shared" si="25"/>
        <v>0.847</v>
      </c>
      <c r="N168" s="47">
        <f t="shared" si="31"/>
        <v>2.91217</v>
      </c>
      <c r="O168" s="47">
        <f>(1+'SALICYLIC ACID'!$K$16)^-A168</f>
        <v>0.350493899481392</v>
      </c>
      <c r="P168" s="51">
        <f t="shared" si="32"/>
        <v>0.296868332860739</v>
      </c>
      <c r="Q168" s="55">
        <f t="shared" si="33"/>
        <v>0.281958764890936</v>
      </c>
    </row>
    <row r="169" spans="1:17">
      <c r="A169" s="42">
        <v>12</v>
      </c>
      <c r="B169" s="47">
        <f t="shared" si="26"/>
        <v>1000</v>
      </c>
      <c r="C169" s="47">
        <f t="shared" si="34"/>
        <v>1570</v>
      </c>
      <c r="D169" s="47">
        <f t="shared" si="27"/>
        <v>1.57</v>
      </c>
      <c r="E169" s="47">
        <f>'SALICYLIC ACID'!$F$17/10^6</f>
        <v>0.51125</v>
      </c>
      <c r="F169" s="47">
        <f t="shared" si="28"/>
        <v>1.05875</v>
      </c>
      <c r="G169" s="47"/>
      <c r="H169" s="47"/>
      <c r="I169" s="47">
        <f t="shared" si="29"/>
        <v>1.05875</v>
      </c>
      <c r="J169" s="47">
        <f t="shared" si="30"/>
        <v>0</v>
      </c>
      <c r="K169" s="47">
        <f t="shared" si="35"/>
        <v>1.05875</v>
      </c>
      <c r="L169" s="50">
        <f>IF(K169&gt;0,K169*'SALICYLIC ACID'!$K$15,0)</f>
        <v>0.21175</v>
      </c>
      <c r="M169" s="47">
        <f t="shared" si="25"/>
        <v>0.847</v>
      </c>
      <c r="N169" s="47">
        <f t="shared" si="31"/>
        <v>3.75917</v>
      </c>
      <c r="O169" s="47">
        <f>(1+'SALICYLIC ACID'!$K$16)^-A169</f>
        <v>0.318630817710357</v>
      </c>
      <c r="P169" s="51">
        <f t="shared" si="32"/>
        <v>0.269880302600672</v>
      </c>
      <c r="Q169" s="55">
        <f t="shared" si="33"/>
        <v>0.551839067491608</v>
      </c>
    </row>
    <row r="170" spans="1:17">
      <c r="A170" s="46">
        <v>13</v>
      </c>
      <c r="B170" s="47">
        <f t="shared" si="26"/>
        <v>1000</v>
      </c>
      <c r="C170" s="47">
        <f t="shared" si="34"/>
        <v>1570</v>
      </c>
      <c r="D170" s="47">
        <f t="shared" si="27"/>
        <v>1.57</v>
      </c>
      <c r="E170" s="47">
        <f>'SALICYLIC ACID'!$F$17/10^6</f>
        <v>0.51125</v>
      </c>
      <c r="F170" s="47">
        <f t="shared" si="28"/>
        <v>1.05875</v>
      </c>
      <c r="G170" s="47"/>
      <c r="H170" s="47"/>
      <c r="I170" s="47">
        <f t="shared" si="29"/>
        <v>1.05875</v>
      </c>
      <c r="J170" s="47">
        <f t="shared" si="30"/>
        <v>0</v>
      </c>
      <c r="K170" s="47">
        <f t="shared" si="35"/>
        <v>1.05875</v>
      </c>
      <c r="L170" s="50">
        <f>IF(K170&gt;0,K170*'SALICYLIC ACID'!$K$15,0)</f>
        <v>0.21175</v>
      </c>
      <c r="M170" s="47">
        <f t="shared" si="25"/>
        <v>0.847</v>
      </c>
      <c r="N170" s="47">
        <f t="shared" si="31"/>
        <v>4.60617</v>
      </c>
      <c r="O170" s="47">
        <f>(1+'SALICYLIC ACID'!$K$16)^-A170</f>
        <v>0.289664379736688</v>
      </c>
      <c r="P170" s="51">
        <f t="shared" si="32"/>
        <v>0.245345729636975</v>
      </c>
      <c r="Q170" s="55">
        <f t="shared" si="33"/>
        <v>0.797184797128583</v>
      </c>
    </row>
    <row r="171" spans="1:17">
      <c r="A171" s="42">
        <v>14</v>
      </c>
      <c r="B171" s="47">
        <f t="shared" si="26"/>
        <v>1000</v>
      </c>
      <c r="C171" s="47">
        <f t="shared" si="34"/>
        <v>1570</v>
      </c>
      <c r="D171" s="47">
        <f t="shared" si="27"/>
        <v>1.57</v>
      </c>
      <c r="E171" s="47">
        <f>'SALICYLIC ACID'!$F$17/10^6</f>
        <v>0.51125</v>
      </c>
      <c r="F171" s="47">
        <f t="shared" si="28"/>
        <v>1.05875</v>
      </c>
      <c r="G171" s="47"/>
      <c r="H171" s="47"/>
      <c r="I171" s="47">
        <f t="shared" si="29"/>
        <v>1.05875</v>
      </c>
      <c r="J171" s="47">
        <f t="shared" si="30"/>
        <v>0</v>
      </c>
      <c r="K171" s="47">
        <f t="shared" si="35"/>
        <v>1.05875</v>
      </c>
      <c r="L171" s="50">
        <f>IF(K171&gt;0,K171*'SALICYLIC ACID'!$K$15,0)</f>
        <v>0.21175</v>
      </c>
      <c r="M171" s="47">
        <f t="shared" si="25"/>
        <v>0.847</v>
      </c>
      <c r="N171" s="47">
        <f t="shared" si="31"/>
        <v>5.45317</v>
      </c>
      <c r="O171" s="47">
        <f>(1+'SALICYLIC ACID'!$K$16)^-A171</f>
        <v>0.26333125430608</v>
      </c>
      <c r="P171" s="51">
        <f t="shared" si="32"/>
        <v>0.22304157239725</v>
      </c>
      <c r="Q171" s="55">
        <f t="shared" si="33"/>
        <v>1.02022636952583</v>
      </c>
    </row>
    <row r="172" spans="1:17">
      <c r="A172" s="46">
        <v>15</v>
      </c>
      <c r="B172" s="47">
        <f t="shared" si="26"/>
        <v>1000</v>
      </c>
      <c r="C172" s="47">
        <f t="shared" si="34"/>
        <v>1570</v>
      </c>
      <c r="D172" s="47">
        <f t="shared" si="27"/>
        <v>1.57</v>
      </c>
      <c r="E172" s="47">
        <f>'SALICYLIC ACID'!$F$17/10^6</f>
        <v>0.51125</v>
      </c>
      <c r="F172" s="47">
        <f t="shared" si="28"/>
        <v>1.05875</v>
      </c>
      <c r="G172" s="47"/>
      <c r="H172" s="47"/>
      <c r="I172" s="47">
        <f t="shared" si="29"/>
        <v>1.05875</v>
      </c>
      <c r="J172" s="47">
        <f t="shared" si="30"/>
        <v>0</v>
      </c>
      <c r="K172" s="53">
        <f t="shared" si="35"/>
        <v>1.05875</v>
      </c>
      <c r="L172" s="50">
        <f>IF(K172&gt;0,K172*'SALICYLIC ACID'!$K$15,0)</f>
        <v>0.21175</v>
      </c>
      <c r="M172" s="47">
        <f t="shared" si="25"/>
        <v>0.847</v>
      </c>
      <c r="N172" s="47">
        <f t="shared" si="31"/>
        <v>6.30017</v>
      </c>
      <c r="O172" s="47">
        <f>(1+'SALICYLIC ACID'!$K$16)^-A172</f>
        <v>0.239392049369163</v>
      </c>
      <c r="P172" s="51">
        <f t="shared" si="32"/>
        <v>0.202765065815681</v>
      </c>
      <c r="Q172" s="55">
        <f t="shared" si="33"/>
        <v>1.22299143534151</v>
      </c>
    </row>
    <row r="173" spans="1:17">
      <c r="A173" s="42">
        <v>16</v>
      </c>
      <c r="B173" s="47">
        <f t="shared" si="26"/>
        <v>1000</v>
      </c>
      <c r="C173" s="47">
        <f t="shared" si="34"/>
        <v>1570</v>
      </c>
      <c r="D173" s="47">
        <f t="shared" si="27"/>
        <v>1.57</v>
      </c>
      <c r="E173" s="47">
        <f>'SALICYLIC ACID'!$F$17/10^6</f>
        <v>0.51125</v>
      </c>
      <c r="F173" s="47">
        <f t="shared" si="28"/>
        <v>1.05875</v>
      </c>
      <c r="G173" s="47"/>
      <c r="H173" s="47"/>
      <c r="I173" s="47">
        <f t="shared" si="29"/>
        <v>1.05875</v>
      </c>
      <c r="J173" s="47">
        <f t="shared" si="30"/>
        <v>0</v>
      </c>
      <c r="K173" s="47">
        <f t="shared" si="35"/>
        <v>1.05875</v>
      </c>
      <c r="L173" s="50">
        <f>IF(K173&gt;0,K173*'SALICYLIC ACID'!$K$15,0)</f>
        <v>0.21175</v>
      </c>
      <c r="M173" s="47">
        <f t="shared" si="25"/>
        <v>0.847</v>
      </c>
      <c r="N173" s="47">
        <f t="shared" si="31"/>
        <v>7.14717</v>
      </c>
      <c r="O173" s="47">
        <f>(1+'SALICYLIC ACID'!$K$16)^-A173</f>
        <v>0.217629135790149</v>
      </c>
      <c r="P173" s="51">
        <f t="shared" si="32"/>
        <v>0.184331878014256</v>
      </c>
      <c r="Q173" s="55">
        <f t="shared" si="33"/>
        <v>1.40732331335577</v>
      </c>
    </row>
    <row r="174" spans="1:17">
      <c r="A174" s="46">
        <v>17</v>
      </c>
      <c r="B174" s="47">
        <f t="shared" si="26"/>
        <v>1000</v>
      </c>
      <c r="C174" s="47">
        <f t="shared" si="34"/>
        <v>1570</v>
      </c>
      <c r="D174" s="47">
        <f t="shared" si="27"/>
        <v>1.57</v>
      </c>
      <c r="E174" s="47">
        <f>'SALICYLIC ACID'!$F$17/10^6</f>
        <v>0.51125</v>
      </c>
      <c r="F174" s="47">
        <f t="shared" si="28"/>
        <v>1.05875</v>
      </c>
      <c r="G174" s="47"/>
      <c r="H174" s="47"/>
      <c r="I174" s="47">
        <f t="shared" si="29"/>
        <v>1.05875</v>
      </c>
      <c r="J174" s="47">
        <f t="shared" si="30"/>
        <v>0</v>
      </c>
      <c r="K174" s="47">
        <f t="shared" si="35"/>
        <v>1.05875</v>
      </c>
      <c r="L174" s="50">
        <f>IF(K174&gt;0,K174*'SALICYLIC ACID'!$K$15,0)</f>
        <v>0.21175</v>
      </c>
      <c r="M174" s="47">
        <f t="shared" si="25"/>
        <v>0.847</v>
      </c>
      <c r="N174" s="47">
        <f t="shared" si="31"/>
        <v>7.99417</v>
      </c>
      <c r="O174" s="47">
        <f>(1+'SALICYLIC ACID'!$K$16)^-A174</f>
        <v>0.197844668900135</v>
      </c>
      <c r="P174" s="51">
        <f t="shared" si="32"/>
        <v>0.167574434558414</v>
      </c>
      <c r="Q174" s="55">
        <f t="shared" si="33"/>
        <v>1.57489774791418</v>
      </c>
    </row>
    <row r="175" spans="1:17">
      <c r="A175" s="42">
        <v>18</v>
      </c>
      <c r="B175" s="47">
        <f t="shared" si="26"/>
        <v>1000</v>
      </c>
      <c r="C175" s="47">
        <f t="shared" si="34"/>
        <v>1570</v>
      </c>
      <c r="D175" s="47">
        <f t="shared" si="27"/>
        <v>1.57</v>
      </c>
      <c r="E175" s="47">
        <f>'SALICYLIC ACID'!$F$17/10^6</f>
        <v>0.51125</v>
      </c>
      <c r="F175" s="47">
        <f t="shared" si="28"/>
        <v>1.05875</v>
      </c>
      <c r="G175" s="47"/>
      <c r="H175" s="47"/>
      <c r="I175" s="47">
        <f t="shared" si="29"/>
        <v>1.05875</v>
      </c>
      <c r="J175" s="47">
        <f t="shared" si="30"/>
        <v>0</v>
      </c>
      <c r="K175" s="47">
        <f t="shared" si="35"/>
        <v>1.05875</v>
      </c>
      <c r="L175" s="50">
        <f>IF(K175&gt;0,K175*'SALICYLIC ACID'!$K$15,0)</f>
        <v>0.21175</v>
      </c>
      <c r="M175" s="47">
        <f t="shared" si="25"/>
        <v>0.847</v>
      </c>
      <c r="N175" s="47">
        <f t="shared" si="31"/>
        <v>8.84117</v>
      </c>
      <c r="O175" s="47">
        <f>(1+'SALICYLIC ACID'!$K$16)^-A175</f>
        <v>0.179858789909214</v>
      </c>
      <c r="P175" s="51">
        <f t="shared" si="32"/>
        <v>0.152340395053104</v>
      </c>
      <c r="Q175" s="55">
        <f t="shared" si="33"/>
        <v>1.72723814296729</v>
      </c>
    </row>
    <row r="176" spans="1:17">
      <c r="A176" s="46">
        <v>19</v>
      </c>
      <c r="B176" s="47">
        <f t="shared" si="26"/>
        <v>1000</v>
      </c>
      <c r="C176" s="47">
        <f t="shared" si="34"/>
        <v>1570</v>
      </c>
      <c r="D176" s="47">
        <f t="shared" si="27"/>
        <v>1.57</v>
      </c>
      <c r="E176" s="47">
        <f>'SALICYLIC ACID'!$F$17/10^6</f>
        <v>0.51125</v>
      </c>
      <c r="F176" s="47">
        <f t="shared" si="28"/>
        <v>1.05875</v>
      </c>
      <c r="G176" s="47"/>
      <c r="H176" s="47"/>
      <c r="I176" s="47">
        <f t="shared" si="29"/>
        <v>1.05875</v>
      </c>
      <c r="J176" s="47">
        <f t="shared" si="30"/>
        <v>0</v>
      </c>
      <c r="K176" s="47">
        <f t="shared" si="35"/>
        <v>1.05875</v>
      </c>
      <c r="L176" s="50">
        <f>IF(K176&gt;0,K176*'SALICYLIC ACID'!$K$15,0)</f>
        <v>0.21175</v>
      </c>
      <c r="M176" s="47">
        <f t="shared" si="25"/>
        <v>0.847</v>
      </c>
      <c r="N176" s="47">
        <f t="shared" si="31"/>
        <v>9.68817</v>
      </c>
      <c r="O176" s="47">
        <f>(1+'SALICYLIC ACID'!$K$16)^-A176</f>
        <v>0.163507990826558</v>
      </c>
      <c r="P176" s="51">
        <f t="shared" si="32"/>
        <v>0.138491268230095</v>
      </c>
      <c r="Q176" s="55">
        <f t="shared" si="33"/>
        <v>1.86572941119738</v>
      </c>
    </row>
    <row r="177" spans="1:17">
      <c r="A177" s="42">
        <v>20</v>
      </c>
      <c r="B177" s="47">
        <f t="shared" si="26"/>
        <v>1000</v>
      </c>
      <c r="C177" s="47">
        <f t="shared" si="34"/>
        <v>1570</v>
      </c>
      <c r="D177" s="47">
        <f t="shared" si="27"/>
        <v>1.57</v>
      </c>
      <c r="E177" s="47">
        <f>'SALICYLIC ACID'!$F$17/10^6</f>
        <v>0.51125</v>
      </c>
      <c r="F177" s="47">
        <f t="shared" si="28"/>
        <v>1.05875</v>
      </c>
      <c r="G177" s="47"/>
      <c r="H177" s="47"/>
      <c r="I177" s="47">
        <f t="shared" si="29"/>
        <v>1.05875</v>
      </c>
      <c r="J177" s="47">
        <f t="shared" si="30"/>
        <v>0</v>
      </c>
      <c r="K177" s="47">
        <f t="shared" si="35"/>
        <v>1.05875</v>
      </c>
      <c r="L177" s="50">
        <f>IF(K177&gt;0,K177*'SALICYLIC ACID'!$K$15,0)</f>
        <v>0.21175</v>
      </c>
      <c r="M177" s="47">
        <f t="shared" si="25"/>
        <v>0.847</v>
      </c>
      <c r="N177" s="47">
        <f t="shared" si="31"/>
        <v>10.53517</v>
      </c>
      <c r="O177" s="47">
        <f>(1+'SALICYLIC ACID'!$K$16)^-A177</f>
        <v>0.148643628024143</v>
      </c>
      <c r="P177" s="51">
        <f t="shared" si="32"/>
        <v>0.125901152936449</v>
      </c>
      <c r="Q177" s="55">
        <f t="shared" si="33"/>
        <v>1.99163056413383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1.99163056413383</v>
      </c>
      <c r="Q178" s="55"/>
    </row>
  </sheetData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0"/>
  <sheetViews>
    <sheetView zoomScale="73" zoomScaleNormal="73" topLeftCell="A18" workbookViewId="0">
      <selection activeCell="G30" sqref="G30"/>
    </sheetView>
  </sheetViews>
  <sheetFormatPr defaultColWidth="9.14285714285714" defaultRowHeight="15"/>
  <cols>
    <col min="12" max="12" width="10.1428571428571"/>
  </cols>
  <sheetData>
    <row r="1" spans="1:14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</row>
    <row r="2" spans="1:14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</row>
    <row r="3" spans="1:14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2:14">
      <c r="B4" t="s">
        <v>54</v>
      </c>
      <c r="C4" s="90"/>
      <c r="D4" s="90"/>
      <c r="E4" s="90"/>
      <c r="F4" s="183"/>
      <c r="G4" s="90"/>
      <c r="H4" s="90"/>
      <c r="I4" s="90"/>
      <c r="J4" s="90"/>
      <c r="K4" s="90"/>
      <c r="L4" s="90"/>
      <c r="M4" s="90"/>
      <c r="N4" s="89"/>
    </row>
    <row r="5" ht="31.5" spans="1:14">
      <c r="A5" s="184" t="s">
        <v>170</v>
      </c>
      <c r="B5" s="185">
        <v>3.49795370209209</v>
      </c>
      <c r="C5" s="90"/>
      <c r="D5" s="90"/>
      <c r="E5" s="90"/>
      <c r="F5" s="183"/>
      <c r="G5" s="90"/>
      <c r="H5" s="90"/>
      <c r="I5" s="90"/>
      <c r="J5" s="90"/>
      <c r="K5" s="90"/>
      <c r="L5" s="90"/>
      <c r="M5" s="90"/>
      <c r="N5" s="89"/>
    </row>
    <row r="6" ht="63" spans="1:14">
      <c r="A6" s="184" t="s">
        <v>171</v>
      </c>
      <c r="B6">
        <v>3.57111099313345</v>
      </c>
      <c r="C6" s="90"/>
      <c r="D6" s="90"/>
      <c r="E6" s="90"/>
      <c r="F6" s="183"/>
      <c r="G6" s="90"/>
      <c r="H6" s="90"/>
      <c r="I6" s="90"/>
      <c r="J6" s="90"/>
      <c r="K6" s="90"/>
      <c r="L6" s="90"/>
      <c r="M6" s="90"/>
      <c r="N6" s="89"/>
    </row>
    <row r="7" ht="15.75" spans="1:14">
      <c r="A7" s="184" t="s">
        <v>172</v>
      </c>
      <c r="B7">
        <v>5.25137655357346</v>
      </c>
      <c r="C7" s="90"/>
      <c r="D7" s="90"/>
      <c r="E7" s="90"/>
      <c r="F7" s="183"/>
      <c r="G7" s="90"/>
      <c r="H7" s="90"/>
      <c r="I7" s="90"/>
      <c r="J7" s="90"/>
      <c r="K7" s="90"/>
      <c r="L7" s="90"/>
      <c r="M7" s="90"/>
      <c r="N7" s="89"/>
    </row>
    <row r="8" ht="31.5" spans="1:14">
      <c r="A8" s="184" t="s">
        <v>173</v>
      </c>
      <c r="B8">
        <v>7.52784297331386</v>
      </c>
      <c r="C8" s="90"/>
      <c r="D8" s="90"/>
      <c r="E8" s="90"/>
      <c r="F8" s="183"/>
      <c r="G8" s="90"/>
      <c r="H8" s="90"/>
      <c r="I8" s="90"/>
      <c r="J8" s="90"/>
      <c r="K8" s="90"/>
      <c r="L8" s="90"/>
      <c r="M8" s="90"/>
      <c r="N8" s="89"/>
    </row>
    <row r="9" ht="31.5" spans="1:16">
      <c r="A9" s="184" t="s">
        <v>174</v>
      </c>
      <c r="B9">
        <v>4.79104530978501</v>
      </c>
      <c r="C9" s="90"/>
      <c r="D9" s="90"/>
      <c r="E9" s="183"/>
      <c r="F9" s="183"/>
      <c r="G9" s="90"/>
      <c r="H9" s="90"/>
      <c r="I9" s="90"/>
      <c r="J9" s="90"/>
      <c r="K9" s="90"/>
      <c r="L9" s="183"/>
      <c r="M9" s="90"/>
      <c r="N9" s="89"/>
      <c r="P9" t="s">
        <v>54</v>
      </c>
    </row>
    <row r="10" ht="47.25" spans="1:16">
      <c r="A10" s="184" t="s">
        <v>175</v>
      </c>
      <c r="B10">
        <v>3.82826168247637</v>
      </c>
      <c r="C10" s="90"/>
      <c r="D10" s="90"/>
      <c r="E10" s="90"/>
      <c r="F10" s="183"/>
      <c r="G10" s="90"/>
      <c r="H10" s="90"/>
      <c r="I10" s="90"/>
      <c r="J10" s="90"/>
      <c r="K10" s="90"/>
      <c r="L10" s="193"/>
      <c r="M10" s="193"/>
      <c r="N10" s="89"/>
      <c r="O10" s="184" t="s">
        <v>170</v>
      </c>
      <c r="P10" s="185">
        <v>3.49795370209209</v>
      </c>
    </row>
    <row r="11" ht="63" spans="1:16">
      <c r="A11" s="90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89"/>
      <c r="O11" s="184" t="s">
        <v>171</v>
      </c>
      <c r="P11">
        <v>3.57111099313345</v>
      </c>
    </row>
    <row r="12" ht="15.75" spans="1:16">
      <c r="A12" s="90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89"/>
      <c r="O12" s="184" t="s">
        <v>172</v>
      </c>
      <c r="P12">
        <v>5.25137655357346</v>
      </c>
    </row>
    <row r="13" ht="31.5" spans="1:16">
      <c r="A13" s="90"/>
      <c r="B13" s="90"/>
      <c r="C13" s="90"/>
      <c r="D13" s="90"/>
      <c r="E13" s="90"/>
      <c r="F13" s="90"/>
      <c r="G13" s="90"/>
      <c r="H13" s="90"/>
      <c r="I13" s="90"/>
      <c r="J13" s="90"/>
      <c r="K13" s="90"/>
      <c r="L13" s="90"/>
      <c r="M13" s="90"/>
      <c r="N13" s="89"/>
      <c r="O13" s="184" t="s">
        <v>173</v>
      </c>
      <c r="P13">
        <v>7.52784297331386</v>
      </c>
    </row>
    <row r="14" ht="31.5" spans="1:16">
      <c r="A14" s="90"/>
      <c r="B14" s="90"/>
      <c r="C14" s="90"/>
      <c r="D14" s="90"/>
      <c r="E14" s="90"/>
      <c r="F14" s="183"/>
      <c r="G14" s="90"/>
      <c r="H14" s="90"/>
      <c r="I14" s="90"/>
      <c r="J14" s="90"/>
      <c r="K14" s="90"/>
      <c r="L14" s="90"/>
      <c r="M14" s="90"/>
      <c r="N14" s="89"/>
      <c r="O14" s="184" t="s">
        <v>174</v>
      </c>
      <c r="P14">
        <v>4.79104530978501</v>
      </c>
    </row>
    <row r="15" ht="47.25" spans="1:16">
      <c r="A15" s="90"/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89"/>
      <c r="O15" s="184" t="s">
        <v>175</v>
      </c>
      <c r="P15">
        <v>3.82826168247637</v>
      </c>
    </row>
    <row r="16" ht="75" spans="1:22">
      <c r="A16" s="186" t="s">
        <v>62</v>
      </c>
      <c r="B16" s="187">
        <f>'MINERAL CARBONATION 2'!Q4</f>
        <v>0</v>
      </c>
      <c r="C16" s="187">
        <f>'MINERAL CARBONATION 2'!Q5</f>
        <v>-0.181818181818182</v>
      </c>
      <c r="D16" s="187" t="e">
        <f>'MINERAL CARBONATION 2'!#REF!</f>
        <v>#REF!</v>
      </c>
      <c r="E16" s="187" t="e">
        <f>'MINERAL CARBONATION 2'!#REF!</f>
        <v>#REF!</v>
      </c>
      <c r="F16" s="187" t="e">
        <f>'MINERAL CARBONATION 2'!#REF!</f>
        <v>#REF!</v>
      </c>
      <c r="G16" s="187" t="e">
        <f>'MINERAL CARBONATION 2'!#REF!</f>
        <v>#REF!</v>
      </c>
      <c r="H16" s="187" t="e">
        <f>'MINERAL CARBONATION 2'!#REF!</f>
        <v>#REF!</v>
      </c>
      <c r="I16" s="187" t="e">
        <f>'MINERAL CARBONATION 2'!#REF!</f>
        <v>#REF!</v>
      </c>
      <c r="J16" s="187" t="e">
        <f>'MINERAL CARBONATION 2'!#REF!</f>
        <v>#REF!</v>
      </c>
      <c r="K16" s="187" t="e">
        <f>'MINERAL CARBONATION 2'!#REF!</f>
        <v>#REF!</v>
      </c>
      <c r="L16" s="187" t="e">
        <f>'MINERAL CARBONATION 2'!#REF!</f>
        <v>#REF!</v>
      </c>
      <c r="M16" s="187" t="e">
        <f>'MINERAL CARBONATION 2'!#REF!</f>
        <v>#REF!</v>
      </c>
      <c r="N16" s="187" t="e">
        <f>'MINERAL CARBONATION 2'!#REF!</f>
        <v>#REF!</v>
      </c>
      <c r="O16" s="187" t="e">
        <f>'MINERAL CARBONATION 2'!#REF!</f>
        <v>#REF!</v>
      </c>
      <c r="P16" s="187" t="e">
        <f>'MINERAL CARBONATION 2'!#REF!</f>
        <v>#REF!</v>
      </c>
      <c r="Q16" s="187" t="e">
        <f>'MINERAL CARBONATION 2'!#REF!</f>
        <v>#REF!</v>
      </c>
      <c r="R16" s="187" t="e">
        <f>'MINERAL CARBONATION 2'!#REF!</f>
        <v>#REF!</v>
      </c>
      <c r="S16" s="187" t="e">
        <f>'MINERAL CARBONATION 2'!#REF!</f>
        <v>#REF!</v>
      </c>
      <c r="T16" s="187" t="e">
        <f>'MINERAL CARBONATION 2'!#REF!</f>
        <v>#REF!</v>
      </c>
      <c r="U16" s="187" t="e">
        <f>'MINERAL CARBONATION 2'!#REF!</f>
        <v>#REF!</v>
      </c>
      <c r="V16" s="187" t="e">
        <f>'MINERAL CARBONATION 2'!#REF!</f>
        <v>#REF!</v>
      </c>
    </row>
    <row r="17" spans="1:22">
      <c r="A17" s="188" t="s">
        <v>34</v>
      </c>
      <c r="B17" s="188">
        <v>0</v>
      </c>
      <c r="C17" s="188">
        <v>1</v>
      </c>
      <c r="D17" s="188">
        <v>2</v>
      </c>
      <c r="E17" s="188">
        <v>3</v>
      </c>
      <c r="F17" s="188">
        <v>4</v>
      </c>
      <c r="G17" s="188">
        <v>5</v>
      </c>
      <c r="H17" s="188">
        <v>6</v>
      </c>
      <c r="I17" s="188">
        <v>7</v>
      </c>
      <c r="J17" s="188">
        <v>8</v>
      </c>
      <c r="K17" s="188">
        <v>9</v>
      </c>
      <c r="L17" s="188">
        <v>10</v>
      </c>
      <c r="M17" s="188">
        <v>11</v>
      </c>
      <c r="N17" s="188">
        <v>12</v>
      </c>
      <c r="O17" s="188">
        <v>13</v>
      </c>
      <c r="P17" s="188">
        <v>14</v>
      </c>
      <c r="Q17" s="188">
        <v>15</v>
      </c>
      <c r="R17" s="188">
        <v>16</v>
      </c>
      <c r="S17" s="188">
        <v>17</v>
      </c>
      <c r="T17" s="188">
        <v>18</v>
      </c>
      <c r="U17" s="188">
        <v>19</v>
      </c>
      <c r="V17" s="188">
        <v>20</v>
      </c>
    </row>
    <row r="18" spans="1:14">
      <c r="A18" s="90"/>
      <c r="B18" s="90"/>
      <c r="C18" s="90"/>
      <c r="D18" s="90"/>
      <c r="E18" s="90"/>
      <c r="F18" s="183"/>
      <c r="G18" s="90"/>
      <c r="H18" s="90"/>
      <c r="I18" s="90"/>
      <c r="J18" s="90"/>
      <c r="K18" s="90"/>
      <c r="L18" s="90"/>
      <c r="M18" s="90"/>
      <c r="N18" s="89"/>
    </row>
    <row r="19" ht="75" spans="3:14">
      <c r="C19" s="188" t="s">
        <v>34</v>
      </c>
      <c r="D19" s="186" t="s">
        <v>176</v>
      </c>
      <c r="E19" s="189" t="s">
        <v>177</v>
      </c>
      <c r="F19" s="190" t="s">
        <v>178</v>
      </c>
      <c r="G19" s="98" t="s">
        <v>179</v>
      </c>
      <c r="H19" s="98" t="s">
        <v>180</v>
      </c>
      <c r="I19" s="98" t="s">
        <v>181</v>
      </c>
      <c r="J19" s="90"/>
      <c r="K19" s="90"/>
      <c r="L19" s="90"/>
      <c r="M19" s="90"/>
      <c r="N19" s="89"/>
    </row>
    <row r="20" spans="3:13">
      <c r="C20" s="188">
        <v>0</v>
      </c>
      <c r="D20" s="187">
        <f>'MINERAL CARBONATION 2'!Q4</f>
        <v>0</v>
      </c>
      <c r="E20" s="191">
        <f>'UREA SYNTHESIS 2'!Q4</f>
        <v>0</v>
      </c>
      <c r="F20" s="20">
        <f>'METHANOL SYNTHESIS 2'!Q4</f>
        <v>0</v>
      </c>
      <c r="G20" s="20">
        <f>'POLYOL 2'!Q4</f>
        <v>0</v>
      </c>
      <c r="H20" s="20">
        <f>'ENHANCED OIL RECOVERY 2'!S4</f>
        <v>0</v>
      </c>
      <c r="I20" s="20">
        <f>'SALICYLIC ACID 2'!Q4</f>
        <v>0</v>
      </c>
      <c r="J20" s="31"/>
      <c r="K20" s="31"/>
      <c r="L20" s="31"/>
      <c r="M20" s="31"/>
    </row>
    <row r="21" spans="3:13">
      <c r="C21" s="188">
        <v>1</v>
      </c>
      <c r="D21" s="187">
        <f>'MINERAL CARBONATION 2'!Q5</f>
        <v>-0.181818181818182</v>
      </c>
      <c r="E21" s="187">
        <f>'UREA SYNTHESIS 2'!Q5</f>
        <v>-17.7021154545455</v>
      </c>
      <c r="F21" s="20">
        <f>'METHANOL SYNTHESIS 2'!Q5</f>
        <v>-0.584090909090909</v>
      </c>
      <c r="G21" s="20">
        <f>'POLYOL 2'!Q5</f>
        <v>-0.986818181818181</v>
      </c>
      <c r="H21" s="20">
        <f>'ENHANCED OIL RECOVERY 2'!S5</f>
        <v>-2.10690629370627</v>
      </c>
      <c r="I21" s="20">
        <f>'SALICYLIC ACID 2'!Q5</f>
        <v>-0.466381818181818</v>
      </c>
      <c r="J21" s="31"/>
      <c r="K21" s="31"/>
      <c r="L21" s="31"/>
      <c r="M21" s="31"/>
    </row>
    <row r="22" spans="3:13">
      <c r="C22" s="188">
        <v>2</v>
      </c>
      <c r="D22" s="187">
        <f>'MINERAL CARBONATION 2'!Q6</f>
        <v>-0.347107438016529</v>
      </c>
      <c r="E22" s="187">
        <f>'UREA SYNTHESIS 2'!Q6</f>
        <v>-33.7949476859504</v>
      </c>
      <c r="F22" s="20">
        <f>'METHANOL SYNTHESIS 2'!Q6</f>
        <v>-1.1150826446281</v>
      </c>
      <c r="G22" s="20">
        <f>'POLYOL 2'!Q6</f>
        <v>-1.88392561983471</v>
      </c>
      <c r="H22" s="20">
        <f>'ENHANCED OIL RECOVERY 2'!S6</f>
        <v>-4.02227565162106</v>
      </c>
      <c r="I22" s="20">
        <f>'SALICYLIC ACID 2'!Q6</f>
        <v>-0.890365289256198</v>
      </c>
      <c r="J22" s="31"/>
      <c r="K22" s="31"/>
      <c r="L22" s="31"/>
      <c r="M22" s="31"/>
    </row>
    <row r="23" spans="3:13">
      <c r="C23" s="192">
        <v>3</v>
      </c>
      <c r="D23" s="187">
        <f>'MINERAL CARBONATION 2'!Q7</f>
        <v>-0.497370398196844</v>
      </c>
      <c r="E23" s="187">
        <f>'UREA SYNTHESIS 2'!Q7</f>
        <v>-48.4247951690458</v>
      </c>
      <c r="F23" s="20">
        <f>'METHANOL SYNTHESIS 2'!Q7</f>
        <v>-1.59780240420736</v>
      </c>
      <c r="G23" s="20">
        <f>'POLYOL 2'!Q7</f>
        <v>-2.69947783621337</v>
      </c>
      <c r="H23" s="20">
        <f>'ENHANCED OIL RECOVERY 2'!S7</f>
        <v>-5.76352052245269</v>
      </c>
      <c r="I23" s="20">
        <f>'SALICYLIC ACID 2'!Q7</f>
        <v>-1.27580480841473</v>
      </c>
      <c r="J23" s="108"/>
      <c r="K23" s="31"/>
      <c r="L23" s="31"/>
      <c r="M23" s="31"/>
    </row>
    <row r="24" spans="3:13">
      <c r="C24" s="192">
        <v>4</v>
      </c>
      <c r="D24" s="187">
        <f>'MINERAL CARBONATION 2'!Q8</f>
        <v>-0.633973089269858</v>
      </c>
      <c r="E24" s="187">
        <f>'UREA SYNTHESIS 2'!Q8</f>
        <v>-61.7246565173144</v>
      </c>
      <c r="F24" s="20">
        <f>'METHANOL SYNTHESIS 2'!Q8</f>
        <v>-2.03663854927942</v>
      </c>
      <c r="G24" s="20">
        <f>'POLYOL 2'!Q8</f>
        <v>-3.44088894201216</v>
      </c>
      <c r="H24" s="20">
        <f>'ENHANCED OIL RECOVERY 2'!S8</f>
        <v>-7.3464704050269</v>
      </c>
      <c r="I24" s="20">
        <f>'SALICYLIC ACID 2'!Q8</f>
        <v>-1.62620437128611</v>
      </c>
      <c r="J24" s="108"/>
      <c r="K24" s="31"/>
      <c r="L24" s="31"/>
      <c r="M24" s="31"/>
    </row>
    <row r="25" spans="3:13">
      <c r="C25" s="192">
        <v>5</v>
      </c>
      <c r="D25" s="187">
        <f>'MINERAL CARBONATION 2'!Q9</f>
        <v>0.111132498401128</v>
      </c>
      <c r="E25" s="187">
        <f>'UREA SYNTHESIS 2'!Q9</f>
        <v>4.83943709278424</v>
      </c>
      <c r="F25" s="20">
        <f>'METHANOL SYNTHESIS 2'!Q9</f>
        <v>-1.19373785322662</v>
      </c>
      <c r="G25" s="20">
        <f>'POLYOL 2'!Q9</f>
        <v>-1.78644407672104</v>
      </c>
      <c r="H25" s="20">
        <f>'ENHANCED OIL RECOVERY 2'!S9</f>
        <v>-1.46915204003693</v>
      </c>
      <c r="I25" s="20">
        <f>'SALICYLIC ACID 2'!Q9</f>
        <v>-0.720435391273572</v>
      </c>
      <c r="J25" s="108"/>
      <c r="K25" s="31"/>
      <c r="L25" s="31"/>
      <c r="M25" s="31"/>
    </row>
    <row r="26" spans="3:13">
      <c r="C26" s="192">
        <v>6</v>
      </c>
      <c r="D26" s="187">
        <f>'MINERAL CARBONATION 2'!Q10</f>
        <v>0.698185385657056</v>
      </c>
      <c r="E26" s="187">
        <f>'UREA SYNTHESIS 2'!Q10</f>
        <v>65.3522494656012</v>
      </c>
      <c r="F26" s="20">
        <f>'METHANOL SYNTHESIS 2'!Q10</f>
        <v>-0.580719165188216</v>
      </c>
      <c r="G26" s="20">
        <f>'POLYOL 2'!Q10</f>
        <v>-0.583211447418406</v>
      </c>
      <c r="H26" s="20">
        <f>'ENHANCED OIL RECOVERY 2'!S10</f>
        <v>3.8738646554085</v>
      </c>
      <c r="I26" s="20">
        <f>'SALICYLIC ACID 2'!Q10</f>
        <v>-0.0616943149008141</v>
      </c>
      <c r="J26" s="108"/>
      <c r="K26" s="31"/>
      <c r="L26" s="31"/>
      <c r="M26" s="31"/>
    </row>
    <row r="27" spans="3:13">
      <c r="C27" s="192">
        <v>7</v>
      </c>
      <c r="D27" s="187">
        <f>'MINERAL CARBONATION 2'!Q11</f>
        <v>1.23186982861699</v>
      </c>
      <c r="E27" s="187">
        <f>'UREA SYNTHESIS 2'!Q11</f>
        <v>120.363897077253</v>
      </c>
      <c r="F27" s="20">
        <f>'METHANOL SYNTHESIS 2'!Q11</f>
        <v>-0.0234294487896688</v>
      </c>
      <c r="G27" s="20">
        <f>'POLYOL 2'!Q11</f>
        <v>0.510636397402167</v>
      </c>
      <c r="H27" s="20">
        <f>'ENHANCED OIL RECOVERY 2'!S11</f>
        <v>8.73115256035888</v>
      </c>
      <c r="I27" s="20">
        <f>'SALICYLIC ACID 2'!Q11</f>
        <v>0.53716120907442</v>
      </c>
      <c r="J27" s="31"/>
      <c r="K27" s="31"/>
      <c r="L27" s="31"/>
      <c r="M27" s="31"/>
    </row>
    <row r="28" spans="3:13">
      <c r="C28" s="192">
        <v>8</v>
      </c>
      <c r="D28" s="187">
        <f>'MINERAL CARBONATION 2'!Q12</f>
        <v>1.71703750403511</v>
      </c>
      <c r="E28" s="187">
        <f>'UREA SYNTHESIS 2'!Q12</f>
        <v>170.374485815118</v>
      </c>
      <c r="F28" s="20">
        <f>'METHANOL SYNTHESIS 2'!Q12</f>
        <v>0.483197566118101</v>
      </c>
      <c r="G28" s="20">
        <f>'POLYOL 2'!Q12</f>
        <v>1.50504352905723</v>
      </c>
      <c r="H28" s="20">
        <f>'ENHANCED OIL RECOVERY 2'!S12</f>
        <v>13.1468688375865</v>
      </c>
      <c r="I28" s="20">
        <f>'SALICYLIC ACID 2'!Q12</f>
        <v>1.08157532177918</v>
      </c>
      <c r="J28" s="31"/>
      <c r="K28" s="31"/>
      <c r="L28" s="31"/>
      <c r="M28" s="31"/>
    </row>
    <row r="29" spans="3:13">
      <c r="C29" s="192">
        <v>9</v>
      </c>
      <c r="D29" s="187">
        <f>'MINERAL CARBONATION 2'!Q13</f>
        <v>2.1580990271425</v>
      </c>
      <c r="E29" s="187">
        <f>'UREA SYNTHESIS 2'!Q13</f>
        <v>215.838657394996</v>
      </c>
      <c r="F29" s="20">
        <f>'METHANOL SYNTHESIS 2'!Q13</f>
        <v>0.94376757967062</v>
      </c>
      <c r="G29" s="20">
        <f>'POLYOL 2'!Q13</f>
        <v>2.40905001238002</v>
      </c>
      <c r="H29" s="20">
        <f>'ENHANCED OIL RECOVERY 2'!S13</f>
        <v>17.1611563623389</v>
      </c>
      <c r="I29" s="20">
        <f>'SALICYLIC ACID 2'!Q13</f>
        <v>1.57649724241987</v>
      </c>
      <c r="J29" s="31"/>
      <c r="K29" s="31"/>
      <c r="L29" s="31"/>
      <c r="M29" s="31"/>
    </row>
    <row r="30" spans="3:9">
      <c r="C30" s="188">
        <v>10</v>
      </c>
      <c r="D30" s="187">
        <f>'MINERAL CARBONATION 2'!Q14</f>
        <v>2.55906404814921</v>
      </c>
      <c r="E30" s="187">
        <f>'UREA SYNTHESIS 2'!Q14</f>
        <v>257.169722467611</v>
      </c>
      <c r="F30" s="20">
        <f>'METHANOL SYNTHESIS 2'!Q14</f>
        <v>1.36246759199109</v>
      </c>
      <c r="G30" s="20">
        <f>'POLYOL 2'!Q14</f>
        <v>3.23087408812801</v>
      </c>
      <c r="H30" s="20">
        <f>'ENHANCED OIL RECOVERY 2'!S14</f>
        <v>20.8105086575683</v>
      </c>
      <c r="I30" s="20">
        <f>'SALICYLIC ACID 2'!Q14</f>
        <v>2.02642626118413</v>
      </c>
    </row>
    <row r="31" spans="3:9">
      <c r="C31" s="188">
        <v>11</v>
      </c>
      <c r="D31" s="187">
        <f>'MINERAL CARBONATION 2'!Q15</f>
        <v>2.92357770360986</v>
      </c>
      <c r="E31" s="187">
        <f>'UREA SYNTHESIS 2'!Q15</f>
        <v>294.743417988171</v>
      </c>
      <c r="F31" s="20">
        <f>'METHANOL SYNTHESIS 2'!Q15</f>
        <v>1.74310396682788</v>
      </c>
      <c r="G31" s="20">
        <f>'POLYOL 2'!Q15</f>
        <v>3.97798688426255</v>
      </c>
      <c r="H31" s="20">
        <f>'ENHANCED OIL RECOVERY 2'!S15</f>
        <v>24.1281016532315</v>
      </c>
      <c r="I31" s="20">
        <f>'SALICYLIC ACID 2'!Q15</f>
        <v>2.43545264187892</v>
      </c>
    </row>
    <row r="32" spans="3:9">
      <c r="C32" s="188">
        <v>12</v>
      </c>
      <c r="D32" s="187">
        <f>'MINERAL CARBONATION 2'!Q16</f>
        <v>3.25495375402863</v>
      </c>
      <c r="E32" s="187">
        <f>'UREA SYNTHESIS 2'!Q16</f>
        <v>328.901323006862</v>
      </c>
      <c r="F32" s="20">
        <f>'METHANOL SYNTHESIS 2'!Q16</f>
        <v>2.08913703486133</v>
      </c>
      <c r="G32" s="20">
        <f>'POLYOL 2'!Q16</f>
        <v>4.65718033529394</v>
      </c>
      <c r="H32" s="20">
        <f>'ENHANCED OIL RECOVERY 2'!S16</f>
        <v>27.1440952856525</v>
      </c>
      <c r="I32" s="20">
        <f>'SALICYLIC ACID 2'!Q16</f>
        <v>2.8072948061469</v>
      </c>
    </row>
    <row r="33" spans="3:9">
      <c r="C33" s="188">
        <v>13</v>
      </c>
      <c r="D33" s="187">
        <f>'MINERAL CARBONATION 2'!Q17</f>
        <v>3.55620470895478</v>
      </c>
      <c r="E33" s="187">
        <f>'UREA SYNTHESIS 2'!Q17</f>
        <v>359.953963932945</v>
      </c>
      <c r="F33" s="20">
        <f>'METHANOL SYNTHESIS 2'!Q17</f>
        <v>2.40371255125537</v>
      </c>
      <c r="G33" s="20">
        <f>'POLYOL 2'!Q17</f>
        <v>5.27462892714067</v>
      </c>
      <c r="H33" s="20">
        <f>'ENHANCED OIL RECOVERY 2'!S17</f>
        <v>29.8859076787625</v>
      </c>
      <c r="I33" s="20">
        <f>'SALICYLIC ACID 2'!Q17</f>
        <v>3.14533313729962</v>
      </c>
    </row>
    <row r="34" spans="3:9">
      <c r="C34" s="188">
        <v>14</v>
      </c>
      <c r="D34" s="187">
        <f>'MINERAL CARBONATION 2'!Q18</f>
        <v>3.83006921343311</v>
      </c>
      <c r="E34" s="187">
        <f>'UREA SYNTHESIS 2'!Q18</f>
        <v>388.183637502111</v>
      </c>
      <c r="F34" s="20">
        <f>'METHANOL SYNTHESIS 2'!Q18</f>
        <v>2.68969029343178</v>
      </c>
      <c r="G34" s="20">
        <f>'POLYOL 2'!Q18</f>
        <v>5.83594582881951</v>
      </c>
      <c r="H34" s="20">
        <f>'ENHANCED OIL RECOVERY 2'!S18</f>
        <v>32.3784643997716</v>
      </c>
      <c r="I34" s="20">
        <f>'SALICYLIC ACID 2'!Q18</f>
        <v>3.45264071107481</v>
      </c>
    </row>
    <row r="35" spans="3:9">
      <c r="C35" s="188">
        <v>15</v>
      </c>
      <c r="D35" s="187">
        <f>'MINERAL CARBONATION 2'!Q19</f>
        <v>4.07903694477704</v>
      </c>
      <c r="E35" s="187">
        <f>'UREA SYNTHESIS 2'!Q19</f>
        <v>413.846977110443</v>
      </c>
      <c r="F35" s="20">
        <f>'METHANOL SYNTHESIS 2'!Q19</f>
        <v>2.94967005904669</v>
      </c>
      <c r="G35" s="20">
        <f>'POLYOL 2'!Q19</f>
        <v>6.34623392125482</v>
      </c>
      <c r="H35" s="20">
        <f>'ENHANCED OIL RECOVERY 2'!S19</f>
        <v>34.6444250552345</v>
      </c>
      <c r="I35" s="20">
        <f>'SALICYLIC ACID 2'!Q19</f>
        <v>3.73201123268863</v>
      </c>
    </row>
    <row r="36" spans="3:9">
      <c r="C36" s="188">
        <v>16</v>
      </c>
      <c r="D36" s="187">
        <f>'MINERAL CARBONATION 2'!Q20</f>
        <v>4.30537124599879</v>
      </c>
      <c r="E36" s="187">
        <f>'UREA SYNTHESIS 2'!Q20</f>
        <v>437.177285845291</v>
      </c>
      <c r="F36" s="20">
        <f>'METHANOL SYNTHESIS 2'!Q20</f>
        <v>3.18601530051479</v>
      </c>
      <c r="G36" s="20">
        <f>'POLYOL 2'!Q20</f>
        <v>6.8101321871051</v>
      </c>
      <c r="H36" s="20">
        <f>'ENHANCED OIL RECOVERY 2'!S20</f>
        <v>36.7043892874734</v>
      </c>
      <c r="I36" s="20">
        <f>'SALICYLIC ACID 2'!Q20</f>
        <v>3.98598443415573</v>
      </c>
    </row>
    <row r="37" spans="3:9">
      <c r="C37" s="188">
        <v>17</v>
      </c>
      <c r="D37" s="187">
        <f>'MINERAL CARBONATION 2'!Q21</f>
        <v>4.51112970165493</v>
      </c>
      <c r="E37" s="187">
        <f>'UREA SYNTHESIS 2'!Q21</f>
        <v>458.386657422426</v>
      </c>
      <c r="F37" s="20">
        <f>'METHANOL SYNTHESIS 2'!Q21</f>
        <v>3.40087461094034</v>
      </c>
      <c r="G37" s="20">
        <f>'POLYOL 2'!Q21</f>
        <v>7.23185788333263</v>
      </c>
      <c r="H37" s="20">
        <f>'ENHANCED OIL RECOVERY 2'!S21</f>
        <v>38.5770840440542</v>
      </c>
      <c r="I37" s="20">
        <f>'SALICYLIC ACID 2'!Q21</f>
        <v>4.21686916276219</v>
      </c>
    </row>
    <row r="38" spans="3:9">
      <c r="C38" s="188">
        <v>18</v>
      </c>
      <c r="D38" s="187">
        <f>'MINERAL CARBONATION 2'!Q22</f>
        <v>4.69818284316051</v>
      </c>
      <c r="E38" s="187">
        <f>'UREA SYNTHESIS 2'!Q22</f>
        <v>477.66790431073</v>
      </c>
      <c r="F38" s="20">
        <f>'METHANOL SYNTHESIS 2'!Q22</f>
        <v>3.59620125678174</v>
      </c>
      <c r="G38" s="20">
        <f>'POLYOL 2'!Q22</f>
        <v>7.61524487990311</v>
      </c>
      <c r="H38" s="20">
        <f>'ENHANCED OIL RECOVERY 2'!S22</f>
        <v>40.2795338227641</v>
      </c>
      <c r="I38" s="20">
        <f>'SALICYLIC ACID 2'!Q22</f>
        <v>4.42676437058624</v>
      </c>
    </row>
    <row r="39" spans="3:9">
      <c r="C39" s="188">
        <v>19</v>
      </c>
      <c r="D39" s="187">
        <f>'MINERAL CARBONATION 2'!Q23</f>
        <v>4.86823115362013</v>
      </c>
      <c r="E39" s="187">
        <f>'UREA SYNTHESIS 2'!Q23</f>
        <v>495.196310572825</v>
      </c>
      <c r="F39" s="20">
        <f>'METHANOL SYNTHESIS 2'!Q23</f>
        <v>3.77377093481938</v>
      </c>
      <c r="G39" s="20">
        <f>'POLYOL 2'!Q23</f>
        <v>7.963778513149</v>
      </c>
      <c r="H39" s="20">
        <f>'ENHANCED OIL RECOVERY 2'!S23</f>
        <v>41.8272154397731</v>
      </c>
      <c r="I39" s="20">
        <f>'SALICYLIC ACID 2'!Q23</f>
        <v>4.61757819588083</v>
      </c>
    </row>
    <row r="40" spans="3:9">
      <c r="C40" s="188">
        <v>20</v>
      </c>
      <c r="D40" s="187">
        <f>'MINERAL CARBONATION 2'!Q24</f>
        <v>5.02282052676524</v>
      </c>
      <c r="E40" s="187">
        <f>'UREA SYNTHESIS 2'!Q24</f>
        <v>511.131225356547</v>
      </c>
      <c r="F40" s="20">
        <f>'METHANOL SYNTHESIS 2'!Q24</f>
        <v>3.9351979148536</v>
      </c>
      <c r="G40" s="20">
        <f>'POLYOL 2'!Q24</f>
        <v>8.28062727064526</v>
      </c>
      <c r="H40" s="20">
        <f>'ENHANCED OIL RECOVERY 2'!S24</f>
        <v>43.234198727963</v>
      </c>
      <c r="I40" s="20">
        <f>'SALICYLIC ACID 2'!Q24</f>
        <v>4.79104530978501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"/>
  <sheetViews>
    <sheetView zoomScale="75" zoomScaleNormal="75" topLeftCell="A3" workbookViewId="0">
      <selection activeCell="E5" sqref="E5"/>
    </sheetView>
  </sheetViews>
  <sheetFormatPr defaultColWidth="9.14285714285714" defaultRowHeight="15"/>
  <cols>
    <col min="1" max="1" width="10.5714285714286" customWidth="1"/>
    <col min="3" max="3" width="6" customWidth="1"/>
    <col min="4" max="4" width="11.1428571428571" customWidth="1"/>
    <col min="5" max="5" width="11.4285714285714" customWidth="1"/>
    <col min="6" max="6" width="9.57142857142857"/>
    <col min="8" max="8" width="9.57142857142857"/>
    <col min="9" max="9" width="11.5714285714286" customWidth="1"/>
    <col min="10" max="10" width="10.0952380952381" customWidth="1"/>
    <col min="11" max="11" width="11.2380952380952" customWidth="1"/>
    <col min="14" max="14" width="11"/>
    <col min="15" max="15" width="10.6666666666667" customWidth="1"/>
    <col min="16" max="17" width="12.5714285714286"/>
    <col min="18" max="22" width="12"/>
  </cols>
  <sheetData>
    <row r="1" ht="30" spans="1:14">
      <c r="A1" s="56" t="s">
        <v>33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</row>
    <row r="2" spans="1:18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ht="90" spans="1:21">
      <c r="A3" s="58" t="s">
        <v>34</v>
      </c>
      <c r="B3" s="332" t="s">
        <v>35</v>
      </c>
      <c r="C3" s="332" t="s">
        <v>36</v>
      </c>
      <c r="D3" s="332" t="s">
        <v>37</v>
      </c>
      <c r="E3" s="332" t="s">
        <v>38</v>
      </c>
      <c r="F3" s="332" t="s">
        <v>39</v>
      </c>
      <c r="G3" s="332" t="s">
        <v>40</v>
      </c>
      <c r="H3" s="332" t="s">
        <v>41</v>
      </c>
      <c r="I3" s="332" t="s">
        <v>42</v>
      </c>
      <c r="J3" s="332" t="s">
        <v>43</v>
      </c>
      <c r="K3" s="334" t="s">
        <v>44</v>
      </c>
      <c r="L3" s="186" t="s">
        <v>45</v>
      </c>
      <c r="M3" s="186" t="s">
        <v>46</v>
      </c>
      <c r="N3" s="186" t="s">
        <v>47</v>
      </c>
      <c r="O3" s="186" t="s">
        <v>48</v>
      </c>
      <c r="P3" s="186" t="s">
        <v>49</v>
      </c>
      <c r="Q3" s="186" t="s">
        <v>50</v>
      </c>
      <c r="R3" s="31"/>
      <c r="T3" s="74"/>
      <c r="U3" s="74"/>
    </row>
    <row r="4" spans="1:25">
      <c r="A4" s="60">
        <v>0</v>
      </c>
      <c r="B4" s="61"/>
      <c r="C4" s="62"/>
      <c r="D4" s="63"/>
      <c r="E4" s="62"/>
      <c r="F4" s="62"/>
      <c r="G4" s="62">
        <f>'MINERAL CARBONATION'!F8</f>
        <v>6</v>
      </c>
      <c r="H4" s="62"/>
      <c r="I4" s="62"/>
      <c r="J4" s="62"/>
      <c r="K4" s="33">
        <f t="shared" ref="K4:K9" si="0">J4</f>
        <v>0</v>
      </c>
      <c r="L4" s="68">
        <f>IF(K4&gt;0,K4*'MINERAL CARBONATION'!$K$15,0)</f>
        <v>0</v>
      </c>
      <c r="M4" s="33">
        <f>I4-L4</f>
        <v>0</v>
      </c>
      <c r="N4" s="33">
        <v>0</v>
      </c>
      <c r="O4" s="33">
        <f>(1+'MINERAL CARBONATION'!$K$16)^-A4</f>
        <v>1</v>
      </c>
      <c r="P4" s="69">
        <f>N4*O4</f>
        <v>0</v>
      </c>
      <c r="Q4" s="328">
        <f>P4</f>
        <v>0</v>
      </c>
      <c r="R4" s="336"/>
      <c r="T4" s="303"/>
      <c r="U4" s="303"/>
      <c r="V4" s="303"/>
      <c r="W4" s="303"/>
      <c r="X4" s="303"/>
      <c r="Y4" s="303"/>
    </row>
    <row r="5" spans="1:25">
      <c r="A5" s="35">
        <v>1</v>
      </c>
      <c r="B5" s="33">
        <f>'MINERAL CARBONATION'!$M$7/(4/3)</f>
        <v>30000</v>
      </c>
      <c r="C5" s="33">
        <f>'MINERAL CARBONATION'!M6</f>
        <v>100</v>
      </c>
      <c r="D5" s="33">
        <f>B5*C5/10^6</f>
        <v>3</v>
      </c>
      <c r="E5" s="33">
        <f>'MINERAL CARBONATION'!$F$17</f>
        <v>1.7</v>
      </c>
      <c r="F5" s="33">
        <f>D5-E5</f>
        <v>1.3</v>
      </c>
      <c r="G5" s="33"/>
      <c r="H5" s="33">
        <f>'MINERAL CARBONATION'!$F$8/'MINERAL CARBONATION'!$K$12</f>
        <v>1.5</v>
      </c>
      <c r="I5" s="33">
        <f>F5-H5</f>
        <v>-0.2</v>
      </c>
      <c r="J5" s="33">
        <f>I5</f>
        <v>-0.2</v>
      </c>
      <c r="K5" s="33">
        <f t="shared" si="0"/>
        <v>-0.2</v>
      </c>
      <c r="L5" s="68">
        <f>IF(K5&gt;0,K5*'MINERAL CARBONATION'!$K$15,0)</f>
        <v>0</v>
      </c>
      <c r="M5" s="33">
        <f>I5-L5</f>
        <v>-0.2</v>
      </c>
      <c r="N5" s="33">
        <f>N4+M5</f>
        <v>-0.2</v>
      </c>
      <c r="O5" s="64">
        <f>(1+'MINERAL CARBONATION'!$K$16)^-A5</f>
        <v>0.909090909090909</v>
      </c>
      <c r="P5" s="70">
        <f>M5*O5</f>
        <v>-0.181818181818182</v>
      </c>
      <c r="Q5" s="337">
        <f>Q4+P5</f>
        <v>-0.181818181818182</v>
      </c>
      <c r="R5" s="31"/>
      <c r="T5" s="303"/>
      <c r="U5" s="303"/>
      <c r="V5" s="303"/>
      <c r="W5" s="303"/>
      <c r="X5" s="303"/>
      <c r="Y5" s="303"/>
    </row>
    <row r="6" spans="1:25">
      <c r="A6" s="60">
        <v>2</v>
      </c>
      <c r="B6" s="33">
        <f>'MINERAL CARBONATION'!$M$7/(4/3)</f>
        <v>30000</v>
      </c>
      <c r="C6" s="33">
        <f>$C$5</f>
        <v>100</v>
      </c>
      <c r="D6" s="33">
        <f t="shared" ref="D6:D24" si="1">B6*C6/10^6</f>
        <v>3</v>
      </c>
      <c r="E6" s="33">
        <f>'MINERAL CARBONATION'!$F$17</f>
        <v>1.7</v>
      </c>
      <c r="F6" s="33">
        <f t="shared" ref="F6:F24" si="2">D6-E6</f>
        <v>1.3</v>
      </c>
      <c r="G6" s="33"/>
      <c r="H6" s="33">
        <f>'MINERAL CARBONATION'!$F$8/'MINERAL CARBONATION'!$K$12</f>
        <v>1.5</v>
      </c>
      <c r="I6" s="33">
        <f t="shared" ref="I6:I24" si="3">F6-H6</f>
        <v>-0.2</v>
      </c>
      <c r="J6" s="33">
        <f>J5+I6</f>
        <v>-0.4</v>
      </c>
      <c r="K6" s="33">
        <f t="shared" si="0"/>
        <v>-0.4</v>
      </c>
      <c r="L6" s="68">
        <f>IF(K6&gt;0,K6*'MINERAL CARBONATION'!$K$15,0)</f>
        <v>0</v>
      </c>
      <c r="M6" s="33">
        <f t="shared" ref="M6:M24" si="4">I6-L6</f>
        <v>-0.2</v>
      </c>
      <c r="N6" s="33">
        <f t="shared" ref="N6:N24" si="5">N5+M6</f>
        <v>-0.4</v>
      </c>
      <c r="O6" s="64">
        <f>(1+'MINERAL CARBONATION'!$K$16)^-A6</f>
        <v>0.826446280991735</v>
      </c>
      <c r="P6" s="70">
        <f>M6*O6</f>
        <v>-0.165289256198347</v>
      </c>
      <c r="Q6" s="337">
        <f>Q5+P6</f>
        <v>-0.347107438016529</v>
      </c>
      <c r="R6" s="336"/>
      <c r="S6" s="289">
        <f>IRR(M5:M24)</f>
        <v>0.596471161953288</v>
      </c>
      <c r="T6" s="303"/>
      <c r="U6" s="303"/>
      <c r="V6" s="303"/>
      <c r="W6" s="303"/>
      <c r="X6" s="303"/>
      <c r="Y6" s="303"/>
    </row>
    <row r="7" spans="1:25">
      <c r="A7" s="35">
        <v>3</v>
      </c>
      <c r="B7" s="33">
        <f>'MINERAL CARBONATION'!$M$7/(4/3)</f>
        <v>30000</v>
      </c>
      <c r="C7" s="33">
        <f t="shared" ref="C7:C16" si="6">$C$5</f>
        <v>100</v>
      </c>
      <c r="D7" s="33">
        <f t="shared" si="1"/>
        <v>3</v>
      </c>
      <c r="E7" s="33">
        <f>'MINERAL CARBONATION'!$F$17</f>
        <v>1.7</v>
      </c>
      <c r="F7" s="33">
        <f t="shared" si="2"/>
        <v>1.3</v>
      </c>
      <c r="G7" s="33"/>
      <c r="H7" s="33">
        <f>'MINERAL CARBONATION'!$F$8/'MINERAL CARBONATION'!$K$12</f>
        <v>1.5</v>
      </c>
      <c r="I7" s="33">
        <f t="shared" si="3"/>
        <v>-0.2</v>
      </c>
      <c r="J7" s="33">
        <f>J6+I7</f>
        <v>-0.6</v>
      </c>
      <c r="K7" s="33">
        <f t="shared" si="0"/>
        <v>-0.6</v>
      </c>
      <c r="L7" s="68">
        <f>IF(K7&gt;0,K7*'MINERAL CARBONATION'!$K$15,0)</f>
        <v>0</v>
      </c>
      <c r="M7" s="33">
        <f t="shared" si="4"/>
        <v>-0.2</v>
      </c>
      <c r="N7" s="33">
        <f t="shared" si="5"/>
        <v>-0.6</v>
      </c>
      <c r="O7" s="64">
        <f>(1+'MINERAL CARBONATION'!$K$16)^-A7</f>
        <v>0.751314800901578</v>
      </c>
      <c r="P7" s="70">
        <f t="shared" ref="P7:P25" si="7">M7*O7</f>
        <v>-0.150262960180316</v>
      </c>
      <c r="Q7" s="337">
        <f t="shared" ref="Q7:Q24" si="8">Q6+P7</f>
        <v>-0.497370398196844</v>
      </c>
      <c r="R7" s="31"/>
      <c r="S7" s="74"/>
      <c r="T7" s="303"/>
      <c r="U7" s="303"/>
      <c r="V7" s="303"/>
      <c r="W7" s="303"/>
      <c r="X7" s="303"/>
      <c r="Y7" s="303"/>
    </row>
    <row r="8" spans="1:25">
      <c r="A8" s="60">
        <v>4</v>
      </c>
      <c r="B8" s="33">
        <f>'MINERAL CARBONATION'!$M$7/(4/3)</f>
        <v>30000</v>
      </c>
      <c r="C8" s="33">
        <f t="shared" si="6"/>
        <v>100</v>
      </c>
      <c r="D8" s="33">
        <f t="shared" si="1"/>
        <v>3</v>
      </c>
      <c r="E8" s="33">
        <f>'MINERAL CARBONATION'!$F$17</f>
        <v>1.7</v>
      </c>
      <c r="F8" s="33">
        <f t="shared" si="2"/>
        <v>1.3</v>
      </c>
      <c r="G8" s="33"/>
      <c r="H8" s="33">
        <f>'MINERAL CARBONATION'!$F$8/'MINERAL CARBONATION'!$K$12</f>
        <v>1.5</v>
      </c>
      <c r="I8" s="33">
        <f t="shared" si="3"/>
        <v>-0.2</v>
      </c>
      <c r="J8" s="33">
        <f>J7+I8</f>
        <v>-0.8</v>
      </c>
      <c r="K8" s="33">
        <f t="shared" si="0"/>
        <v>-0.8</v>
      </c>
      <c r="L8" s="68">
        <f>IF(K8&gt;0,K8*'MINERAL CARBONATION'!$K$15,0)</f>
        <v>0</v>
      </c>
      <c r="M8" s="33">
        <f t="shared" si="4"/>
        <v>-0.2</v>
      </c>
      <c r="N8" s="33">
        <f t="shared" si="5"/>
        <v>-0.8</v>
      </c>
      <c r="O8" s="64">
        <f>(1+'MINERAL CARBONATION'!$K$16)^-A8</f>
        <v>0.683013455365071</v>
      </c>
      <c r="P8" s="70">
        <f t="shared" si="7"/>
        <v>-0.136602691073014</v>
      </c>
      <c r="Q8" s="337">
        <f t="shared" si="8"/>
        <v>-0.633973089269858</v>
      </c>
      <c r="R8" s="336"/>
      <c r="T8" s="303"/>
      <c r="U8" s="303"/>
      <c r="V8" s="303"/>
      <c r="W8" s="303"/>
      <c r="X8" s="303"/>
      <c r="Y8" s="303"/>
    </row>
    <row r="9" spans="1:25">
      <c r="A9" s="35">
        <v>5</v>
      </c>
      <c r="B9" s="33">
        <f>'MINERAL CARBONATION'!$M$7/(4/3)</f>
        <v>30000</v>
      </c>
      <c r="C9" s="33">
        <f t="shared" si="6"/>
        <v>100</v>
      </c>
      <c r="D9" s="33">
        <f t="shared" si="1"/>
        <v>3</v>
      </c>
      <c r="E9" s="33">
        <f>'MINERAL CARBONATION'!$F$17</f>
        <v>1.7</v>
      </c>
      <c r="F9" s="33">
        <f t="shared" si="2"/>
        <v>1.3</v>
      </c>
      <c r="G9" s="33"/>
      <c r="H9" s="33"/>
      <c r="I9" s="33">
        <f t="shared" si="3"/>
        <v>1.3</v>
      </c>
      <c r="J9" s="33">
        <f>J8+I9</f>
        <v>0.5</v>
      </c>
      <c r="K9" s="33">
        <f t="shared" si="0"/>
        <v>0.5</v>
      </c>
      <c r="L9" s="68">
        <f>IF(K9&gt;0,K9*'MINERAL CARBONATION'!$K$15,0)</f>
        <v>0.1</v>
      </c>
      <c r="M9" s="33">
        <f t="shared" si="4"/>
        <v>1.2</v>
      </c>
      <c r="N9" s="33">
        <f t="shared" si="5"/>
        <v>0.4</v>
      </c>
      <c r="O9" s="64">
        <f>(1+'MINERAL CARBONATION'!$K$16)^-A9</f>
        <v>0.620921323059155</v>
      </c>
      <c r="P9" s="70">
        <f t="shared" si="7"/>
        <v>0.745105587670986</v>
      </c>
      <c r="Q9" s="337">
        <f t="shared" si="8"/>
        <v>0.111132498401128</v>
      </c>
      <c r="R9" s="31"/>
      <c r="T9" s="303"/>
      <c r="U9" s="303"/>
      <c r="V9" s="303"/>
      <c r="W9" s="303"/>
      <c r="X9" s="303"/>
      <c r="Y9" s="303"/>
    </row>
    <row r="10" spans="1:25">
      <c r="A10" s="60">
        <v>6</v>
      </c>
      <c r="B10" s="33">
        <f>'MINERAL CARBONATION'!$M$7/(4/3)</f>
        <v>30000</v>
      </c>
      <c r="C10" s="33">
        <f t="shared" si="6"/>
        <v>100</v>
      </c>
      <c r="D10" s="33">
        <f t="shared" si="1"/>
        <v>3</v>
      </c>
      <c r="E10" s="33">
        <f>'MINERAL CARBONATION'!$F$17</f>
        <v>1.7</v>
      </c>
      <c r="F10" s="33">
        <f t="shared" si="2"/>
        <v>1.3</v>
      </c>
      <c r="G10" s="33"/>
      <c r="H10" s="33"/>
      <c r="I10" s="33">
        <f t="shared" si="3"/>
        <v>1.3</v>
      </c>
      <c r="J10" s="33"/>
      <c r="K10" s="33">
        <f t="shared" ref="K10:K25" si="9">I10</f>
        <v>1.3</v>
      </c>
      <c r="L10" s="68">
        <f>IF(K10&gt;0,K10*'MINERAL CARBONATION'!$K$15,0)</f>
        <v>0.26</v>
      </c>
      <c r="M10" s="33">
        <f t="shared" si="4"/>
        <v>1.04</v>
      </c>
      <c r="N10" s="33">
        <f t="shared" si="5"/>
        <v>1.44</v>
      </c>
      <c r="O10" s="64">
        <f>(1+'MINERAL CARBONATION'!$K$16)^-A10</f>
        <v>0.564473930053777</v>
      </c>
      <c r="P10" s="70">
        <f t="shared" si="7"/>
        <v>0.587052887255928</v>
      </c>
      <c r="Q10" s="337">
        <f t="shared" si="8"/>
        <v>0.698185385657056</v>
      </c>
      <c r="R10" s="31"/>
      <c r="T10" s="303"/>
      <c r="U10" s="303"/>
      <c r="V10" s="303"/>
      <c r="W10" s="303"/>
      <c r="X10" s="303"/>
      <c r="Y10" s="303"/>
    </row>
    <row r="11" spans="1:25">
      <c r="A11" s="35">
        <v>7</v>
      </c>
      <c r="B11" s="33">
        <f>'MINERAL CARBONATION'!$M$7/(4/3)</f>
        <v>30000</v>
      </c>
      <c r="C11" s="33">
        <f t="shared" si="6"/>
        <v>100</v>
      </c>
      <c r="D11" s="33">
        <f t="shared" si="1"/>
        <v>3</v>
      </c>
      <c r="E11" s="33">
        <f>'MINERAL CARBONATION'!$F$17</f>
        <v>1.7</v>
      </c>
      <c r="F11" s="33">
        <f t="shared" si="2"/>
        <v>1.3</v>
      </c>
      <c r="G11" s="33"/>
      <c r="H11" s="33"/>
      <c r="I11" s="33">
        <f t="shared" si="3"/>
        <v>1.3</v>
      </c>
      <c r="J11" s="33"/>
      <c r="K11" s="33">
        <f t="shared" si="9"/>
        <v>1.3</v>
      </c>
      <c r="L11" s="68">
        <f>IF(K11&gt;0,K11*'MINERAL CARBONATION'!$K$15,0)</f>
        <v>0.26</v>
      </c>
      <c r="M11" s="33">
        <f t="shared" si="4"/>
        <v>1.04</v>
      </c>
      <c r="N11" s="33">
        <f t="shared" si="5"/>
        <v>2.48</v>
      </c>
      <c r="O11" s="64">
        <f>(1+'MINERAL CARBONATION'!$K$16)^-A11</f>
        <v>0.513158118230706</v>
      </c>
      <c r="P11" s="70">
        <f t="shared" si="7"/>
        <v>0.533684442959934</v>
      </c>
      <c r="Q11" s="337">
        <f t="shared" si="8"/>
        <v>1.23186982861699</v>
      </c>
      <c r="R11" s="31"/>
      <c r="T11" s="303"/>
      <c r="U11" s="303"/>
      <c r="V11" s="303"/>
      <c r="W11" s="303"/>
      <c r="X11" s="303"/>
      <c r="Y11" s="303"/>
    </row>
    <row r="12" spans="1:25">
      <c r="A12" s="60">
        <v>8</v>
      </c>
      <c r="B12" s="33">
        <f>'MINERAL CARBONATION'!$M$7/(4/3)</f>
        <v>30000</v>
      </c>
      <c r="C12" s="33">
        <f t="shared" si="6"/>
        <v>100</v>
      </c>
      <c r="D12" s="33">
        <f t="shared" si="1"/>
        <v>3</v>
      </c>
      <c r="E12" s="33">
        <f>'MINERAL CARBONATION'!$F$17</f>
        <v>1.7</v>
      </c>
      <c r="F12" s="33">
        <f t="shared" si="2"/>
        <v>1.3</v>
      </c>
      <c r="G12" s="33"/>
      <c r="H12" s="33"/>
      <c r="I12" s="33">
        <f t="shared" si="3"/>
        <v>1.3</v>
      </c>
      <c r="J12" s="33"/>
      <c r="K12" s="33">
        <f t="shared" si="9"/>
        <v>1.3</v>
      </c>
      <c r="L12" s="68">
        <f>IF(K12&gt;0,K12*'MINERAL CARBONATION'!$K$15,0)</f>
        <v>0.26</v>
      </c>
      <c r="M12" s="33">
        <f t="shared" si="4"/>
        <v>1.04</v>
      </c>
      <c r="N12" s="33">
        <f t="shared" si="5"/>
        <v>3.52</v>
      </c>
      <c r="O12" s="64">
        <f>(1+'MINERAL CARBONATION'!$K$16)^-A12</f>
        <v>0.466507380209733</v>
      </c>
      <c r="P12" s="70">
        <f t="shared" si="7"/>
        <v>0.485167675418122</v>
      </c>
      <c r="Q12" s="337">
        <f t="shared" si="8"/>
        <v>1.71703750403511</v>
      </c>
      <c r="R12" s="31"/>
      <c r="T12" s="303"/>
      <c r="U12" s="303"/>
      <c r="V12" s="303"/>
      <c r="W12" s="303"/>
      <c r="X12" s="303"/>
      <c r="Y12" s="303"/>
    </row>
    <row r="13" spans="1:25">
      <c r="A13" s="35">
        <v>9</v>
      </c>
      <c r="B13" s="33">
        <f>'MINERAL CARBONATION'!$M$7/(4/3)</f>
        <v>30000</v>
      </c>
      <c r="C13" s="33">
        <f t="shared" si="6"/>
        <v>100</v>
      </c>
      <c r="D13" s="33">
        <f t="shared" si="1"/>
        <v>3</v>
      </c>
      <c r="E13" s="33">
        <f>'MINERAL CARBONATION'!$F$17</f>
        <v>1.7</v>
      </c>
      <c r="F13" s="33">
        <f t="shared" si="2"/>
        <v>1.3</v>
      </c>
      <c r="G13" s="33"/>
      <c r="H13" s="33"/>
      <c r="I13" s="33">
        <f t="shared" si="3"/>
        <v>1.3</v>
      </c>
      <c r="J13" s="33"/>
      <c r="K13" s="33">
        <f t="shared" si="9"/>
        <v>1.3</v>
      </c>
      <c r="L13" s="68">
        <f>IF(K13&gt;0,K13*'MINERAL CARBONATION'!$K$15,0)</f>
        <v>0.26</v>
      </c>
      <c r="M13" s="33">
        <f t="shared" si="4"/>
        <v>1.04</v>
      </c>
      <c r="N13" s="33">
        <f t="shared" si="5"/>
        <v>4.56</v>
      </c>
      <c r="O13" s="64">
        <f>(1+'MINERAL CARBONATION'!$K$16)^-A13</f>
        <v>0.424097618372485</v>
      </c>
      <c r="P13" s="70">
        <f t="shared" si="7"/>
        <v>0.441061523107384</v>
      </c>
      <c r="Q13" s="337">
        <f t="shared" si="8"/>
        <v>2.1580990271425</v>
      </c>
      <c r="R13" s="31"/>
      <c r="T13" s="303"/>
      <c r="U13" s="303"/>
      <c r="V13" s="303"/>
      <c r="W13" s="303"/>
      <c r="X13" s="303"/>
      <c r="Y13" s="303"/>
    </row>
    <row r="14" spans="1:25">
      <c r="A14" s="60">
        <v>10</v>
      </c>
      <c r="B14" s="33">
        <f>'MINERAL CARBONATION'!$M$7/(4/3)</f>
        <v>30000</v>
      </c>
      <c r="C14" s="33">
        <f t="shared" si="6"/>
        <v>100</v>
      </c>
      <c r="D14" s="33">
        <f t="shared" si="1"/>
        <v>3</v>
      </c>
      <c r="E14" s="33">
        <f>'MINERAL CARBONATION'!$F$17</f>
        <v>1.7</v>
      </c>
      <c r="F14" s="33">
        <f t="shared" si="2"/>
        <v>1.3</v>
      </c>
      <c r="G14" s="33"/>
      <c r="H14" s="33"/>
      <c r="I14" s="33">
        <f t="shared" si="3"/>
        <v>1.3</v>
      </c>
      <c r="J14" s="33"/>
      <c r="K14" s="33">
        <f t="shared" si="9"/>
        <v>1.3</v>
      </c>
      <c r="L14" s="68">
        <f>IF(K14&gt;0,K14*'MINERAL CARBONATION'!$K$15,0)</f>
        <v>0.26</v>
      </c>
      <c r="M14" s="33">
        <f t="shared" si="4"/>
        <v>1.04</v>
      </c>
      <c r="N14" s="33">
        <f t="shared" si="5"/>
        <v>5.6</v>
      </c>
      <c r="O14" s="64">
        <f>(1+'MINERAL CARBONATION'!$K$16)^-A14</f>
        <v>0.385543289429531</v>
      </c>
      <c r="P14" s="70">
        <f t="shared" si="7"/>
        <v>0.400965021006712</v>
      </c>
      <c r="Q14" s="337">
        <f t="shared" si="8"/>
        <v>2.55906404814921</v>
      </c>
      <c r="R14" s="31"/>
      <c r="T14" s="303"/>
      <c r="U14" s="303"/>
      <c r="V14" s="303"/>
      <c r="W14" s="303"/>
      <c r="X14" s="303"/>
      <c r="Y14" s="303"/>
    </row>
    <row r="15" spans="1:25">
      <c r="A15" s="35">
        <v>11</v>
      </c>
      <c r="B15" s="33">
        <f>'MINERAL CARBONATION'!$M$7/(4/3)</f>
        <v>30000</v>
      </c>
      <c r="C15" s="33">
        <f t="shared" si="6"/>
        <v>100</v>
      </c>
      <c r="D15" s="33">
        <f t="shared" si="1"/>
        <v>3</v>
      </c>
      <c r="E15" s="33">
        <f>'MINERAL CARBONATION'!$F$17</f>
        <v>1.7</v>
      </c>
      <c r="F15" s="33">
        <f t="shared" si="2"/>
        <v>1.3</v>
      </c>
      <c r="G15" s="33"/>
      <c r="H15" s="33"/>
      <c r="I15" s="33">
        <f t="shared" si="3"/>
        <v>1.3</v>
      </c>
      <c r="J15" s="33"/>
      <c r="K15" s="33">
        <f t="shared" si="9"/>
        <v>1.3</v>
      </c>
      <c r="L15" s="68">
        <f>IF(K15&gt;0,K15*'MINERAL CARBONATION'!$K$15,0)</f>
        <v>0.26</v>
      </c>
      <c r="M15" s="33">
        <f t="shared" si="4"/>
        <v>1.04</v>
      </c>
      <c r="N15" s="33">
        <f t="shared" si="5"/>
        <v>6.64</v>
      </c>
      <c r="O15" s="64">
        <f>(1+'MINERAL CARBONATION'!$K$16)^-A15</f>
        <v>0.350493899481392</v>
      </c>
      <c r="P15" s="70">
        <f t="shared" si="7"/>
        <v>0.364513655460648</v>
      </c>
      <c r="Q15" s="337">
        <f t="shared" si="8"/>
        <v>2.92357770360986</v>
      </c>
      <c r="R15" s="31"/>
      <c r="T15" s="303"/>
      <c r="U15" s="303"/>
      <c r="V15" s="303"/>
      <c r="W15" s="303"/>
      <c r="X15" s="303"/>
      <c r="Y15" s="303"/>
    </row>
    <row r="16" spans="1:25">
      <c r="A16" s="60">
        <v>12</v>
      </c>
      <c r="B16" s="33">
        <f>'MINERAL CARBONATION'!$M$7/(4/3)</f>
        <v>30000</v>
      </c>
      <c r="C16" s="33">
        <f t="shared" si="6"/>
        <v>100</v>
      </c>
      <c r="D16" s="33">
        <f t="shared" si="1"/>
        <v>3</v>
      </c>
      <c r="E16" s="33">
        <f>'MINERAL CARBONATION'!$F$17</f>
        <v>1.7</v>
      </c>
      <c r="F16" s="33">
        <f t="shared" si="2"/>
        <v>1.3</v>
      </c>
      <c r="G16" s="33"/>
      <c r="H16" s="33"/>
      <c r="I16" s="33">
        <f t="shared" si="3"/>
        <v>1.3</v>
      </c>
      <c r="J16" s="33"/>
      <c r="K16" s="33">
        <f t="shared" si="9"/>
        <v>1.3</v>
      </c>
      <c r="L16" s="68">
        <f>IF(K16&gt;0,K16*'MINERAL CARBONATION'!$K$15,0)</f>
        <v>0.26</v>
      </c>
      <c r="M16" s="33">
        <f t="shared" si="4"/>
        <v>1.04</v>
      </c>
      <c r="N16" s="33">
        <f t="shared" si="5"/>
        <v>7.68</v>
      </c>
      <c r="O16" s="64">
        <f>(1+'MINERAL CARBONATION'!$K$16)^-A16</f>
        <v>0.318630817710357</v>
      </c>
      <c r="P16" s="70">
        <f t="shared" si="7"/>
        <v>0.331376050418771</v>
      </c>
      <c r="Q16" s="337">
        <f t="shared" si="8"/>
        <v>3.25495375402863</v>
      </c>
      <c r="R16" s="31"/>
      <c r="T16" s="303"/>
      <c r="U16" s="303"/>
      <c r="V16" s="303"/>
      <c r="W16" s="303"/>
      <c r="X16" s="303"/>
      <c r="Y16" s="303"/>
    </row>
    <row r="17" spans="1:25">
      <c r="A17" s="35">
        <v>13</v>
      </c>
      <c r="B17" s="33">
        <f>'MINERAL CARBONATION'!$M$7/(4/3)</f>
        <v>30000</v>
      </c>
      <c r="C17" s="33">
        <f t="shared" ref="C17:C24" si="10">$C$5</f>
        <v>100</v>
      </c>
      <c r="D17" s="33">
        <f t="shared" si="1"/>
        <v>3</v>
      </c>
      <c r="E17" s="33">
        <f>'MINERAL CARBONATION'!$F$17</f>
        <v>1.7</v>
      </c>
      <c r="F17" s="33">
        <f t="shared" si="2"/>
        <v>1.3</v>
      </c>
      <c r="G17" s="33"/>
      <c r="H17" s="33"/>
      <c r="I17" s="33">
        <f t="shared" si="3"/>
        <v>1.3</v>
      </c>
      <c r="J17" s="33"/>
      <c r="K17" s="33">
        <f t="shared" si="9"/>
        <v>1.3</v>
      </c>
      <c r="L17" s="68">
        <f>IF(K17&gt;0,K17*'MINERAL CARBONATION'!$K$15,0)</f>
        <v>0.26</v>
      </c>
      <c r="M17" s="33">
        <f t="shared" si="4"/>
        <v>1.04</v>
      </c>
      <c r="N17" s="33">
        <f t="shared" si="5"/>
        <v>8.72</v>
      </c>
      <c r="O17" s="64">
        <f>(1+'MINERAL CARBONATION'!$K$16)^-A17</f>
        <v>0.289664379736688</v>
      </c>
      <c r="P17" s="70">
        <f t="shared" si="7"/>
        <v>0.301250954926156</v>
      </c>
      <c r="Q17" s="337">
        <f t="shared" si="8"/>
        <v>3.55620470895478</v>
      </c>
      <c r="R17" s="31"/>
      <c r="T17" s="303"/>
      <c r="U17" s="303"/>
      <c r="V17" s="303"/>
      <c r="W17" s="303"/>
      <c r="X17" s="303"/>
      <c r="Y17" s="303"/>
    </row>
    <row r="18" spans="1:25">
      <c r="A18" s="60">
        <v>14</v>
      </c>
      <c r="B18" s="33">
        <f>'MINERAL CARBONATION'!$M$7/(4/3)</f>
        <v>30000</v>
      </c>
      <c r="C18" s="33">
        <f t="shared" si="10"/>
        <v>100</v>
      </c>
      <c r="D18" s="33">
        <f t="shared" si="1"/>
        <v>3</v>
      </c>
      <c r="E18" s="33">
        <f>'MINERAL CARBONATION'!$F$17</f>
        <v>1.7</v>
      </c>
      <c r="F18" s="33">
        <f t="shared" si="2"/>
        <v>1.3</v>
      </c>
      <c r="G18" s="33"/>
      <c r="H18" s="33"/>
      <c r="I18" s="33">
        <f t="shared" si="3"/>
        <v>1.3</v>
      </c>
      <c r="J18" s="33"/>
      <c r="K18" s="33">
        <f t="shared" si="9"/>
        <v>1.3</v>
      </c>
      <c r="L18" s="68">
        <f>IF(K18&gt;0,K18*'MINERAL CARBONATION'!$K$15,0)</f>
        <v>0.26</v>
      </c>
      <c r="M18" s="33">
        <f t="shared" si="4"/>
        <v>1.04</v>
      </c>
      <c r="N18" s="33">
        <f t="shared" si="5"/>
        <v>9.76</v>
      </c>
      <c r="O18" s="64">
        <f>(1+'MINERAL CARBONATION'!$K$16)^-A18</f>
        <v>0.26333125430608</v>
      </c>
      <c r="P18" s="70">
        <f t="shared" si="7"/>
        <v>0.273864504478323</v>
      </c>
      <c r="Q18" s="337">
        <f t="shared" si="8"/>
        <v>3.83006921343311</v>
      </c>
      <c r="R18" s="31"/>
      <c r="T18" s="303"/>
      <c r="U18" s="303"/>
      <c r="V18" s="303"/>
      <c r="W18" s="303"/>
      <c r="X18" s="303"/>
      <c r="Y18" s="303"/>
    </row>
    <row r="19" spans="1:25">
      <c r="A19" s="35">
        <v>15</v>
      </c>
      <c r="B19" s="33">
        <f>'MINERAL CARBONATION'!$M$7/(4/3)</f>
        <v>30000</v>
      </c>
      <c r="C19" s="33">
        <f t="shared" si="10"/>
        <v>100</v>
      </c>
      <c r="D19" s="33">
        <f t="shared" si="1"/>
        <v>3</v>
      </c>
      <c r="E19" s="33">
        <f>'MINERAL CARBONATION'!$F$17</f>
        <v>1.7</v>
      </c>
      <c r="F19" s="33">
        <f t="shared" si="2"/>
        <v>1.3</v>
      </c>
      <c r="G19" s="33"/>
      <c r="H19" s="33"/>
      <c r="I19" s="33">
        <f t="shared" si="3"/>
        <v>1.3</v>
      </c>
      <c r="J19" s="33"/>
      <c r="K19" s="33">
        <f t="shared" si="9"/>
        <v>1.3</v>
      </c>
      <c r="L19" s="68">
        <f>IF(K19&gt;0,K19*'MINERAL CARBONATION'!$K$15,0)</f>
        <v>0.26</v>
      </c>
      <c r="M19" s="33">
        <f t="shared" si="4"/>
        <v>1.04</v>
      </c>
      <c r="N19" s="33">
        <f t="shared" si="5"/>
        <v>10.8</v>
      </c>
      <c r="O19" s="64">
        <f>(1+'MINERAL CARBONATION'!$K$16)^-A19</f>
        <v>0.239392049369163</v>
      </c>
      <c r="P19" s="70">
        <f t="shared" si="7"/>
        <v>0.24896773134393</v>
      </c>
      <c r="Q19" s="337">
        <f t="shared" si="8"/>
        <v>4.07903694477704</v>
      </c>
      <c r="R19" s="31"/>
      <c r="T19" s="303"/>
      <c r="U19" s="303"/>
      <c r="V19" s="303"/>
      <c r="W19" s="303"/>
      <c r="X19" s="303"/>
      <c r="Y19" s="303"/>
    </row>
    <row r="20" spans="1:25">
      <c r="A20" s="60">
        <v>16</v>
      </c>
      <c r="B20" s="33">
        <f>'MINERAL CARBONATION'!$M$7/(4/3)</f>
        <v>30000</v>
      </c>
      <c r="C20" s="33">
        <f t="shared" si="10"/>
        <v>100</v>
      </c>
      <c r="D20" s="33">
        <f t="shared" si="1"/>
        <v>3</v>
      </c>
      <c r="E20" s="33">
        <f>'MINERAL CARBONATION'!$F$17</f>
        <v>1.7</v>
      </c>
      <c r="F20" s="33">
        <f t="shared" si="2"/>
        <v>1.3</v>
      </c>
      <c r="G20" s="33"/>
      <c r="H20" s="33"/>
      <c r="I20" s="33">
        <f t="shared" si="3"/>
        <v>1.3</v>
      </c>
      <c r="J20" s="33"/>
      <c r="K20" s="33">
        <f t="shared" si="9"/>
        <v>1.3</v>
      </c>
      <c r="L20" s="68">
        <f>IF(K20&gt;0,K20*'MINERAL CARBONATION'!$K$15,0)</f>
        <v>0.26</v>
      </c>
      <c r="M20" s="33">
        <f t="shared" si="4"/>
        <v>1.04</v>
      </c>
      <c r="N20" s="33">
        <f t="shared" si="5"/>
        <v>11.84</v>
      </c>
      <c r="O20" s="64">
        <f>(1+'MINERAL CARBONATION'!$K$16)^-A20</f>
        <v>0.217629135790149</v>
      </c>
      <c r="P20" s="70">
        <f t="shared" si="7"/>
        <v>0.226334301221755</v>
      </c>
      <c r="Q20" s="337">
        <f t="shared" si="8"/>
        <v>4.30537124599879</v>
      </c>
      <c r="R20" s="31"/>
      <c r="T20" s="303"/>
      <c r="U20" s="303"/>
      <c r="V20" s="303"/>
      <c r="W20" s="303"/>
      <c r="X20" s="303"/>
      <c r="Y20" s="303"/>
    </row>
    <row r="21" spans="1:25">
      <c r="A21" s="35">
        <v>17</v>
      </c>
      <c r="B21" s="33">
        <f>'MINERAL CARBONATION'!$M$7/(4/3)</f>
        <v>30000</v>
      </c>
      <c r="C21" s="33">
        <f t="shared" si="10"/>
        <v>100</v>
      </c>
      <c r="D21" s="33">
        <f t="shared" si="1"/>
        <v>3</v>
      </c>
      <c r="E21" s="33">
        <f>'MINERAL CARBONATION'!$F$17</f>
        <v>1.7</v>
      </c>
      <c r="F21" s="33">
        <f t="shared" si="2"/>
        <v>1.3</v>
      </c>
      <c r="G21" s="33"/>
      <c r="H21" s="33"/>
      <c r="I21" s="33">
        <f t="shared" si="3"/>
        <v>1.3</v>
      </c>
      <c r="J21" s="33"/>
      <c r="K21" s="33">
        <f t="shared" si="9"/>
        <v>1.3</v>
      </c>
      <c r="L21" s="68">
        <f>IF(K21&gt;0,K21*'MINERAL CARBONATION'!$K$15,0)</f>
        <v>0.26</v>
      </c>
      <c r="M21" s="33">
        <f t="shared" si="4"/>
        <v>1.04</v>
      </c>
      <c r="N21" s="33">
        <f t="shared" si="5"/>
        <v>12.88</v>
      </c>
      <c r="O21" s="64">
        <f>(1+'MINERAL CARBONATION'!$K$16)^-A21</f>
        <v>0.197844668900135</v>
      </c>
      <c r="P21" s="70">
        <f t="shared" si="7"/>
        <v>0.20575845565614</v>
      </c>
      <c r="Q21" s="337">
        <f t="shared" si="8"/>
        <v>4.51112970165493</v>
      </c>
      <c r="R21" s="31"/>
      <c r="T21" s="303"/>
      <c r="U21" s="303"/>
      <c r="V21" s="303"/>
      <c r="W21" s="303"/>
      <c r="X21" s="303"/>
      <c r="Y21" s="303"/>
    </row>
    <row r="22" spans="1:25">
      <c r="A22" s="60">
        <v>18</v>
      </c>
      <c r="B22" s="33">
        <f>'MINERAL CARBONATION'!$M$7/(4/3)</f>
        <v>30000</v>
      </c>
      <c r="C22" s="33">
        <f t="shared" si="10"/>
        <v>100</v>
      </c>
      <c r="D22" s="33">
        <f t="shared" si="1"/>
        <v>3</v>
      </c>
      <c r="E22" s="33">
        <f>'MINERAL CARBONATION'!$F$17</f>
        <v>1.7</v>
      </c>
      <c r="F22" s="33">
        <f t="shared" si="2"/>
        <v>1.3</v>
      </c>
      <c r="G22" s="33"/>
      <c r="H22" s="33"/>
      <c r="I22" s="33">
        <f t="shared" si="3"/>
        <v>1.3</v>
      </c>
      <c r="J22" s="33"/>
      <c r="K22" s="33">
        <f t="shared" si="9"/>
        <v>1.3</v>
      </c>
      <c r="L22" s="68">
        <f>IF(K22&gt;0,K22*'MINERAL CARBONATION'!$K$15,0)</f>
        <v>0.26</v>
      </c>
      <c r="M22" s="33">
        <f t="shared" si="4"/>
        <v>1.04</v>
      </c>
      <c r="N22" s="33">
        <f t="shared" si="5"/>
        <v>13.92</v>
      </c>
      <c r="O22" s="64">
        <f>(1+'MINERAL CARBONATION'!$K$16)^-A22</f>
        <v>0.179858789909214</v>
      </c>
      <c r="P22" s="70">
        <f t="shared" si="7"/>
        <v>0.187053141505583</v>
      </c>
      <c r="Q22" s="337">
        <f t="shared" si="8"/>
        <v>4.69818284316051</v>
      </c>
      <c r="R22" s="31"/>
      <c r="T22" s="303"/>
      <c r="U22" s="303"/>
      <c r="V22" s="303"/>
      <c r="W22" s="303"/>
      <c r="X22" s="303"/>
      <c r="Y22" s="303"/>
    </row>
    <row r="23" spans="1:25">
      <c r="A23" s="35">
        <v>19</v>
      </c>
      <c r="B23" s="33">
        <f>'MINERAL CARBONATION'!$M$7/(4/3)</f>
        <v>30000</v>
      </c>
      <c r="C23" s="33">
        <f t="shared" si="10"/>
        <v>100</v>
      </c>
      <c r="D23" s="33">
        <f t="shared" si="1"/>
        <v>3</v>
      </c>
      <c r="E23" s="33">
        <f>'MINERAL CARBONATION'!$F$17</f>
        <v>1.7</v>
      </c>
      <c r="F23" s="33">
        <f t="shared" si="2"/>
        <v>1.3</v>
      </c>
      <c r="G23" s="33"/>
      <c r="H23" s="33"/>
      <c r="I23" s="33">
        <f t="shared" si="3"/>
        <v>1.3</v>
      </c>
      <c r="J23" s="33"/>
      <c r="K23" s="33">
        <f t="shared" si="9"/>
        <v>1.3</v>
      </c>
      <c r="L23" s="68">
        <f>IF(K23&gt;0,K23*'MINERAL CARBONATION'!$K$15,0)</f>
        <v>0.26</v>
      </c>
      <c r="M23" s="33">
        <f t="shared" si="4"/>
        <v>1.04</v>
      </c>
      <c r="N23" s="33">
        <f t="shared" si="5"/>
        <v>14.96</v>
      </c>
      <c r="O23" s="64">
        <f>(1+'MINERAL CARBONATION'!$K$16)^-A23</f>
        <v>0.163507990826558</v>
      </c>
      <c r="P23" s="70">
        <f t="shared" si="7"/>
        <v>0.17004831045962</v>
      </c>
      <c r="Q23" s="337">
        <f t="shared" si="8"/>
        <v>4.86823115362013</v>
      </c>
      <c r="R23" s="31"/>
      <c r="T23" s="303"/>
      <c r="U23" s="303"/>
      <c r="V23" s="303"/>
      <c r="W23" s="303"/>
      <c r="X23" s="303"/>
      <c r="Y23" s="303"/>
    </row>
    <row r="24" spans="1:25">
      <c r="A24" s="60">
        <v>20</v>
      </c>
      <c r="B24" s="33">
        <f>'MINERAL CARBONATION'!$M$7/(4/3)</f>
        <v>30000</v>
      </c>
      <c r="C24" s="33">
        <f t="shared" si="10"/>
        <v>100</v>
      </c>
      <c r="D24" s="33">
        <f t="shared" si="1"/>
        <v>3</v>
      </c>
      <c r="E24" s="33">
        <f>'MINERAL CARBONATION'!$F$17</f>
        <v>1.7</v>
      </c>
      <c r="F24" s="33">
        <f t="shared" si="2"/>
        <v>1.3</v>
      </c>
      <c r="G24" s="33"/>
      <c r="H24" s="33"/>
      <c r="I24" s="33">
        <f t="shared" si="3"/>
        <v>1.3</v>
      </c>
      <c r="J24" s="33"/>
      <c r="K24" s="33">
        <f t="shared" si="9"/>
        <v>1.3</v>
      </c>
      <c r="L24" s="68">
        <f>IF(K24&gt;0,K24*'MINERAL CARBONATION'!$K$15,0)</f>
        <v>0.26</v>
      </c>
      <c r="M24" s="33">
        <f t="shared" si="4"/>
        <v>1.04</v>
      </c>
      <c r="N24" s="33">
        <f t="shared" si="5"/>
        <v>16</v>
      </c>
      <c r="O24" s="64">
        <f>(1+'MINERAL CARBONATION'!$K$16)^-A24</f>
        <v>0.148643628024143</v>
      </c>
      <c r="P24" s="70">
        <f t="shared" si="7"/>
        <v>0.154589373145109</v>
      </c>
      <c r="Q24" s="337">
        <f t="shared" si="8"/>
        <v>5.02282052676524</v>
      </c>
      <c r="R24" s="31"/>
      <c r="T24" s="303"/>
      <c r="U24" s="303"/>
      <c r="V24" s="303"/>
      <c r="W24" s="303"/>
      <c r="X24" s="303"/>
      <c r="Y24" s="303"/>
    </row>
    <row r="25" spans="1: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64"/>
      <c r="P25" s="70">
        <f>SUM(P4:P24)</f>
        <v>5.02282052676524</v>
      </c>
      <c r="Q25" s="64"/>
      <c r="R25" s="31"/>
      <c r="T25" s="303"/>
      <c r="U25" s="303"/>
      <c r="V25" s="303"/>
      <c r="W25" s="303"/>
      <c r="X25" s="303"/>
      <c r="Y25" s="303"/>
    </row>
    <row r="26" spans="1: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T26" s="303"/>
      <c r="U26" s="303"/>
      <c r="V26" s="303"/>
      <c r="W26" s="303"/>
      <c r="X26" s="303"/>
      <c r="Y26" s="303"/>
    </row>
    <row r="27" spans="1:2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03"/>
      <c r="T27" s="303"/>
      <c r="U27" s="303"/>
      <c r="V27" s="303"/>
      <c r="W27" s="303"/>
      <c r="X27" s="303"/>
      <c r="Y27" s="303"/>
    </row>
    <row r="28" spans="1:2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03"/>
      <c r="T28" s="303"/>
      <c r="U28" s="303"/>
      <c r="V28" s="303"/>
      <c r="W28" s="303"/>
      <c r="X28" s="303"/>
      <c r="Y28" s="303"/>
    </row>
    <row r="29" spans="1:2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03"/>
      <c r="T29" s="303"/>
      <c r="U29" s="303"/>
      <c r="V29" s="303"/>
      <c r="W29" s="303"/>
      <c r="X29" s="303"/>
      <c r="Y29" s="303"/>
    </row>
    <row r="30" spans="1:2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03"/>
      <c r="T30" s="303"/>
      <c r="U30" s="303"/>
      <c r="V30" s="303"/>
      <c r="W30" s="303"/>
      <c r="X30" s="303"/>
      <c r="Y30" s="303"/>
    </row>
    <row r="31" spans="1:2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03"/>
      <c r="T31" s="303"/>
      <c r="U31" s="303"/>
      <c r="V31" s="303"/>
      <c r="W31" s="303"/>
      <c r="X31" s="303"/>
      <c r="Y31" s="303"/>
    </row>
    <row r="32" spans="1:18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</row>
    <row r="33" spans="1:18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</row>
    <row r="34" spans="1:18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</row>
    <row r="41" spans="8:10">
      <c r="H41" s="333"/>
      <c r="I41" s="303"/>
      <c r="J41" s="303"/>
    </row>
    <row r="42" spans="8:10">
      <c r="H42" s="303"/>
      <c r="I42" s="303"/>
      <c r="J42" s="303"/>
    </row>
    <row r="43" spans="8:10">
      <c r="H43" s="303"/>
      <c r="I43" s="303"/>
      <c r="J43" s="303"/>
    </row>
    <row r="44" spans="8:10">
      <c r="H44" s="303"/>
      <c r="I44" s="303"/>
      <c r="J44" s="303"/>
    </row>
    <row r="47" spans="9:9">
      <c r="I47" s="335"/>
    </row>
  </sheetData>
  <pageMargins left="0.75" right="0.75" top="1" bottom="1" header="0.511805555555556" footer="0.511805555555556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29"/>
  <sheetViews>
    <sheetView zoomScale="54" zoomScaleNormal="54" workbookViewId="0">
      <selection activeCell="D21" sqref="D21"/>
    </sheetView>
  </sheetViews>
  <sheetFormatPr defaultColWidth="9.14285714285714" defaultRowHeight="15.75"/>
  <cols>
    <col min="1" max="1" width="9.14285714285714" style="76"/>
    <col min="2" max="2" width="13.2" style="76" customWidth="1"/>
    <col min="3" max="3" width="28.5714285714286" style="76" customWidth="1"/>
    <col min="4" max="4" width="17.8571428571429" style="76"/>
    <col min="5" max="5" width="16.2190476190476" style="76" customWidth="1"/>
    <col min="6" max="6" width="16.0095238095238" style="76" customWidth="1"/>
    <col min="7" max="9" width="9.14285714285714" style="76"/>
    <col min="10" max="10" width="13" style="76"/>
    <col min="11" max="11" width="14.4952380952381" style="76" customWidth="1"/>
    <col min="12" max="12" width="12.9809523809524" style="76" customWidth="1"/>
    <col min="13" max="13" width="12.552380952381" style="76" customWidth="1"/>
    <col min="14" max="16384" width="9.14285714285714" style="76"/>
  </cols>
  <sheetData>
    <row r="1" ht="22.5" spans="2:13">
      <c r="B1" s="138" t="s">
        <v>182</v>
      </c>
      <c r="C1" s="138"/>
      <c r="D1" s="77"/>
      <c r="E1" s="77"/>
      <c r="F1" s="139"/>
      <c r="G1" s="140"/>
      <c r="H1" s="140"/>
      <c r="I1" s="140"/>
      <c r="J1" s="140"/>
      <c r="K1" s="167"/>
      <c r="L1" s="175"/>
      <c r="M1" s="167"/>
    </row>
    <row r="2" spans="2:6">
      <c r="B2" s="141" t="s">
        <v>183</v>
      </c>
      <c r="C2" s="141"/>
      <c r="D2" s="141" t="s">
        <v>184</v>
      </c>
      <c r="E2" s="141" t="s">
        <v>84</v>
      </c>
      <c r="F2" s="142" t="s">
        <v>25</v>
      </c>
    </row>
    <row r="3" ht="31.5" spans="2:6">
      <c r="B3" s="143">
        <v>1</v>
      </c>
      <c r="C3" s="144" t="s">
        <v>185</v>
      </c>
      <c r="D3" s="143">
        <v>1</v>
      </c>
      <c r="E3" s="145">
        <v>50000</v>
      </c>
      <c r="F3" s="145">
        <v>50000</v>
      </c>
    </row>
    <row r="4" spans="2:6">
      <c r="B4" s="143">
        <v>2</v>
      </c>
      <c r="C4" s="143" t="s">
        <v>186</v>
      </c>
      <c r="D4" s="143">
        <v>1</v>
      </c>
      <c r="E4" s="145">
        <v>50000</v>
      </c>
      <c r="F4" s="145">
        <v>50000</v>
      </c>
    </row>
    <row r="5" spans="2:6">
      <c r="B5" s="143">
        <v>3</v>
      </c>
      <c r="C5" s="143" t="s">
        <v>187</v>
      </c>
      <c r="D5" s="143">
        <v>1</v>
      </c>
      <c r="E5" s="145">
        <v>35000</v>
      </c>
      <c r="F5" s="145">
        <v>35000</v>
      </c>
    </row>
    <row r="6" spans="2:6">
      <c r="B6" s="143">
        <v>4</v>
      </c>
      <c r="C6" s="143" t="s">
        <v>188</v>
      </c>
      <c r="D6" s="143">
        <v>1</v>
      </c>
      <c r="E6" s="145">
        <v>10000</v>
      </c>
      <c r="F6" s="145">
        <v>10000</v>
      </c>
    </row>
    <row r="7" spans="2:6">
      <c r="B7" s="146">
        <v>5</v>
      </c>
      <c r="C7" s="146" t="s">
        <v>189</v>
      </c>
      <c r="D7" s="146">
        <v>1</v>
      </c>
      <c r="E7" s="145">
        <v>5000</v>
      </c>
      <c r="F7" s="145">
        <v>5000</v>
      </c>
    </row>
    <row r="8" spans="2:6">
      <c r="B8" s="147" t="s">
        <v>25</v>
      </c>
      <c r="C8" s="147"/>
      <c r="D8" s="147"/>
      <c r="E8" s="147"/>
      <c r="F8" s="148">
        <f>SUM(F3:F7)</f>
        <v>150000</v>
      </c>
    </row>
    <row r="10" spans="2:10">
      <c r="B10" s="149" t="s">
        <v>104</v>
      </c>
      <c r="C10" s="150"/>
      <c r="D10" s="103"/>
      <c r="E10" s="151"/>
      <c r="F10" s="152" t="s">
        <v>2</v>
      </c>
      <c r="G10" s="153"/>
      <c r="H10" s="153"/>
      <c r="I10" s="153"/>
      <c r="J10" s="176"/>
    </row>
    <row r="11" spans="2:10">
      <c r="B11" s="104">
        <v>1</v>
      </c>
      <c r="C11" s="87" t="s">
        <v>190</v>
      </c>
      <c r="D11" s="154">
        <v>500</v>
      </c>
      <c r="E11" s="151"/>
      <c r="F11" s="91"/>
      <c r="G11" s="92"/>
      <c r="H11" s="92"/>
      <c r="I11" s="92"/>
      <c r="J11" s="177"/>
    </row>
    <row r="12" ht="21" customHeight="1" spans="2:10">
      <c r="B12" s="104">
        <v>2</v>
      </c>
      <c r="C12" s="87" t="s">
        <v>191</v>
      </c>
      <c r="D12" s="154">
        <v>400</v>
      </c>
      <c r="E12" s="151"/>
      <c r="F12" s="91" t="s">
        <v>192</v>
      </c>
      <c r="G12" s="92"/>
      <c r="H12" s="92"/>
      <c r="I12" s="92"/>
      <c r="J12" s="178">
        <v>200</v>
      </c>
    </row>
    <row r="13" spans="2:10">
      <c r="B13" s="104">
        <v>3</v>
      </c>
      <c r="C13" s="87" t="s">
        <v>193</v>
      </c>
      <c r="D13" s="154">
        <v>200</v>
      </c>
      <c r="E13" s="151"/>
      <c r="F13" s="91" t="s">
        <v>194</v>
      </c>
      <c r="G13" s="92"/>
      <c r="H13" s="92"/>
      <c r="I13" s="92"/>
      <c r="J13" s="179">
        <v>300</v>
      </c>
    </row>
    <row r="14" spans="2:10">
      <c r="B14" s="104">
        <v>4</v>
      </c>
      <c r="C14" s="87" t="s">
        <v>195</v>
      </c>
      <c r="D14" s="154">
        <v>750</v>
      </c>
      <c r="E14" s="151"/>
      <c r="F14" s="155" t="s">
        <v>25</v>
      </c>
      <c r="G14" s="156"/>
      <c r="H14" s="156"/>
      <c r="I14" s="156"/>
      <c r="J14" s="180">
        <f>J13*J12</f>
        <v>60000</v>
      </c>
    </row>
    <row r="15" spans="2:7">
      <c r="B15" s="104">
        <v>5</v>
      </c>
      <c r="C15" s="87" t="s">
        <v>196</v>
      </c>
      <c r="D15" s="154">
        <v>150</v>
      </c>
      <c r="E15" s="151"/>
      <c r="F15" s="157"/>
      <c r="G15" s="151"/>
    </row>
    <row r="16" spans="2:7">
      <c r="B16" s="104">
        <v>6</v>
      </c>
      <c r="C16" s="87" t="s">
        <v>197</v>
      </c>
      <c r="D16" s="154">
        <v>300</v>
      </c>
      <c r="E16" s="151"/>
      <c r="F16" s="158" t="s">
        <v>10</v>
      </c>
      <c r="G16" s="158"/>
    </row>
    <row r="17" spans="2:10">
      <c r="B17" s="104">
        <v>7</v>
      </c>
      <c r="C17" s="87" t="s">
        <v>198</v>
      </c>
      <c r="D17" s="154">
        <v>100</v>
      </c>
      <c r="E17" s="151"/>
      <c r="F17" s="159" t="s">
        <v>13</v>
      </c>
      <c r="G17" s="159"/>
      <c r="H17" s="159"/>
      <c r="I17" s="159">
        <v>4</v>
      </c>
      <c r="J17" s="159" t="s">
        <v>14</v>
      </c>
    </row>
    <row r="18" spans="2:6">
      <c r="B18" s="104">
        <v>8</v>
      </c>
      <c r="C18" s="87" t="s">
        <v>199</v>
      </c>
      <c r="D18" s="154">
        <v>100</v>
      </c>
      <c r="E18" s="151"/>
      <c r="F18" s="151"/>
    </row>
    <row r="19" spans="2:9">
      <c r="B19" s="104">
        <v>9</v>
      </c>
      <c r="C19" s="87" t="s">
        <v>200</v>
      </c>
      <c r="D19" s="154">
        <f>300</f>
        <v>300</v>
      </c>
      <c r="E19" s="151"/>
      <c r="F19" s="152" t="s">
        <v>19</v>
      </c>
      <c r="G19" s="153"/>
      <c r="H19" s="153"/>
      <c r="I19" s="176"/>
    </row>
    <row r="20" spans="2:9">
      <c r="B20" s="104">
        <v>10</v>
      </c>
      <c r="C20" s="92" t="s">
        <v>201</v>
      </c>
      <c r="D20" s="154">
        <v>200</v>
      </c>
      <c r="E20" s="151"/>
      <c r="F20" s="91" t="s">
        <v>21</v>
      </c>
      <c r="G20" s="92"/>
      <c r="H20" s="151"/>
      <c r="I20" s="181">
        <f>10%</f>
        <v>0.1</v>
      </c>
    </row>
    <row r="21" ht="16.5" spans="2:10">
      <c r="B21" s="160" t="s">
        <v>202</v>
      </c>
      <c r="C21" s="161" t="s">
        <v>203</v>
      </c>
      <c r="D21" s="162">
        <f>(SUM(D11:D16)+SUM(D17:D20))*10</f>
        <v>30000</v>
      </c>
      <c r="E21" s="151"/>
      <c r="F21" s="163" t="s">
        <v>24</v>
      </c>
      <c r="G21" s="164"/>
      <c r="H21" s="165"/>
      <c r="I21" s="182">
        <v>0</v>
      </c>
      <c r="J21" s="167"/>
    </row>
    <row r="22" spans="2:10">
      <c r="B22" s="166"/>
      <c r="E22" s="166"/>
      <c r="H22" s="167"/>
      <c r="I22" s="167"/>
      <c r="J22" s="167"/>
    </row>
    <row r="23" spans="2:10">
      <c r="B23" s="168" t="s">
        <v>26</v>
      </c>
      <c r="C23" s="168"/>
      <c r="E23" s="169"/>
      <c r="H23" s="167"/>
      <c r="I23" s="167"/>
      <c r="J23" s="167"/>
    </row>
    <row r="24" spans="2:10">
      <c r="B24" s="170" t="s">
        <v>27</v>
      </c>
      <c r="C24" s="148">
        <f>'ILAUNDRY 2'!P25</f>
        <v>405000</v>
      </c>
      <c r="E24" s="166"/>
      <c r="H24" s="167"/>
      <c r="I24" s="167"/>
      <c r="J24" s="167"/>
    </row>
    <row r="25" spans="2:3">
      <c r="B25" s="170" t="s">
        <v>28</v>
      </c>
      <c r="C25" s="171">
        <f>IRR('ILAUNDRY 2'!N4:N24)</f>
        <v>0.471198121492199</v>
      </c>
    </row>
    <row r="26" spans="2:5">
      <c r="B26" s="170" t="s">
        <v>29</v>
      </c>
      <c r="C26" s="172">
        <f>C24/F8</f>
        <v>2.7</v>
      </c>
      <c r="E26" s="166"/>
    </row>
    <row r="27" spans="2:5">
      <c r="B27" s="170" t="s">
        <v>30</v>
      </c>
      <c r="C27" s="172">
        <f>1+C26</f>
        <v>3.7</v>
      </c>
      <c r="E27" s="151"/>
    </row>
    <row r="28" spans="2:3">
      <c r="B28" s="170" t="s">
        <v>204</v>
      </c>
      <c r="C28" s="173">
        <f>'ILAUNDRY 3'!D56</f>
        <v>5</v>
      </c>
    </row>
    <row r="29" spans="2:3">
      <c r="B29" s="174" t="s">
        <v>32</v>
      </c>
      <c r="C29" s="148">
        <f>'ILAUNDRY 3'!C123</f>
        <v>189.679258099767</v>
      </c>
    </row>
  </sheetData>
  <mergeCells count="1">
    <mergeCell ref="B1:C1"/>
  </mergeCells>
  <pageMargins left="0.75" right="0.75" top="1" bottom="1" header="0.5" footer="0.5"/>
  <pageSetup paperSize="1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zoomScale="79" zoomScaleNormal="79" workbookViewId="0">
      <selection activeCell="P1" sqref="P1"/>
    </sheetView>
  </sheetViews>
  <sheetFormatPr defaultColWidth="9.14285714285714" defaultRowHeight="15"/>
  <cols>
    <col min="5" max="5" width="9.57142857142857"/>
    <col min="7" max="8" width="12.8571428571429"/>
    <col min="10" max="11" width="11.4285714285714" customWidth="1"/>
    <col min="14" max="14" width="11.4285714285714" customWidth="1"/>
    <col min="15" max="15" width="12.8571428571429"/>
    <col min="16" max="16" width="10.5714285714286" customWidth="1"/>
    <col min="17" max="17" width="11.4285714285714" customWidth="1"/>
  </cols>
  <sheetData>
    <row r="1" ht="30" spans="1:14">
      <c r="A1" s="56" t="s">
        <v>205</v>
      </c>
      <c r="B1" s="57"/>
      <c r="C1" s="57"/>
      <c r="D1" s="57"/>
      <c r="E1" s="57"/>
      <c r="F1" s="57"/>
      <c r="G1" s="57"/>
      <c r="H1" s="57"/>
      <c r="I1" s="57"/>
      <c r="J1" s="65"/>
      <c r="K1" s="65"/>
      <c r="L1" s="65"/>
      <c r="M1" s="65"/>
      <c r="N1" s="65"/>
    </row>
    <row r="3" ht="105" spans="1:17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206</v>
      </c>
      <c r="M3" s="67" t="s">
        <v>46</v>
      </c>
      <c r="N3" s="67" t="s">
        <v>47</v>
      </c>
      <c r="O3" s="67" t="s">
        <v>207</v>
      </c>
      <c r="P3" s="67" t="s">
        <v>49</v>
      </c>
      <c r="Q3" s="67" t="s">
        <v>50</v>
      </c>
    </row>
    <row r="4" spans="1:17">
      <c r="A4" s="60">
        <v>0</v>
      </c>
      <c r="B4" s="61"/>
      <c r="C4" s="62"/>
      <c r="D4" s="63"/>
      <c r="E4" s="62"/>
      <c r="F4" s="62"/>
      <c r="G4" s="62">
        <f>ILAUNDRY!F8</f>
        <v>150000</v>
      </c>
      <c r="H4" s="62"/>
      <c r="I4" s="62"/>
      <c r="J4" s="62"/>
      <c r="K4" s="33">
        <f t="shared" ref="K4:K9" si="0">J4</f>
        <v>0</v>
      </c>
      <c r="L4" s="68">
        <f>IF(K4&gt;0,K4*ILAUNDRY!$I$20,0)</f>
        <v>0</v>
      </c>
      <c r="M4" s="33">
        <f t="shared" ref="M4:M24" si="1">I4-L4</f>
        <v>0</v>
      </c>
      <c r="N4" s="33">
        <v>0</v>
      </c>
      <c r="O4" s="33">
        <f>(1+ILAUNDRY!$I$21)^-A4</f>
        <v>1</v>
      </c>
      <c r="P4" s="69">
        <f>N4*O4</f>
        <v>0</v>
      </c>
      <c r="Q4" s="72">
        <f>P4</f>
        <v>0</v>
      </c>
    </row>
    <row r="5" spans="1:17">
      <c r="A5" s="35">
        <v>1</v>
      </c>
      <c r="B5" s="33">
        <f>ILAUNDRY!$J$12</f>
        <v>200</v>
      </c>
      <c r="C5" s="33">
        <f>ILAUNDRY!$J$13</f>
        <v>300</v>
      </c>
      <c r="D5" s="33">
        <f>B5*C5</f>
        <v>60000</v>
      </c>
      <c r="E5" s="64">
        <f>ILAUNDRY!$D$21</f>
        <v>30000</v>
      </c>
      <c r="F5" s="64">
        <f t="shared" ref="F5:F24" si="2">D5-E5</f>
        <v>30000</v>
      </c>
      <c r="G5" s="33"/>
      <c r="H5" s="64">
        <f>ILAUNDRY!$F$8/ILAUNDRY!$I$17</f>
        <v>37500</v>
      </c>
      <c r="I5" s="64">
        <f t="shared" ref="I5:I24" si="3">F5-H5</f>
        <v>-7500</v>
      </c>
      <c r="J5" s="64">
        <f>I5</f>
        <v>-7500</v>
      </c>
      <c r="K5" s="64">
        <f t="shared" si="0"/>
        <v>-7500</v>
      </c>
      <c r="L5" s="68">
        <f>IF(K5&gt;0,K5*ILAUNDRY!$I$20,0)</f>
        <v>0</v>
      </c>
      <c r="M5" s="64">
        <f t="shared" si="1"/>
        <v>-7500</v>
      </c>
      <c r="N5" s="64">
        <f t="shared" ref="N5:N24" si="4">N4+M5</f>
        <v>-7500</v>
      </c>
      <c r="O5" s="64">
        <f>(1+ILAUNDRY!$I$21)^-A5</f>
        <v>1</v>
      </c>
      <c r="P5" s="70">
        <f t="shared" ref="P5:P24" si="5">M5*O5</f>
        <v>-7500</v>
      </c>
      <c r="Q5" s="73">
        <f t="shared" ref="Q5:Q24" si="6">Q4+P5</f>
        <v>-7500</v>
      </c>
    </row>
    <row r="6" spans="1:17">
      <c r="A6" s="60">
        <v>2</v>
      </c>
      <c r="B6" s="33">
        <f>ILAUNDRY!$J$12</f>
        <v>200</v>
      </c>
      <c r="C6" s="33">
        <f>$C$5</f>
        <v>300</v>
      </c>
      <c r="D6" s="33">
        <f t="shared" ref="D6:D24" si="7">B6*C6</f>
        <v>60000</v>
      </c>
      <c r="E6" s="64">
        <f>ILAUNDRY!$D$21</f>
        <v>30000</v>
      </c>
      <c r="F6" s="64">
        <f t="shared" si="2"/>
        <v>30000</v>
      </c>
      <c r="G6" s="33"/>
      <c r="H6" s="64">
        <f>ILAUNDRY!$F$8/ILAUNDRY!$I$17</f>
        <v>37500</v>
      </c>
      <c r="I6" s="64">
        <f t="shared" si="3"/>
        <v>-7500</v>
      </c>
      <c r="J6" s="64">
        <f t="shared" ref="J6:J24" si="8">IF((J5+I6)&lt;0,(J5+I6),0)</f>
        <v>-15000</v>
      </c>
      <c r="K6" s="64">
        <f t="shared" si="0"/>
        <v>-15000</v>
      </c>
      <c r="L6" s="68">
        <f>IF(K6&gt;0,K6*ILAUNDRY!$I$20,0)</f>
        <v>0</v>
      </c>
      <c r="M6" s="64">
        <f t="shared" si="1"/>
        <v>-7500</v>
      </c>
      <c r="N6" s="64">
        <f t="shared" si="4"/>
        <v>-15000</v>
      </c>
      <c r="O6" s="64">
        <f>(1+ILAUNDRY!$I$21)^-A6</f>
        <v>1</v>
      </c>
      <c r="P6" s="70">
        <f t="shared" si="5"/>
        <v>-7500</v>
      </c>
      <c r="Q6" s="73">
        <f t="shared" si="6"/>
        <v>-15000</v>
      </c>
    </row>
    <row r="7" spans="1:17">
      <c r="A7" s="35">
        <v>3</v>
      </c>
      <c r="B7" s="33">
        <f>ILAUNDRY!$J$12</f>
        <v>200</v>
      </c>
      <c r="C7" s="33">
        <f>$C$5</f>
        <v>300</v>
      </c>
      <c r="D7" s="33">
        <f t="shared" si="7"/>
        <v>60000</v>
      </c>
      <c r="E7" s="64">
        <f>ILAUNDRY!$D$21</f>
        <v>30000</v>
      </c>
      <c r="F7" s="64">
        <f t="shared" si="2"/>
        <v>30000</v>
      </c>
      <c r="G7" s="33"/>
      <c r="H7" s="64">
        <f>ILAUNDRY!$F$8/ILAUNDRY!$I$17</f>
        <v>37500</v>
      </c>
      <c r="I7" s="64">
        <f t="shared" si="3"/>
        <v>-7500</v>
      </c>
      <c r="J7" s="64">
        <f t="shared" si="8"/>
        <v>-22500</v>
      </c>
      <c r="K7" s="64">
        <f t="shared" si="0"/>
        <v>-22500</v>
      </c>
      <c r="L7" s="68">
        <f>IF(K7&gt;0,K7*ILAUNDRY!$I$20,0)</f>
        <v>0</v>
      </c>
      <c r="M7" s="64">
        <f t="shared" si="1"/>
        <v>-7500</v>
      </c>
      <c r="N7" s="64">
        <f t="shared" si="4"/>
        <v>-22500</v>
      </c>
      <c r="O7" s="64">
        <f>(1+ILAUNDRY!$I$21)^-A7</f>
        <v>1</v>
      </c>
      <c r="P7" s="70">
        <f t="shared" si="5"/>
        <v>-7500</v>
      </c>
      <c r="Q7" s="73">
        <f t="shared" si="6"/>
        <v>-22500</v>
      </c>
    </row>
    <row r="8" spans="1:17">
      <c r="A8" s="60">
        <v>4</v>
      </c>
      <c r="B8" s="33">
        <f>ILAUNDRY!$J$12</f>
        <v>200</v>
      </c>
      <c r="C8" s="33">
        <f>$C$5</f>
        <v>300</v>
      </c>
      <c r="D8" s="33">
        <f t="shared" si="7"/>
        <v>60000</v>
      </c>
      <c r="E8" s="64">
        <f>ILAUNDRY!$D$21</f>
        <v>30000</v>
      </c>
      <c r="F8" s="64">
        <f t="shared" si="2"/>
        <v>30000</v>
      </c>
      <c r="G8" s="33"/>
      <c r="H8" s="64">
        <f>ILAUNDRY!$F$8/ILAUNDRY!$I$17</f>
        <v>37500</v>
      </c>
      <c r="I8" s="64">
        <f t="shared" si="3"/>
        <v>-7500</v>
      </c>
      <c r="J8" s="64">
        <f t="shared" si="8"/>
        <v>-30000</v>
      </c>
      <c r="K8" s="64">
        <f t="shared" si="0"/>
        <v>-30000</v>
      </c>
      <c r="L8" s="68">
        <f>IF(K8&gt;0,K8*ILAUNDRY!$I$20,0)</f>
        <v>0</v>
      </c>
      <c r="M8" s="64">
        <f t="shared" si="1"/>
        <v>-7500</v>
      </c>
      <c r="N8" s="64">
        <f t="shared" si="4"/>
        <v>-30000</v>
      </c>
      <c r="O8" s="64">
        <f>(1+ILAUNDRY!$I$21)^-A8</f>
        <v>1</v>
      </c>
      <c r="P8" s="70">
        <f t="shared" si="5"/>
        <v>-7500</v>
      </c>
      <c r="Q8" s="73">
        <f t="shared" si="6"/>
        <v>-30000</v>
      </c>
    </row>
    <row r="9" spans="1:17">
      <c r="A9" s="35">
        <v>5</v>
      </c>
      <c r="B9" s="33">
        <f>ILAUNDRY!$J$12</f>
        <v>200</v>
      </c>
      <c r="C9" s="33">
        <f>$C$5</f>
        <v>300</v>
      </c>
      <c r="D9" s="33">
        <f t="shared" si="7"/>
        <v>60000</v>
      </c>
      <c r="E9" s="64">
        <f>ILAUNDRY!$D$21</f>
        <v>30000</v>
      </c>
      <c r="F9" s="64">
        <f t="shared" si="2"/>
        <v>30000</v>
      </c>
      <c r="G9" s="33"/>
      <c r="H9" s="33"/>
      <c r="I9" s="64">
        <f t="shared" si="3"/>
        <v>30000</v>
      </c>
      <c r="J9" s="64">
        <f t="shared" si="8"/>
        <v>0</v>
      </c>
      <c r="K9" s="64">
        <f t="shared" si="0"/>
        <v>0</v>
      </c>
      <c r="L9" s="68">
        <f>IF(K9&gt;0,K9*ILAUNDRY!$I$20,0)</f>
        <v>0</v>
      </c>
      <c r="M9" s="64">
        <f t="shared" si="1"/>
        <v>30000</v>
      </c>
      <c r="N9" s="64">
        <f t="shared" si="4"/>
        <v>0</v>
      </c>
      <c r="O9" s="64">
        <f>(1+ILAUNDRY!$I$21)^-A9</f>
        <v>1</v>
      </c>
      <c r="P9" s="70">
        <f t="shared" si="5"/>
        <v>30000</v>
      </c>
      <c r="Q9" s="73">
        <f t="shared" si="6"/>
        <v>0</v>
      </c>
    </row>
    <row r="10" spans="1:17">
      <c r="A10" s="60">
        <v>6</v>
      </c>
      <c r="B10" s="33">
        <f>ILAUNDRY!$J$12</f>
        <v>200</v>
      </c>
      <c r="C10" s="33">
        <f>$C$5</f>
        <v>300</v>
      </c>
      <c r="D10" s="33">
        <f t="shared" si="7"/>
        <v>60000</v>
      </c>
      <c r="E10" s="64">
        <f>ILAUNDRY!$D$21</f>
        <v>30000</v>
      </c>
      <c r="F10" s="64">
        <f t="shared" si="2"/>
        <v>30000</v>
      </c>
      <c r="G10" s="33"/>
      <c r="H10" s="33"/>
      <c r="I10" s="64">
        <f t="shared" si="3"/>
        <v>30000</v>
      </c>
      <c r="J10" s="33">
        <f t="shared" si="8"/>
        <v>0</v>
      </c>
      <c r="K10" s="64">
        <f t="shared" ref="K10:K24" si="9">I10</f>
        <v>30000</v>
      </c>
      <c r="L10" s="71">
        <f>IF(K10&gt;0,K10*ILAUNDRY!$I$20,0)</f>
        <v>3000</v>
      </c>
      <c r="M10" s="64">
        <f t="shared" si="1"/>
        <v>27000</v>
      </c>
      <c r="N10" s="64">
        <f t="shared" si="4"/>
        <v>27000</v>
      </c>
      <c r="O10" s="64">
        <f>(1+ILAUNDRY!$I$21)^-A10</f>
        <v>1</v>
      </c>
      <c r="P10" s="70">
        <f t="shared" si="5"/>
        <v>27000</v>
      </c>
      <c r="Q10" s="73">
        <f t="shared" si="6"/>
        <v>27000</v>
      </c>
    </row>
    <row r="11" spans="1:17">
      <c r="A11" s="35">
        <v>7</v>
      </c>
      <c r="B11" s="33">
        <f>ILAUNDRY!$J$12</f>
        <v>200</v>
      </c>
      <c r="C11" s="33">
        <f>$C$5</f>
        <v>300</v>
      </c>
      <c r="D11" s="33">
        <f t="shared" si="7"/>
        <v>60000</v>
      </c>
      <c r="E11" s="64">
        <f>ILAUNDRY!$D$21</f>
        <v>30000</v>
      </c>
      <c r="F11" s="64">
        <f t="shared" si="2"/>
        <v>30000</v>
      </c>
      <c r="G11" s="33"/>
      <c r="H11" s="33"/>
      <c r="I11" s="64">
        <f t="shared" si="3"/>
        <v>30000</v>
      </c>
      <c r="J11" s="33">
        <f t="shared" si="8"/>
        <v>0</v>
      </c>
      <c r="K11" s="64">
        <f t="shared" si="9"/>
        <v>30000</v>
      </c>
      <c r="L11" s="71">
        <f>IF(K11&gt;0,K11*ILAUNDRY!$I$20,0)</f>
        <v>3000</v>
      </c>
      <c r="M11" s="64">
        <f t="shared" si="1"/>
        <v>27000</v>
      </c>
      <c r="N11" s="64">
        <f t="shared" si="4"/>
        <v>54000</v>
      </c>
      <c r="O11" s="64">
        <f>(1+ILAUNDRY!$I$21)^-A11</f>
        <v>1</v>
      </c>
      <c r="P11" s="70">
        <f t="shared" si="5"/>
        <v>27000</v>
      </c>
      <c r="Q11" s="73">
        <f t="shared" si="6"/>
        <v>54000</v>
      </c>
    </row>
    <row r="12" spans="1:17">
      <c r="A12" s="60">
        <v>8</v>
      </c>
      <c r="B12" s="33">
        <f>ILAUNDRY!$J$12</f>
        <v>200</v>
      </c>
      <c r="C12" s="33">
        <f>$C$5</f>
        <v>300</v>
      </c>
      <c r="D12" s="33">
        <f t="shared" si="7"/>
        <v>60000</v>
      </c>
      <c r="E12" s="64">
        <f>ILAUNDRY!$D$21</f>
        <v>30000</v>
      </c>
      <c r="F12" s="64">
        <f t="shared" si="2"/>
        <v>30000</v>
      </c>
      <c r="G12" s="33"/>
      <c r="H12" s="33"/>
      <c r="I12" s="64">
        <f t="shared" si="3"/>
        <v>30000</v>
      </c>
      <c r="J12" s="33">
        <f t="shared" si="8"/>
        <v>0</v>
      </c>
      <c r="K12" s="64">
        <f t="shared" si="9"/>
        <v>30000</v>
      </c>
      <c r="L12" s="71">
        <f>IF(K12&gt;0,K12*ILAUNDRY!$I$20,0)</f>
        <v>3000</v>
      </c>
      <c r="M12" s="64">
        <f t="shared" si="1"/>
        <v>27000</v>
      </c>
      <c r="N12" s="64">
        <f t="shared" si="4"/>
        <v>81000</v>
      </c>
      <c r="O12" s="64">
        <f>(1+ILAUNDRY!$I$21)^-A12</f>
        <v>1</v>
      </c>
      <c r="P12" s="70">
        <f t="shared" si="5"/>
        <v>27000</v>
      </c>
      <c r="Q12" s="73">
        <f t="shared" si="6"/>
        <v>81000</v>
      </c>
    </row>
    <row r="13" spans="1:17">
      <c r="A13" s="35">
        <v>9</v>
      </c>
      <c r="B13" s="33">
        <f>ILAUNDRY!$J$12</f>
        <v>200</v>
      </c>
      <c r="C13" s="33">
        <f>$C$5</f>
        <v>300</v>
      </c>
      <c r="D13" s="33">
        <f t="shared" si="7"/>
        <v>60000</v>
      </c>
      <c r="E13" s="64">
        <f>ILAUNDRY!$D$21</f>
        <v>30000</v>
      </c>
      <c r="F13" s="64">
        <f t="shared" si="2"/>
        <v>30000</v>
      </c>
      <c r="G13" s="33"/>
      <c r="H13" s="33"/>
      <c r="I13" s="64">
        <f t="shared" si="3"/>
        <v>30000</v>
      </c>
      <c r="J13" s="33">
        <f t="shared" si="8"/>
        <v>0</v>
      </c>
      <c r="K13" s="64">
        <f t="shared" si="9"/>
        <v>30000</v>
      </c>
      <c r="L13" s="71">
        <f>IF(K13&gt;0,K13*ILAUNDRY!$I$20,0)</f>
        <v>3000</v>
      </c>
      <c r="M13" s="64">
        <f t="shared" si="1"/>
        <v>27000</v>
      </c>
      <c r="N13" s="64">
        <f t="shared" si="4"/>
        <v>108000</v>
      </c>
      <c r="O13" s="64">
        <f>(1+ILAUNDRY!$I$21)^-A13</f>
        <v>1</v>
      </c>
      <c r="P13" s="70">
        <f t="shared" si="5"/>
        <v>27000</v>
      </c>
      <c r="Q13" s="73">
        <f t="shared" si="6"/>
        <v>108000</v>
      </c>
    </row>
    <row r="14" spans="1:17">
      <c r="A14" s="60">
        <v>10</v>
      </c>
      <c r="B14" s="33">
        <f>ILAUNDRY!$J$12</f>
        <v>200</v>
      </c>
      <c r="C14" s="33">
        <f>$C$5</f>
        <v>300</v>
      </c>
      <c r="D14" s="33">
        <f t="shared" si="7"/>
        <v>60000</v>
      </c>
      <c r="E14" s="64">
        <f>ILAUNDRY!$D$21</f>
        <v>30000</v>
      </c>
      <c r="F14" s="64">
        <f t="shared" si="2"/>
        <v>30000</v>
      </c>
      <c r="G14" s="33"/>
      <c r="H14" s="33"/>
      <c r="I14" s="64">
        <f t="shared" si="3"/>
        <v>30000</v>
      </c>
      <c r="J14" s="33">
        <f t="shared" si="8"/>
        <v>0</v>
      </c>
      <c r="K14" s="64">
        <f t="shared" si="9"/>
        <v>30000</v>
      </c>
      <c r="L14" s="71">
        <f>IF(K14&gt;0,K14*ILAUNDRY!$I$20,0)</f>
        <v>3000</v>
      </c>
      <c r="M14" s="64">
        <f t="shared" si="1"/>
        <v>27000</v>
      </c>
      <c r="N14" s="64">
        <f t="shared" si="4"/>
        <v>135000</v>
      </c>
      <c r="O14" s="64">
        <f>(1+ILAUNDRY!$I$21)^-A14</f>
        <v>1</v>
      </c>
      <c r="P14" s="70">
        <f t="shared" si="5"/>
        <v>27000</v>
      </c>
      <c r="Q14" s="73">
        <f t="shared" si="6"/>
        <v>135000</v>
      </c>
    </row>
    <row r="15" spans="1:17">
      <c r="A15" s="35">
        <v>11</v>
      </c>
      <c r="B15" s="33">
        <f>ILAUNDRY!$J$12</f>
        <v>200</v>
      </c>
      <c r="C15" s="33">
        <f>$C$5</f>
        <v>300</v>
      </c>
      <c r="D15" s="33">
        <f t="shared" si="7"/>
        <v>60000</v>
      </c>
      <c r="E15" s="64">
        <f>ILAUNDRY!$D$21</f>
        <v>30000</v>
      </c>
      <c r="F15" s="64">
        <f t="shared" si="2"/>
        <v>30000</v>
      </c>
      <c r="G15" s="33"/>
      <c r="H15" s="33"/>
      <c r="I15" s="64">
        <f t="shared" si="3"/>
        <v>30000</v>
      </c>
      <c r="J15" s="33">
        <f t="shared" si="8"/>
        <v>0</v>
      </c>
      <c r="K15" s="64">
        <f t="shared" si="9"/>
        <v>30000</v>
      </c>
      <c r="L15" s="71">
        <f>IF(K15&gt;0,K15*ILAUNDRY!$I$20,0)</f>
        <v>3000</v>
      </c>
      <c r="M15" s="64">
        <f t="shared" si="1"/>
        <v>27000</v>
      </c>
      <c r="N15" s="64">
        <f t="shared" si="4"/>
        <v>162000</v>
      </c>
      <c r="O15" s="64">
        <f>(1+ILAUNDRY!$I$21)^-A15</f>
        <v>1</v>
      </c>
      <c r="P15" s="70">
        <f t="shared" si="5"/>
        <v>27000</v>
      </c>
      <c r="Q15" s="73">
        <f t="shared" si="6"/>
        <v>162000</v>
      </c>
    </row>
    <row r="16" spans="1:20">
      <c r="A16" s="60">
        <v>12</v>
      </c>
      <c r="B16" s="33">
        <f>ILAUNDRY!$J$12</f>
        <v>200</v>
      </c>
      <c r="C16" s="33">
        <f>$C$5</f>
        <v>300</v>
      </c>
      <c r="D16" s="33">
        <f t="shared" si="7"/>
        <v>60000</v>
      </c>
      <c r="E16" s="64">
        <f>ILAUNDRY!$D$21</f>
        <v>30000</v>
      </c>
      <c r="F16" s="64">
        <f t="shared" si="2"/>
        <v>30000</v>
      </c>
      <c r="G16" s="33"/>
      <c r="H16" s="33"/>
      <c r="I16" s="64">
        <f t="shared" si="3"/>
        <v>30000</v>
      </c>
      <c r="J16" s="33">
        <f t="shared" si="8"/>
        <v>0</v>
      </c>
      <c r="K16" s="64">
        <f t="shared" si="9"/>
        <v>30000</v>
      </c>
      <c r="L16" s="71">
        <f>IF(K16&gt;0,K16*ILAUNDRY!$I$20,0)</f>
        <v>3000</v>
      </c>
      <c r="M16" s="64">
        <f t="shared" si="1"/>
        <v>27000</v>
      </c>
      <c r="N16" s="64">
        <f t="shared" si="4"/>
        <v>189000</v>
      </c>
      <c r="O16" s="64">
        <f>(1+ILAUNDRY!$I$21)^-A16</f>
        <v>1</v>
      </c>
      <c r="P16" s="70">
        <f t="shared" si="5"/>
        <v>27000</v>
      </c>
      <c r="Q16" s="73">
        <f t="shared" si="6"/>
        <v>189000</v>
      </c>
      <c r="T16" s="74">
        <f>IRR(M5:M24)</f>
        <v>0.474068415962876</v>
      </c>
    </row>
    <row r="17" spans="1:17">
      <c r="A17" s="35">
        <v>13</v>
      </c>
      <c r="B17" s="33">
        <f>ILAUNDRY!$J$12</f>
        <v>200</v>
      </c>
      <c r="C17" s="33">
        <f>$C$5</f>
        <v>300</v>
      </c>
      <c r="D17" s="33">
        <f t="shared" si="7"/>
        <v>60000</v>
      </c>
      <c r="E17" s="64">
        <f>ILAUNDRY!$D$21</f>
        <v>30000</v>
      </c>
      <c r="F17" s="64">
        <f t="shared" si="2"/>
        <v>30000</v>
      </c>
      <c r="G17" s="33"/>
      <c r="H17" s="33"/>
      <c r="I17" s="64">
        <f t="shared" si="3"/>
        <v>30000</v>
      </c>
      <c r="J17" s="33">
        <f t="shared" si="8"/>
        <v>0</v>
      </c>
      <c r="K17" s="64">
        <f t="shared" si="9"/>
        <v>30000</v>
      </c>
      <c r="L17" s="71">
        <f>IF(K17&gt;0,K17*ILAUNDRY!$I$20,0)</f>
        <v>3000</v>
      </c>
      <c r="M17" s="64">
        <f t="shared" si="1"/>
        <v>27000</v>
      </c>
      <c r="N17" s="64">
        <f t="shared" si="4"/>
        <v>216000</v>
      </c>
      <c r="O17" s="64">
        <f>(1+ILAUNDRY!$I$21)^-A17</f>
        <v>1</v>
      </c>
      <c r="P17" s="70">
        <f t="shared" si="5"/>
        <v>27000</v>
      </c>
      <c r="Q17" s="73">
        <f t="shared" si="6"/>
        <v>216000</v>
      </c>
    </row>
    <row r="18" spans="1:17">
      <c r="A18" s="60">
        <v>14</v>
      </c>
      <c r="B18" s="33">
        <f>ILAUNDRY!$J$12</f>
        <v>200</v>
      </c>
      <c r="C18" s="33">
        <f>$C$5</f>
        <v>300</v>
      </c>
      <c r="D18" s="33">
        <f t="shared" si="7"/>
        <v>60000</v>
      </c>
      <c r="E18" s="64">
        <f>ILAUNDRY!$D$21</f>
        <v>30000</v>
      </c>
      <c r="F18" s="64">
        <f t="shared" si="2"/>
        <v>30000</v>
      </c>
      <c r="G18" s="33"/>
      <c r="H18" s="33"/>
      <c r="I18" s="64">
        <f t="shared" si="3"/>
        <v>30000</v>
      </c>
      <c r="J18" s="33">
        <f t="shared" si="8"/>
        <v>0</v>
      </c>
      <c r="K18" s="64">
        <f t="shared" si="9"/>
        <v>30000</v>
      </c>
      <c r="L18" s="71">
        <f>IF(K18&gt;0,K18*ILAUNDRY!$I$20,0)</f>
        <v>3000</v>
      </c>
      <c r="M18" s="64">
        <f t="shared" si="1"/>
        <v>27000</v>
      </c>
      <c r="N18" s="64">
        <f t="shared" si="4"/>
        <v>243000</v>
      </c>
      <c r="O18" s="64">
        <f>(1+ILAUNDRY!$I$21)^-A18</f>
        <v>1</v>
      </c>
      <c r="P18" s="70">
        <f t="shared" si="5"/>
        <v>27000</v>
      </c>
      <c r="Q18" s="73">
        <f t="shared" si="6"/>
        <v>243000</v>
      </c>
    </row>
    <row r="19" spans="1:17">
      <c r="A19" s="35">
        <v>15</v>
      </c>
      <c r="B19" s="33">
        <f>ILAUNDRY!$J$12</f>
        <v>200</v>
      </c>
      <c r="C19" s="33">
        <f>$C$5</f>
        <v>300</v>
      </c>
      <c r="D19" s="33">
        <f t="shared" si="7"/>
        <v>60000</v>
      </c>
      <c r="E19" s="64">
        <f>ILAUNDRY!$D$21</f>
        <v>30000</v>
      </c>
      <c r="F19" s="64">
        <f t="shared" si="2"/>
        <v>30000</v>
      </c>
      <c r="G19" s="33"/>
      <c r="H19" s="33"/>
      <c r="I19" s="64">
        <f t="shared" si="3"/>
        <v>30000</v>
      </c>
      <c r="J19" s="33">
        <f t="shared" si="8"/>
        <v>0</v>
      </c>
      <c r="K19" s="64">
        <f t="shared" si="9"/>
        <v>30000</v>
      </c>
      <c r="L19" s="71">
        <f>IF(K19&gt;0,K19*ILAUNDRY!$I$20,0)</f>
        <v>3000</v>
      </c>
      <c r="M19" s="64">
        <f t="shared" si="1"/>
        <v>27000</v>
      </c>
      <c r="N19" s="64">
        <f t="shared" si="4"/>
        <v>270000</v>
      </c>
      <c r="O19" s="64">
        <f>(1+ILAUNDRY!$I$21)^-A19</f>
        <v>1</v>
      </c>
      <c r="P19" s="70">
        <f t="shared" si="5"/>
        <v>27000</v>
      </c>
      <c r="Q19" s="73">
        <f t="shared" si="6"/>
        <v>270000</v>
      </c>
    </row>
    <row r="20" spans="1:17">
      <c r="A20" s="60">
        <v>16</v>
      </c>
      <c r="B20" s="33">
        <f>ILAUNDRY!$J$12</f>
        <v>200</v>
      </c>
      <c r="C20" s="33">
        <f>$C$5</f>
        <v>300</v>
      </c>
      <c r="D20" s="33">
        <f t="shared" si="7"/>
        <v>60000</v>
      </c>
      <c r="E20" s="64">
        <f>ILAUNDRY!$D$21</f>
        <v>30000</v>
      </c>
      <c r="F20" s="64">
        <f t="shared" si="2"/>
        <v>30000</v>
      </c>
      <c r="G20" s="33"/>
      <c r="H20" s="33"/>
      <c r="I20" s="64">
        <f t="shared" si="3"/>
        <v>30000</v>
      </c>
      <c r="J20" s="33">
        <f t="shared" si="8"/>
        <v>0</v>
      </c>
      <c r="K20" s="64">
        <f t="shared" si="9"/>
        <v>30000</v>
      </c>
      <c r="L20" s="71">
        <f>IF(K20&gt;0,K20*ILAUNDRY!$I$20,0)</f>
        <v>3000</v>
      </c>
      <c r="M20" s="64">
        <f t="shared" si="1"/>
        <v>27000</v>
      </c>
      <c r="N20" s="64">
        <f t="shared" si="4"/>
        <v>297000</v>
      </c>
      <c r="O20" s="64">
        <f>(1+ILAUNDRY!$I$21)^-A20</f>
        <v>1</v>
      </c>
      <c r="P20" s="70">
        <f t="shared" si="5"/>
        <v>27000</v>
      </c>
      <c r="Q20" s="73">
        <f t="shared" si="6"/>
        <v>297000</v>
      </c>
    </row>
    <row r="21" spans="1:17">
      <c r="A21" s="35">
        <v>17</v>
      </c>
      <c r="B21" s="33">
        <f>ILAUNDRY!$J$12</f>
        <v>200</v>
      </c>
      <c r="C21" s="33">
        <f>$C$5</f>
        <v>300</v>
      </c>
      <c r="D21" s="33">
        <f t="shared" si="7"/>
        <v>60000</v>
      </c>
      <c r="E21" s="64">
        <f>ILAUNDRY!$D$21</f>
        <v>30000</v>
      </c>
      <c r="F21" s="64">
        <f t="shared" si="2"/>
        <v>30000</v>
      </c>
      <c r="G21" s="33"/>
      <c r="H21" s="33"/>
      <c r="I21" s="64">
        <f t="shared" si="3"/>
        <v>30000</v>
      </c>
      <c r="J21" s="33">
        <f t="shared" si="8"/>
        <v>0</v>
      </c>
      <c r="K21" s="64">
        <f t="shared" si="9"/>
        <v>30000</v>
      </c>
      <c r="L21" s="71">
        <f>IF(K21&gt;0,K21*ILAUNDRY!$I$20,0)</f>
        <v>3000</v>
      </c>
      <c r="M21" s="64">
        <f t="shared" si="1"/>
        <v>27000</v>
      </c>
      <c r="N21" s="64">
        <f t="shared" si="4"/>
        <v>324000</v>
      </c>
      <c r="O21" s="64">
        <f>(1+ILAUNDRY!$I$21)^-A21</f>
        <v>1</v>
      </c>
      <c r="P21" s="70">
        <f t="shared" si="5"/>
        <v>27000</v>
      </c>
      <c r="Q21" s="73">
        <f t="shared" si="6"/>
        <v>324000</v>
      </c>
    </row>
    <row r="22" spans="1:17">
      <c r="A22" s="60">
        <v>18</v>
      </c>
      <c r="B22" s="33">
        <f>ILAUNDRY!$J$12</f>
        <v>200</v>
      </c>
      <c r="C22" s="33">
        <f>$C$5</f>
        <v>300</v>
      </c>
      <c r="D22" s="33">
        <f t="shared" si="7"/>
        <v>60000</v>
      </c>
      <c r="E22" s="64">
        <f>ILAUNDRY!$D$21</f>
        <v>30000</v>
      </c>
      <c r="F22" s="64">
        <f t="shared" si="2"/>
        <v>30000</v>
      </c>
      <c r="G22" s="33"/>
      <c r="H22" s="33"/>
      <c r="I22" s="64">
        <f t="shared" si="3"/>
        <v>30000</v>
      </c>
      <c r="J22" s="33">
        <f t="shared" si="8"/>
        <v>0</v>
      </c>
      <c r="K22" s="64">
        <f t="shared" si="9"/>
        <v>30000</v>
      </c>
      <c r="L22" s="71">
        <f>IF(K22&gt;0,K22*ILAUNDRY!$I$20,0)</f>
        <v>3000</v>
      </c>
      <c r="M22" s="64">
        <f t="shared" si="1"/>
        <v>27000</v>
      </c>
      <c r="N22" s="64">
        <f t="shared" si="4"/>
        <v>351000</v>
      </c>
      <c r="O22" s="64">
        <f>(1+ILAUNDRY!$I$21)^-A22</f>
        <v>1</v>
      </c>
      <c r="P22" s="70">
        <f t="shared" si="5"/>
        <v>27000</v>
      </c>
      <c r="Q22" s="73">
        <f t="shared" si="6"/>
        <v>351000</v>
      </c>
    </row>
    <row r="23" spans="1:17">
      <c r="A23" s="35">
        <v>19</v>
      </c>
      <c r="B23" s="33">
        <f>ILAUNDRY!$J$12</f>
        <v>200</v>
      </c>
      <c r="C23" s="33">
        <f>$C$5</f>
        <v>300</v>
      </c>
      <c r="D23" s="33">
        <f t="shared" si="7"/>
        <v>60000</v>
      </c>
      <c r="E23" s="64">
        <f>ILAUNDRY!$D$21</f>
        <v>30000</v>
      </c>
      <c r="F23" s="64">
        <f t="shared" si="2"/>
        <v>30000</v>
      </c>
      <c r="G23" s="33"/>
      <c r="H23" s="33"/>
      <c r="I23" s="64">
        <f t="shared" si="3"/>
        <v>30000</v>
      </c>
      <c r="J23" s="33">
        <f t="shared" si="8"/>
        <v>0</v>
      </c>
      <c r="K23" s="64">
        <f t="shared" si="9"/>
        <v>30000</v>
      </c>
      <c r="L23" s="71">
        <f>IF(K23&gt;0,K23*ILAUNDRY!$I$20,0)</f>
        <v>3000</v>
      </c>
      <c r="M23" s="64">
        <f t="shared" si="1"/>
        <v>27000</v>
      </c>
      <c r="N23" s="64">
        <f t="shared" si="4"/>
        <v>378000</v>
      </c>
      <c r="O23" s="64">
        <f>(1+ILAUNDRY!$I$21)^-A23</f>
        <v>1</v>
      </c>
      <c r="P23" s="70">
        <f t="shared" si="5"/>
        <v>27000</v>
      </c>
      <c r="Q23" s="73">
        <f t="shared" si="6"/>
        <v>378000</v>
      </c>
    </row>
    <row r="24" spans="1:17">
      <c r="A24" s="60">
        <v>20</v>
      </c>
      <c r="B24" s="33">
        <f>ILAUNDRY!$J$12</f>
        <v>200</v>
      </c>
      <c r="C24" s="33">
        <f>$C$5</f>
        <v>300</v>
      </c>
      <c r="D24" s="33">
        <f t="shared" si="7"/>
        <v>60000</v>
      </c>
      <c r="E24" s="64">
        <f>ILAUNDRY!$D$21</f>
        <v>30000</v>
      </c>
      <c r="F24" s="64">
        <f t="shared" si="2"/>
        <v>30000</v>
      </c>
      <c r="G24" s="33"/>
      <c r="H24" s="33"/>
      <c r="I24" s="64">
        <f t="shared" si="3"/>
        <v>30000</v>
      </c>
      <c r="J24" s="33">
        <f t="shared" si="8"/>
        <v>0</v>
      </c>
      <c r="K24" s="64">
        <f t="shared" si="9"/>
        <v>30000</v>
      </c>
      <c r="L24" s="71">
        <f>IF(K24&gt;0,K24*ILAUNDRY!$I$20,0)</f>
        <v>3000</v>
      </c>
      <c r="M24" s="64">
        <f t="shared" si="1"/>
        <v>27000</v>
      </c>
      <c r="N24" s="64">
        <f t="shared" si="4"/>
        <v>405000</v>
      </c>
      <c r="O24" s="64">
        <f>(1+ILAUNDRY!$I$21)^-A24</f>
        <v>1</v>
      </c>
      <c r="P24" s="70">
        <f t="shared" si="5"/>
        <v>27000</v>
      </c>
      <c r="Q24" s="73">
        <f t="shared" si="6"/>
        <v>405000</v>
      </c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70">
        <f>SUM(P4:P24)</f>
        <v>405000</v>
      </c>
      <c r="Q25" s="33"/>
    </row>
  </sheetData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8"/>
  <sheetViews>
    <sheetView zoomScale="80" zoomScaleNormal="80" workbookViewId="0">
      <selection activeCell="B4" sqref="B4"/>
    </sheetView>
  </sheetViews>
  <sheetFormatPr defaultColWidth="9.14285714285714" defaultRowHeight="15"/>
  <cols>
    <col min="1" max="1" width="11.6" customWidth="1"/>
    <col min="2" max="2" width="10.1809523809524" customWidth="1"/>
    <col min="3" max="3" width="14"/>
    <col min="4" max="6" width="10.2857142857143"/>
    <col min="7" max="8" width="11"/>
    <col min="9" max="10" width="10.2857142857143"/>
    <col min="11" max="14" width="9.57142857142857"/>
    <col min="15" max="15" width="11"/>
    <col min="16" max="18" width="9.57142857142857"/>
    <col min="19" max="22" width="10.5714285714286"/>
    <col min="23" max="23" width="12.8571428571429"/>
  </cols>
  <sheetData>
    <row r="1" ht="30" spans="1:9">
      <c r="A1" s="137" t="s">
        <v>114</v>
      </c>
      <c r="B1" s="137"/>
      <c r="C1" s="137"/>
      <c r="D1" s="137"/>
      <c r="E1" s="137"/>
      <c r="F1" s="137"/>
      <c r="G1" s="137"/>
      <c r="H1" s="137"/>
      <c r="I1" s="137"/>
    </row>
    <row r="4" spans="1:2">
      <c r="A4" s="3" t="s">
        <v>52</v>
      </c>
      <c r="B4" s="4">
        <f>IRR('ILAUNDRY 2'!N4:N24)</f>
        <v>0.471198121492199</v>
      </c>
    </row>
    <row r="6" ht="30" spans="2:12">
      <c r="B6" s="5" t="s">
        <v>53</v>
      </c>
      <c r="C6" s="6">
        <f>ILAUNDRY!I21</f>
        <v>0</v>
      </c>
      <c r="D6" s="6">
        <f>D11</f>
        <v>0.05</v>
      </c>
      <c r="E6" s="6">
        <f>$D$18</f>
        <v>0.2</v>
      </c>
      <c r="F6" s="6">
        <f>D25</f>
        <v>0.55</v>
      </c>
      <c r="H6" s="8" t="s">
        <v>54</v>
      </c>
      <c r="I6" s="9">
        <f t="shared" ref="I6:L6" si="0">C7</f>
        <v>405000</v>
      </c>
      <c r="J6" s="9">
        <f t="shared" si="0"/>
        <v>216494.965354383</v>
      </c>
      <c r="K6" s="9">
        <f t="shared" si="0"/>
        <v>43372.9429273373</v>
      </c>
      <c r="L6" s="9">
        <f t="shared" si="0"/>
        <v>-2441.20442388302</v>
      </c>
    </row>
    <row r="7" ht="30" spans="2:12">
      <c r="B7" s="8" t="s">
        <v>54</v>
      </c>
      <c r="C7" s="9">
        <f>'ILAUNDRY 2'!Q24</f>
        <v>405000</v>
      </c>
      <c r="D7" s="9">
        <f>W15</f>
        <v>216494.965354383</v>
      </c>
      <c r="E7" s="9">
        <f>W22</f>
        <v>43372.9429273373</v>
      </c>
      <c r="F7" s="9">
        <f>W29</f>
        <v>-2441.20442388302</v>
      </c>
      <c r="H7" s="5" t="s">
        <v>24</v>
      </c>
      <c r="I7" s="6">
        <f t="shared" ref="I7:L7" si="1">C6</f>
        <v>0</v>
      </c>
      <c r="J7" s="6">
        <f t="shared" si="1"/>
        <v>0.05</v>
      </c>
      <c r="K7" s="6">
        <f t="shared" si="1"/>
        <v>0.2</v>
      </c>
      <c r="L7" s="6">
        <f t="shared" si="1"/>
        <v>0.55</v>
      </c>
    </row>
    <row r="11" spans="1:22">
      <c r="A11" s="11"/>
      <c r="B11" s="12" t="s">
        <v>55</v>
      </c>
      <c r="C11" s="8"/>
      <c r="D11" s="8">
        <f>ILAUNDRY!I21+5%</f>
        <v>0.05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13"/>
    </row>
    <row r="12" spans="1:22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</row>
    <row r="13" ht="45" spans="1:22">
      <c r="A13" s="11" t="s">
        <v>57</v>
      </c>
      <c r="B13" s="14">
        <f>'ILAUNDRY 2'!M4</f>
        <v>0</v>
      </c>
      <c r="C13" s="14">
        <f>'ILAUNDRY 2'!M5</f>
        <v>-7500</v>
      </c>
      <c r="D13" s="14">
        <f>'ILAUNDRY 2'!M6</f>
        <v>-7500</v>
      </c>
      <c r="E13" s="14">
        <f>'ILAUNDRY 2'!M7</f>
        <v>-7500</v>
      </c>
      <c r="F13" s="14">
        <f>'ILAUNDRY 2'!M8</f>
        <v>-7500</v>
      </c>
      <c r="G13" s="14">
        <f>'ILAUNDRY 2'!M9</f>
        <v>30000</v>
      </c>
      <c r="H13" s="14">
        <f>'ILAUNDRY 2'!M10</f>
        <v>27000</v>
      </c>
      <c r="I13" s="14">
        <f>'ILAUNDRY 2'!M11</f>
        <v>27000</v>
      </c>
      <c r="J13" s="14">
        <f>'ILAUNDRY 2'!M12</f>
        <v>27000</v>
      </c>
      <c r="K13" s="14">
        <f>'ILAUNDRY 2'!M13</f>
        <v>27000</v>
      </c>
      <c r="L13" s="14">
        <f>'ILAUNDRY 2'!M14</f>
        <v>27000</v>
      </c>
      <c r="M13" s="14">
        <f>'ILAUNDRY 2'!M15</f>
        <v>27000</v>
      </c>
      <c r="N13" s="14">
        <f>'ILAUNDRY 2'!M16</f>
        <v>27000</v>
      </c>
      <c r="O13" s="14">
        <f>'ILAUNDRY 2'!M17</f>
        <v>27000</v>
      </c>
      <c r="P13" s="14">
        <f>'ILAUNDRY 2'!M18</f>
        <v>27000</v>
      </c>
      <c r="Q13" s="14">
        <f>'ILAUNDRY 2'!M19</f>
        <v>27000</v>
      </c>
      <c r="R13" s="14">
        <f>'ILAUNDRY 2'!M20</f>
        <v>27000</v>
      </c>
      <c r="S13" s="14">
        <f>'ILAUNDRY 2'!M21</f>
        <v>27000</v>
      </c>
      <c r="T13" s="14">
        <f>'ILAUNDRY 2'!M22</f>
        <v>27000</v>
      </c>
      <c r="U13" s="14">
        <f>'ILAUNDRY 2'!M23</f>
        <v>27000</v>
      </c>
      <c r="V13" s="14">
        <f>'ILAUNDRY 2'!M24</f>
        <v>27000</v>
      </c>
    </row>
    <row r="14" ht="30" spans="1:22">
      <c r="A14" s="11" t="s">
        <v>58</v>
      </c>
      <c r="B14" s="14">
        <f>(1+$D$11)^-B12</f>
        <v>1</v>
      </c>
      <c r="C14" s="14">
        <f>(1+$D$11)^-C12</f>
        <v>0.952380952380952</v>
      </c>
      <c r="D14" s="14">
        <f>(1+$D$11)^-D12</f>
        <v>0.90702947845805</v>
      </c>
      <c r="E14" s="14">
        <f>(1+$D$11)^-E12</f>
        <v>0.863837598531476</v>
      </c>
      <c r="F14" s="14">
        <f>(1+$D$11)^-F12</f>
        <v>0.822702474791882</v>
      </c>
      <c r="G14" s="14">
        <f>(1+$D$11)^-G12</f>
        <v>0.783526166468459</v>
      </c>
      <c r="H14" s="14">
        <f>(1+$D$11)^-H12</f>
        <v>0.746215396636628</v>
      </c>
      <c r="I14" s="14">
        <f>(1+$D$11)^-I12</f>
        <v>0.710681330130121</v>
      </c>
      <c r="J14" s="14">
        <f>(1+$D$11)^-J12</f>
        <v>0.676839362028687</v>
      </c>
      <c r="K14" s="14">
        <f>(1+$D$11)^-K12</f>
        <v>0.644608916217797</v>
      </c>
      <c r="L14" s="14">
        <f>(1+$D$11)^-L12</f>
        <v>0.613913253540759</v>
      </c>
      <c r="M14" s="14">
        <f>(1+$D$11)^-M12</f>
        <v>0.584679289086437</v>
      </c>
      <c r="N14" s="14">
        <f>(1+$D$11)^-N12</f>
        <v>0.556837418177559</v>
      </c>
      <c r="O14" s="14">
        <f>(1+$D$11)^-O12</f>
        <v>0.530321350645295</v>
      </c>
      <c r="P14" s="14">
        <f>(1+$D$11)^-P12</f>
        <v>0.505067952995519</v>
      </c>
      <c r="Q14" s="14">
        <f>(1+$D$11)^-Q12</f>
        <v>0.48101709809097</v>
      </c>
      <c r="R14" s="14">
        <f>(1+$D$11)^-R12</f>
        <v>0.4581115219914</v>
      </c>
      <c r="S14" s="14">
        <f>(1+$D$11)^-S12</f>
        <v>0.436296687610857</v>
      </c>
      <c r="T14" s="14">
        <f>(1+$D$11)^-T12</f>
        <v>0.415520654867483</v>
      </c>
      <c r="U14" s="14">
        <f>(1+$D$11)^-U12</f>
        <v>0.39573395701665</v>
      </c>
      <c r="V14" s="14">
        <f>(1+$D$11)^-V12</f>
        <v>0.376889482873</v>
      </c>
    </row>
    <row r="15" spans="1:23">
      <c r="A15" s="11" t="s">
        <v>59</v>
      </c>
      <c r="B15" s="15">
        <f t="shared" ref="B15:N15" si="2">B13*B14</f>
        <v>0</v>
      </c>
      <c r="C15" s="15">
        <f t="shared" si="2"/>
        <v>-7142.85714285714</v>
      </c>
      <c r="D15" s="15">
        <f t="shared" si="2"/>
        <v>-6802.72108843538</v>
      </c>
      <c r="E15" s="15">
        <f t="shared" si="2"/>
        <v>-6478.78198898607</v>
      </c>
      <c r="F15" s="15">
        <f t="shared" si="2"/>
        <v>-6170.26856093911</v>
      </c>
      <c r="G15" s="15">
        <f t="shared" si="2"/>
        <v>23505.7849940538</v>
      </c>
      <c r="H15" s="15">
        <f t="shared" si="2"/>
        <v>20147.815709189</v>
      </c>
      <c r="I15" s="15">
        <f t="shared" si="2"/>
        <v>19188.3959135133</v>
      </c>
      <c r="J15" s="15">
        <f t="shared" si="2"/>
        <v>18274.6627747745</v>
      </c>
      <c r="K15" s="15">
        <f t="shared" si="2"/>
        <v>17404.4407378805</v>
      </c>
      <c r="L15" s="15">
        <f t="shared" si="2"/>
        <v>16575.6578456005</v>
      </c>
      <c r="M15" s="15">
        <f t="shared" si="2"/>
        <v>15786.3408053338</v>
      </c>
      <c r="N15" s="15">
        <f t="shared" si="2"/>
        <v>15034.6102907941</v>
      </c>
      <c r="O15" s="15">
        <f t="shared" ref="O15:V15" si="3">N13*O14</f>
        <v>14318.676467423</v>
      </c>
      <c r="P15" s="15">
        <f t="shared" si="3"/>
        <v>13636.834730879</v>
      </c>
      <c r="Q15" s="15">
        <f t="shared" si="3"/>
        <v>12987.4616484562</v>
      </c>
      <c r="R15" s="15">
        <f t="shared" si="3"/>
        <v>12369.0110937678</v>
      </c>
      <c r="S15" s="15">
        <f t="shared" si="3"/>
        <v>11780.0105654931</v>
      </c>
      <c r="T15" s="15">
        <f t="shared" si="3"/>
        <v>11219.057681422</v>
      </c>
      <c r="U15" s="15">
        <f t="shared" si="3"/>
        <v>10684.8168394495</v>
      </c>
      <c r="V15" s="15">
        <f t="shared" si="3"/>
        <v>10176.016037571</v>
      </c>
      <c r="W15">
        <f>SUM(B15:V15)</f>
        <v>216494.965354383</v>
      </c>
    </row>
    <row r="18" spans="1:22">
      <c r="A18" s="16"/>
      <c r="B18" s="12" t="s">
        <v>55</v>
      </c>
      <c r="C18" s="8"/>
      <c r="D18" s="8">
        <f>D11+15%</f>
        <v>0.2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</row>
    <row r="19" spans="1:22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</row>
    <row r="20" ht="45" spans="1:22">
      <c r="A20" s="17" t="s">
        <v>57</v>
      </c>
      <c r="B20" s="14">
        <f t="shared" ref="B20:N20" si="4">B13</f>
        <v>0</v>
      </c>
      <c r="C20" s="14">
        <f t="shared" si="4"/>
        <v>-7500</v>
      </c>
      <c r="D20" s="14">
        <f t="shared" si="4"/>
        <v>-7500</v>
      </c>
      <c r="E20" s="14">
        <f t="shared" si="4"/>
        <v>-7500</v>
      </c>
      <c r="F20" s="14">
        <f t="shared" si="4"/>
        <v>-7500</v>
      </c>
      <c r="G20" s="14">
        <f t="shared" si="4"/>
        <v>30000</v>
      </c>
      <c r="H20" s="14">
        <f t="shared" si="4"/>
        <v>27000</v>
      </c>
      <c r="I20" s="14">
        <f t="shared" si="4"/>
        <v>27000</v>
      </c>
      <c r="J20" s="14">
        <f t="shared" si="4"/>
        <v>27000</v>
      </c>
      <c r="K20" s="14">
        <f t="shared" si="4"/>
        <v>27000</v>
      </c>
      <c r="L20" s="14">
        <f t="shared" si="4"/>
        <v>27000</v>
      </c>
      <c r="M20" s="14">
        <f t="shared" si="4"/>
        <v>27000</v>
      </c>
      <c r="N20" s="14">
        <f t="shared" si="4"/>
        <v>27000</v>
      </c>
      <c r="O20" s="14">
        <f t="shared" ref="O20:Q20" si="5">N13</f>
        <v>27000</v>
      </c>
      <c r="P20" s="14">
        <f t="shared" si="5"/>
        <v>27000</v>
      </c>
      <c r="Q20" s="14">
        <f t="shared" si="5"/>
        <v>27000</v>
      </c>
      <c r="R20" s="14">
        <f t="shared" ref="R20:V20" si="6">R13</f>
        <v>27000</v>
      </c>
      <c r="S20" s="14">
        <f t="shared" si="6"/>
        <v>27000</v>
      </c>
      <c r="T20" s="14">
        <f t="shared" si="6"/>
        <v>27000</v>
      </c>
      <c r="U20" s="14">
        <f t="shared" si="6"/>
        <v>27000</v>
      </c>
      <c r="V20" s="14">
        <f t="shared" si="6"/>
        <v>27000</v>
      </c>
    </row>
    <row r="21" ht="30" spans="1:22">
      <c r="A21" s="17" t="s">
        <v>58</v>
      </c>
      <c r="B21" s="14">
        <f>(1+$D$18)^-B19</f>
        <v>1</v>
      </c>
      <c r="C21" s="14">
        <f>(1+$D$18)^-C19</f>
        <v>0.833333333333333</v>
      </c>
      <c r="D21" s="14">
        <f>(1+$D$18)^-D19</f>
        <v>0.694444444444445</v>
      </c>
      <c r="E21" s="14">
        <f>(1+$D$18)^-E19</f>
        <v>0.578703703703704</v>
      </c>
      <c r="F21" s="14">
        <f>(1+$D$18)^-F19</f>
        <v>0.482253086419753</v>
      </c>
      <c r="G21" s="14">
        <f>(1+$D$18)^-G19</f>
        <v>0.401877572016461</v>
      </c>
      <c r="H21" s="14">
        <f>(1+$D$18)^-H19</f>
        <v>0.334897976680384</v>
      </c>
      <c r="I21" s="14">
        <f>(1+$D$18)^-I19</f>
        <v>0.279081647233653</v>
      </c>
      <c r="J21" s="14">
        <f>(1+$D$18)^-J19</f>
        <v>0.232568039361378</v>
      </c>
      <c r="K21" s="14">
        <f>(1+$D$18)^-K19</f>
        <v>0.193806699467815</v>
      </c>
      <c r="L21" s="14">
        <f>(1+$D$18)^-L19</f>
        <v>0.161505582889846</v>
      </c>
      <c r="M21" s="14">
        <f>(1+$D$18)^-M19</f>
        <v>0.134587985741538</v>
      </c>
      <c r="N21" s="24">
        <f>(1+$D$18)^-N19</f>
        <v>0.112156654784615</v>
      </c>
      <c r="O21" s="14">
        <f>(1+$D$18)^-O19</f>
        <v>0.0934638789871793</v>
      </c>
      <c r="P21" s="14">
        <f>(1+$D$18)^-P19</f>
        <v>0.0778865658226494</v>
      </c>
      <c r="Q21" s="14">
        <f>(1+$D$18)^-Q19</f>
        <v>0.0649054715188745</v>
      </c>
      <c r="R21" s="14">
        <f>(1+$D$18)^-R19</f>
        <v>0.0540878929323954</v>
      </c>
      <c r="S21" s="14">
        <f>(1+$D$18)^-S19</f>
        <v>0.0450732441103295</v>
      </c>
      <c r="T21" s="14">
        <f>(1+$D$18)^-T19</f>
        <v>0.0375610367586079</v>
      </c>
      <c r="U21" s="14">
        <f>(1+$D$18)^-U19</f>
        <v>0.0313008639655066</v>
      </c>
      <c r="V21" s="14">
        <f>(1+$D$18)^-V19</f>
        <v>0.0260840533045888</v>
      </c>
    </row>
    <row r="22" spans="1:23">
      <c r="A22" s="17" t="s">
        <v>59</v>
      </c>
      <c r="B22" s="15">
        <f t="shared" ref="B22:V22" si="7">B20*B21</f>
        <v>0</v>
      </c>
      <c r="C22" s="15">
        <f t="shared" si="7"/>
        <v>-6250</v>
      </c>
      <c r="D22" s="15">
        <f t="shared" si="7"/>
        <v>-5208.33333333334</v>
      </c>
      <c r="E22" s="15">
        <f t="shared" si="7"/>
        <v>-4340.27777777778</v>
      </c>
      <c r="F22" s="15">
        <f t="shared" si="7"/>
        <v>-3616.89814814815</v>
      </c>
      <c r="G22" s="15">
        <f t="shared" si="7"/>
        <v>12056.3271604938</v>
      </c>
      <c r="H22" s="15">
        <f t="shared" si="7"/>
        <v>9042.24537037037</v>
      </c>
      <c r="I22" s="15">
        <f t="shared" si="7"/>
        <v>7535.20447530863</v>
      </c>
      <c r="J22" s="15">
        <f t="shared" si="7"/>
        <v>6279.33706275721</v>
      </c>
      <c r="K22" s="15">
        <f t="shared" si="7"/>
        <v>5232.780885631</v>
      </c>
      <c r="L22" s="15">
        <f t="shared" si="7"/>
        <v>4360.65073802584</v>
      </c>
      <c r="M22" s="15">
        <f t="shared" si="7"/>
        <v>3633.87561502153</v>
      </c>
      <c r="N22" s="15">
        <f t="shared" si="7"/>
        <v>3028.22967918461</v>
      </c>
      <c r="O22" s="15">
        <f t="shared" si="7"/>
        <v>2523.52473265384</v>
      </c>
      <c r="P22" s="15">
        <f t="shared" si="7"/>
        <v>2102.93727721153</v>
      </c>
      <c r="Q22" s="15">
        <f t="shared" si="7"/>
        <v>1752.44773100961</v>
      </c>
      <c r="R22" s="15">
        <f t="shared" si="7"/>
        <v>1460.37310917468</v>
      </c>
      <c r="S22" s="15">
        <f t="shared" si="7"/>
        <v>1216.9775909789</v>
      </c>
      <c r="T22" s="15">
        <f t="shared" si="7"/>
        <v>1014.14799248241</v>
      </c>
      <c r="U22" s="15">
        <f t="shared" si="7"/>
        <v>845.123327068678</v>
      </c>
      <c r="V22" s="15">
        <f t="shared" si="7"/>
        <v>704.269439223898</v>
      </c>
      <c r="W22">
        <f>SUM(B22:V22)</f>
        <v>43372.9429273373</v>
      </c>
    </row>
    <row r="25" spans="1:22">
      <c r="A25" s="16"/>
      <c r="B25" s="12" t="s">
        <v>55</v>
      </c>
      <c r="C25" s="8"/>
      <c r="D25" s="8">
        <f>D18+35%</f>
        <v>0.55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</row>
    <row r="26" spans="1:22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</row>
    <row r="27" ht="45" spans="1:22">
      <c r="A27" s="17" t="s">
        <v>57</v>
      </c>
      <c r="B27" s="14">
        <f t="shared" ref="B27:N27" si="8">B20</f>
        <v>0</v>
      </c>
      <c r="C27" s="14">
        <f t="shared" si="8"/>
        <v>-7500</v>
      </c>
      <c r="D27" s="14">
        <f t="shared" si="8"/>
        <v>-7500</v>
      </c>
      <c r="E27" s="14">
        <f t="shared" si="8"/>
        <v>-7500</v>
      </c>
      <c r="F27" s="14">
        <f t="shared" si="8"/>
        <v>-7500</v>
      </c>
      <c r="G27" s="14">
        <f t="shared" si="8"/>
        <v>30000</v>
      </c>
      <c r="H27" s="14">
        <f t="shared" si="8"/>
        <v>27000</v>
      </c>
      <c r="I27" s="14">
        <f t="shared" si="8"/>
        <v>27000</v>
      </c>
      <c r="J27" s="14">
        <f t="shared" si="8"/>
        <v>27000</v>
      </c>
      <c r="K27" s="14">
        <f t="shared" si="8"/>
        <v>27000</v>
      </c>
      <c r="L27" s="14">
        <f t="shared" si="8"/>
        <v>27000</v>
      </c>
      <c r="M27" s="14">
        <f t="shared" si="8"/>
        <v>27000</v>
      </c>
      <c r="N27" s="14">
        <f t="shared" si="8"/>
        <v>27000</v>
      </c>
      <c r="O27" s="14">
        <f t="shared" ref="O27:Q27" si="9">N20</f>
        <v>27000</v>
      </c>
      <c r="P27" s="14">
        <f t="shared" si="9"/>
        <v>27000</v>
      </c>
      <c r="Q27" s="14">
        <f t="shared" si="9"/>
        <v>27000</v>
      </c>
      <c r="R27" s="14">
        <f t="shared" ref="R27:V27" si="10">R20</f>
        <v>27000</v>
      </c>
      <c r="S27" s="14">
        <f t="shared" si="10"/>
        <v>27000</v>
      </c>
      <c r="T27" s="14">
        <f t="shared" si="10"/>
        <v>27000</v>
      </c>
      <c r="U27" s="14">
        <f t="shared" si="10"/>
        <v>27000</v>
      </c>
      <c r="V27" s="14">
        <f t="shared" si="10"/>
        <v>27000</v>
      </c>
    </row>
    <row r="28" ht="30" spans="1:22">
      <c r="A28" s="17" t="s">
        <v>58</v>
      </c>
      <c r="B28" s="14">
        <f>(1+$D$18)^-B26</f>
        <v>1</v>
      </c>
      <c r="C28" s="14">
        <f>(1+$D$25)^-C26</f>
        <v>0.645161290322581</v>
      </c>
      <c r="D28" s="14">
        <f>(1+$D$25)^-D26</f>
        <v>0.416233090530697</v>
      </c>
      <c r="E28" s="14">
        <f>(1+$D$25)^-E26</f>
        <v>0.26853747776174</v>
      </c>
      <c r="F28" s="14">
        <f>(1+$D$25)^-F26</f>
        <v>0.173249985652736</v>
      </c>
      <c r="G28" s="14">
        <f>(1+$D$25)^-G26</f>
        <v>0.111774184292087</v>
      </c>
      <c r="H28" s="14">
        <f>(1+$D$25)^-H26</f>
        <v>0.0721123769626371</v>
      </c>
      <c r="I28" s="14">
        <f>(1+$D$25)^-I26</f>
        <v>0.0465241141694433</v>
      </c>
      <c r="J28" s="14">
        <f>(1+$D$25)^-J26</f>
        <v>0.0300155575286731</v>
      </c>
      <c r="K28" s="14">
        <f>(1+$D$25)^-K26</f>
        <v>0.0193648758249504</v>
      </c>
      <c r="L28" s="14">
        <f>(1+$D$25)^-L26</f>
        <v>0.0124934682741615</v>
      </c>
      <c r="M28" s="14">
        <f>(1+$D$25)^-M26</f>
        <v>0.00806030211236228</v>
      </c>
      <c r="N28" s="14">
        <f>(1+$D$25)^-N26</f>
        <v>0.00520019491120147</v>
      </c>
      <c r="O28" s="14">
        <f>(1+$D$25)^-O26</f>
        <v>0.00335496445883966</v>
      </c>
      <c r="P28" s="14">
        <f>(1+$D$25)^-P26</f>
        <v>0.00216449319925139</v>
      </c>
      <c r="Q28" s="14">
        <f>(1+$D$25)^-Q26</f>
        <v>0.00139644722532348</v>
      </c>
      <c r="R28" s="14">
        <f>(1+$D$25)^-R26</f>
        <v>0.000900933693757083</v>
      </c>
      <c r="S28" s="14">
        <f>(1+$D$25)^-S26</f>
        <v>0.000581247544359408</v>
      </c>
      <c r="T28" s="14">
        <f>(1+$D$25)^-T26</f>
        <v>0.000374998415715747</v>
      </c>
      <c r="U28" s="14">
        <f>(1+$D$25)^-U26</f>
        <v>0.000241934461752095</v>
      </c>
      <c r="V28" s="14">
        <f>(1+$D$25)^-V26</f>
        <v>0.000156086749517481</v>
      </c>
    </row>
    <row r="29" spans="1:23">
      <c r="A29" s="17" t="s">
        <v>59</v>
      </c>
      <c r="B29" s="15">
        <f t="shared" ref="B29:V29" si="11">B27*B28</f>
        <v>0</v>
      </c>
      <c r="C29" s="15">
        <f t="shared" si="11"/>
        <v>-4838.70967741936</v>
      </c>
      <c r="D29" s="15">
        <f t="shared" si="11"/>
        <v>-3121.74817898023</v>
      </c>
      <c r="E29" s="15">
        <f t="shared" si="11"/>
        <v>-2014.03108321305</v>
      </c>
      <c r="F29" s="15">
        <f t="shared" si="11"/>
        <v>-1299.37489239552</v>
      </c>
      <c r="G29" s="15">
        <f t="shared" si="11"/>
        <v>3353.22552876261</v>
      </c>
      <c r="H29" s="15">
        <f t="shared" si="11"/>
        <v>1947.0341779912</v>
      </c>
      <c r="I29" s="15">
        <f t="shared" si="11"/>
        <v>1256.15108257497</v>
      </c>
      <c r="J29" s="15">
        <f t="shared" si="11"/>
        <v>810.420053274174</v>
      </c>
      <c r="K29" s="15">
        <f t="shared" si="11"/>
        <v>522.851647273661</v>
      </c>
      <c r="L29" s="15">
        <f t="shared" si="11"/>
        <v>337.323643402361</v>
      </c>
      <c r="M29" s="15">
        <f t="shared" si="11"/>
        <v>217.628157033782</v>
      </c>
      <c r="N29" s="15">
        <f t="shared" si="11"/>
        <v>140.40526260244</v>
      </c>
      <c r="O29" s="15">
        <f t="shared" si="11"/>
        <v>90.5840403886708</v>
      </c>
      <c r="P29" s="15">
        <f t="shared" si="11"/>
        <v>58.4413163797875</v>
      </c>
      <c r="Q29" s="15">
        <f t="shared" si="11"/>
        <v>37.704075083734</v>
      </c>
      <c r="R29" s="15">
        <f t="shared" si="11"/>
        <v>24.3252097314412</v>
      </c>
      <c r="S29" s="15">
        <f t="shared" si="11"/>
        <v>15.693683697704</v>
      </c>
      <c r="T29" s="15">
        <f t="shared" si="11"/>
        <v>10.1249572243252</v>
      </c>
      <c r="U29" s="15">
        <f t="shared" si="11"/>
        <v>6.53223046730657</v>
      </c>
      <c r="V29" s="15">
        <f t="shared" si="11"/>
        <v>4.21434223697199</v>
      </c>
      <c r="W29">
        <f>SUM(C29:V29)</f>
        <v>-2441.20442388302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FORECAST(0,I61:J61,I60:J60)</f>
        <v>5</v>
      </c>
    </row>
    <row r="60" ht="60" spans="2:22">
      <c r="B60" s="17" t="s">
        <v>62</v>
      </c>
      <c r="C60" s="20">
        <f>'ILAUNDRY 2'!Q4</f>
        <v>0</v>
      </c>
      <c r="D60" s="20">
        <f>'ILAUNDRY 2'!Q5</f>
        <v>-7500</v>
      </c>
      <c r="E60" s="20">
        <f>'ILAUNDRY 2'!Q6</f>
        <v>-15000</v>
      </c>
      <c r="F60" s="20">
        <f>'ILAUNDRY 2'!Q7</f>
        <v>-22500</v>
      </c>
      <c r="G60" s="20">
        <f>'ILAUNDRY 2'!Q8</f>
        <v>-30000</v>
      </c>
      <c r="H60" s="20">
        <f>'ILAUNDRY 2'!Q9</f>
        <v>0</v>
      </c>
      <c r="I60" s="20">
        <f>'ILAUNDRY 2'!Q10</f>
        <v>27000</v>
      </c>
      <c r="J60" s="20">
        <f>'ILAUNDRY 2'!Q11</f>
        <v>54000</v>
      </c>
      <c r="K60" s="20">
        <f>'ILAUNDRY 2'!Q12</f>
        <v>81000</v>
      </c>
      <c r="L60" s="20">
        <f>'ILAUNDRY 2'!Q13</f>
        <v>108000</v>
      </c>
      <c r="M60" s="20">
        <f>'ILAUNDRY 2'!Q14</f>
        <v>135000</v>
      </c>
      <c r="N60" s="20">
        <f>'ILAUNDRY 2'!Q15</f>
        <v>162000</v>
      </c>
      <c r="O60" s="20">
        <f>'ILAUNDRY 2'!Q16</f>
        <v>189000</v>
      </c>
      <c r="P60" s="20">
        <f>'ILAUNDRY 2'!Q17</f>
        <v>216000</v>
      </c>
      <c r="Q60" s="20">
        <f>'ILAUNDRY 2'!Q18</f>
        <v>243000</v>
      </c>
      <c r="R60" s="20">
        <f>'ILAUNDRY 2'!Q19</f>
        <v>270000</v>
      </c>
      <c r="S60" s="20">
        <f>'ILAUNDRY 2'!Q20</f>
        <v>297000</v>
      </c>
      <c r="T60" s="20">
        <f>'ILAUNDRY 2'!Q21</f>
        <v>324000</v>
      </c>
      <c r="U60" s="20">
        <f>'ILAUNDRY 2'!Q22</f>
        <v>351000</v>
      </c>
      <c r="V60" s="20">
        <f>'ILAUNDRY 2'!Q23</f>
        <v>378000</v>
      </c>
    </row>
    <row r="61" spans="2:22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</row>
    <row r="62" ht="60" spans="2:22">
      <c r="B62" s="17" t="s">
        <v>62</v>
      </c>
      <c r="C62" s="21">
        <f t="shared" ref="C62:V62" si="12">C60</f>
        <v>0</v>
      </c>
      <c r="D62" s="21">
        <f t="shared" si="12"/>
        <v>-7500</v>
      </c>
      <c r="E62" s="21">
        <f t="shared" si="12"/>
        <v>-15000</v>
      </c>
      <c r="F62" s="21">
        <f t="shared" si="12"/>
        <v>-22500</v>
      </c>
      <c r="G62" s="21">
        <f t="shared" si="12"/>
        <v>-30000</v>
      </c>
      <c r="H62" s="21">
        <f t="shared" si="12"/>
        <v>0</v>
      </c>
      <c r="I62" s="21">
        <f t="shared" si="12"/>
        <v>27000</v>
      </c>
      <c r="J62" s="21">
        <f t="shared" si="12"/>
        <v>54000</v>
      </c>
      <c r="K62" s="21">
        <f t="shared" si="12"/>
        <v>81000</v>
      </c>
      <c r="L62" s="21">
        <f t="shared" si="12"/>
        <v>108000</v>
      </c>
      <c r="M62" s="21">
        <f t="shared" si="12"/>
        <v>135000</v>
      </c>
      <c r="N62" s="21">
        <f t="shared" si="12"/>
        <v>162000</v>
      </c>
      <c r="O62" s="21">
        <f t="shared" si="12"/>
        <v>189000</v>
      </c>
      <c r="P62" s="21">
        <f t="shared" si="12"/>
        <v>216000</v>
      </c>
      <c r="Q62" s="21">
        <f t="shared" si="12"/>
        <v>243000</v>
      </c>
      <c r="R62" s="21">
        <f t="shared" si="12"/>
        <v>270000</v>
      </c>
      <c r="S62" s="21">
        <f t="shared" si="12"/>
        <v>297000</v>
      </c>
      <c r="T62" s="21">
        <f t="shared" si="12"/>
        <v>324000</v>
      </c>
      <c r="U62" s="21">
        <f t="shared" si="12"/>
        <v>351000</v>
      </c>
      <c r="V62" s="21">
        <f t="shared" si="12"/>
        <v>378000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ILAUNDRY!I21</f>
        <v>0</v>
      </c>
      <c r="D104" s="33"/>
    </row>
    <row r="105" spans="1:4">
      <c r="A105" s="31"/>
      <c r="B105" s="33" t="s">
        <v>72</v>
      </c>
      <c r="C105" s="33">
        <f>ILAUNDRY!F8/10^6</f>
        <v>0.15</v>
      </c>
      <c r="D105" s="33" t="s">
        <v>73</v>
      </c>
    </row>
    <row r="106" spans="1:4">
      <c r="A106" s="31"/>
      <c r="B106" s="33" t="s">
        <v>74</v>
      </c>
      <c r="C106" s="33">
        <f>C7</f>
        <v>405000</v>
      </c>
      <c r="D106" s="33" t="s">
        <v>73</v>
      </c>
    </row>
    <row r="107" spans="1:4">
      <c r="A107" s="31"/>
      <c r="B107" s="33" t="s">
        <v>66</v>
      </c>
      <c r="C107" s="33">
        <f>ILAUNDRY!F8/10^6</f>
        <v>0.15</v>
      </c>
      <c r="D107" s="33"/>
    </row>
    <row r="108" spans="1:4">
      <c r="A108" s="31"/>
      <c r="B108" s="35" t="s">
        <v>64</v>
      </c>
      <c r="C108" s="35">
        <f>C106/C107</f>
        <v>2700000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2700000</v>
      </c>
      <c r="D113" s="31"/>
    </row>
    <row r="114" spans="1:4">
      <c r="A114" s="31"/>
      <c r="B114" s="37" t="s">
        <v>76</v>
      </c>
      <c r="C114" s="37">
        <f>1+C113</f>
        <v>2700001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405000</v>
      </c>
    </row>
    <row r="123" spans="1:3">
      <c r="A123" s="3" t="s">
        <v>83</v>
      </c>
      <c r="B123" s="3"/>
      <c r="C123">
        <f>FORECAST(0,C125:E125,C126:E126)</f>
        <v>189.679258099767</v>
      </c>
    </row>
    <row r="125" spans="2:5">
      <c r="B125" t="s">
        <v>84</v>
      </c>
      <c r="C125" s="6">
        <f>ILAUNDRY!J13</f>
        <v>300</v>
      </c>
      <c r="D125" s="6">
        <f>B131</f>
        <v>250</v>
      </c>
      <c r="E125" s="6">
        <f>B155</f>
        <v>200</v>
      </c>
    </row>
    <row r="126" spans="2:5">
      <c r="B126" t="s">
        <v>54</v>
      </c>
      <c r="C126" s="6">
        <f>'ILAUNDRY 2'!Q24</f>
        <v>405000</v>
      </c>
      <c r="D126" s="6">
        <f>Q153</f>
        <v>224000</v>
      </c>
      <c r="E126" s="6">
        <f>Q177</f>
        <v>37000</v>
      </c>
    </row>
    <row r="131" spans="1:2">
      <c r="A131" t="s">
        <v>85</v>
      </c>
      <c r="B131">
        <f>C125-50</f>
        <v>250</v>
      </c>
    </row>
    <row r="132" ht="45" spans="1:17">
      <c r="A132" s="40" t="s">
        <v>34</v>
      </c>
      <c r="B132" s="41" t="s">
        <v>35</v>
      </c>
      <c r="C132" s="41" t="s">
        <v>36</v>
      </c>
      <c r="D132" s="41" t="s">
        <v>86</v>
      </c>
      <c r="E132" s="41" t="s">
        <v>87</v>
      </c>
      <c r="F132" s="41" t="s">
        <v>88</v>
      </c>
      <c r="G132" s="41" t="s">
        <v>40</v>
      </c>
      <c r="H132" s="41" t="s">
        <v>89</v>
      </c>
      <c r="I132" s="41" t="s">
        <v>90</v>
      </c>
      <c r="J132" s="41" t="s">
        <v>91</v>
      </c>
      <c r="K132" s="48" t="s">
        <v>92</v>
      </c>
      <c r="L132" s="49" t="s">
        <v>93</v>
      </c>
      <c r="M132" s="49" t="s">
        <v>94</v>
      </c>
      <c r="N132" s="49" t="s">
        <v>95</v>
      </c>
      <c r="O132" s="49" t="s">
        <v>48</v>
      </c>
      <c r="P132" s="49" t="s">
        <v>96</v>
      </c>
      <c r="Q132" s="49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ILAUNDRY!F8</f>
        <v>150000</v>
      </c>
      <c r="H133" s="44"/>
      <c r="I133" s="44"/>
      <c r="J133" s="44"/>
      <c r="K133" s="47">
        <f>J133</f>
        <v>0</v>
      </c>
      <c r="L133" s="50">
        <f>IF(K133&gt;0,K133*SALICYLIC [3]ACID!$K$15,0)</f>
        <v>0</v>
      </c>
      <c r="M133" s="47">
        <f t="shared" ref="M133:M153" si="13">I133-L133</f>
        <v>0</v>
      </c>
      <c r="N133" s="47">
        <v>0</v>
      </c>
      <c r="O133" s="47">
        <f>(1+ILAUNDRY!$I$21)^-A133</f>
        <v>1</v>
      </c>
      <c r="P133" s="51">
        <f>N133*O133</f>
        <v>0</v>
      </c>
      <c r="Q133" s="54">
        <f>P133</f>
        <v>0</v>
      </c>
    </row>
    <row r="134" spans="1:17">
      <c r="A134" s="46">
        <v>1</v>
      </c>
      <c r="B134" s="47">
        <f>ILAUNDRY!$J$12</f>
        <v>200</v>
      </c>
      <c r="C134" s="47">
        <f>B131</f>
        <v>250</v>
      </c>
      <c r="D134" s="47">
        <f>B134*C134</f>
        <v>50000</v>
      </c>
      <c r="E134" s="47">
        <f>ILAUNDRY!$D$21</f>
        <v>30000</v>
      </c>
      <c r="F134" s="47">
        <f t="shared" ref="F134:F153" si="14">D134-E134</f>
        <v>20000</v>
      </c>
      <c r="G134" s="47"/>
      <c r="H134" s="47">
        <f>ILAUNDRY!$F$8/ILAUNDRY!$I$17</f>
        <v>37500</v>
      </c>
      <c r="I134" s="47">
        <f t="shared" ref="I134:I153" si="15">F134-H134</f>
        <v>-17500</v>
      </c>
      <c r="J134" s="47">
        <f t="shared" ref="J134:J153" si="16">IF((J133+I134)&lt;0,(J133+I134),0)</f>
        <v>-17500</v>
      </c>
      <c r="K134" s="47">
        <f t="shared" ref="K134:K140" si="17">IF(J134&gt;0,I134,J134)</f>
        <v>-17500</v>
      </c>
      <c r="L134" s="50">
        <f>IF(K134&gt;0,K134*SALICYLIC [3]ACID!$K$15,0)</f>
        <v>0</v>
      </c>
      <c r="M134" s="47">
        <f t="shared" si="13"/>
        <v>-17500</v>
      </c>
      <c r="N134" s="47">
        <f t="shared" ref="N134:N153" si="18">N133+M134</f>
        <v>-17500</v>
      </c>
      <c r="O134" s="47">
        <f>(1+ILAUNDRY!$I$21)^-A134</f>
        <v>1</v>
      </c>
      <c r="P134" s="51">
        <f t="shared" ref="P134:P153" si="19">M134*O134</f>
        <v>-17500</v>
      </c>
      <c r="Q134" s="55">
        <f t="shared" ref="Q134:Q153" si="20">Q133+P134</f>
        <v>-17500</v>
      </c>
    </row>
    <row r="135" spans="1:17">
      <c r="A135" s="42">
        <v>2</v>
      </c>
      <c r="B135" s="47">
        <f>ILAUNDRY!$J$12</f>
        <v>200</v>
      </c>
      <c r="C135" s="47">
        <f t="shared" ref="C135:C153" si="21">$C$134</f>
        <v>250</v>
      </c>
      <c r="D135" s="47">
        <f t="shared" ref="D135:D153" si="22">B135*C135</f>
        <v>50000</v>
      </c>
      <c r="E135" s="47">
        <f>ILAUNDRY!$D$21</f>
        <v>30000</v>
      </c>
      <c r="F135" s="47">
        <f t="shared" si="14"/>
        <v>20000</v>
      </c>
      <c r="G135" s="47"/>
      <c r="H135" s="47">
        <f>ILAUNDRY!$F$8/ILAUNDRY!$I$17</f>
        <v>37500</v>
      </c>
      <c r="I135" s="47">
        <f t="shared" si="15"/>
        <v>-17500</v>
      </c>
      <c r="J135" s="47">
        <f t="shared" si="16"/>
        <v>-35000</v>
      </c>
      <c r="K135" s="47">
        <f t="shared" si="17"/>
        <v>-35000</v>
      </c>
      <c r="L135" s="50">
        <f>IF(K135&gt;0,K135*SALICYLIC [3]ACID!$K$15,0)</f>
        <v>0</v>
      </c>
      <c r="M135" s="47">
        <f t="shared" si="13"/>
        <v>-17500</v>
      </c>
      <c r="N135" s="47">
        <f t="shared" si="18"/>
        <v>-35000</v>
      </c>
      <c r="O135" s="47">
        <f>(1+ILAUNDRY!$I$21)^-A135</f>
        <v>1</v>
      </c>
      <c r="P135" s="51">
        <f t="shared" si="19"/>
        <v>-17500</v>
      </c>
      <c r="Q135" s="55">
        <f t="shared" si="20"/>
        <v>-35000</v>
      </c>
    </row>
    <row r="136" spans="1:17">
      <c r="A136" s="46">
        <v>3</v>
      </c>
      <c r="B136" s="47">
        <f>ILAUNDRY!$J$12</f>
        <v>200</v>
      </c>
      <c r="C136" s="47">
        <f t="shared" si="21"/>
        <v>250</v>
      </c>
      <c r="D136" s="47">
        <f t="shared" si="22"/>
        <v>50000</v>
      </c>
      <c r="E136" s="47">
        <f>ILAUNDRY!$D$21</f>
        <v>30000</v>
      </c>
      <c r="F136" s="47">
        <f t="shared" si="14"/>
        <v>20000</v>
      </c>
      <c r="G136" s="47"/>
      <c r="H136" s="47">
        <f>ILAUNDRY!$F$8/ILAUNDRY!$I$17</f>
        <v>37500</v>
      </c>
      <c r="I136" s="47">
        <f t="shared" si="15"/>
        <v>-17500</v>
      </c>
      <c r="J136" s="47">
        <f t="shared" si="16"/>
        <v>-52500</v>
      </c>
      <c r="K136" s="47">
        <f t="shared" si="17"/>
        <v>-52500</v>
      </c>
      <c r="L136" s="50">
        <f>IF(K136&gt;0,K136*SALICYLIC [3]ACID!$K$15,0)</f>
        <v>0</v>
      </c>
      <c r="M136" s="47">
        <f t="shared" si="13"/>
        <v>-17500</v>
      </c>
      <c r="N136" s="47">
        <f t="shared" si="18"/>
        <v>-52500</v>
      </c>
      <c r="O136" s="47">
        <f>(1+ILAUNDRY!$I$21)^-A136</f>
        <v>1</v>
      </c>
      <c r="P136" s="51">
        <f t="shared" si="19"/>
        <v>-17500</v>
      </c>
      <c r="Q136" s="55">
        <f t="shared" si="20"/>
        <v>-52500</v>
      </c>
    </row>
    <row r="137" spans="1:17">
      <c r="A137" s="42">
        <v>4</v>
      </c>
      <c r="B137" s="47">
        <f>ILAUNDRY!$J$12</f>
        <v>200</v>
      </c>
      <c r="C137" s="47">
        <f t="shared" si="21"/>
        <v>250</v>
      </c>
      <c r="D137" s="47">
        <f t="shared" si="22"/>
        <v>50000</v>
      </c>
      <c r="E137" s="47">
        <f>ILAUNDRY!$D$21</f>
        <v>30000</v>
      </c>
      <c r="F137" s="47">
        <f t="shared" si="14"/>
        <v>20000</v>
      </c>
      <c r="G137" s="47"/>
      <c r="H137" s="47">
        <f>ILAUNDRY!$F$8/ILAUNDRY!$I$17</f>
        <v>37500</v>
      </c>
      <c r="I137" s="47">
        <f t="shared" si="15"/>
        <v>-17500</v>
      </c>
      <c r="J137" s="47">
        <f t="shared" si="16"/>
        <v>-70000</v>
      </c>
      <c r="K137" s="47">
        <f t="shared" si="17"/>
        <v>-70000</v>
      </c>
      <c r="L137" s="50">
        <f>IF(K137&gt;0,K137*SALICYLIC [3]ACID!$K$15,0)</f>
        <v>0</v>
      </c>
      <c r="M137" s="47">
        <f t="shared" si="13"/>
        <v>-17500</v>
      </c>
      <c r="N137" s="47">
        <f t="shared" si="18"/>
        <v>-70000</v>
      </c>
      <c r="O137" s="47">
        <f>(1+ILAUNDRY!$I$21)^-A137</f>
        <v>1</v>
      </c>
      <c r="P137" s="51">
        <f t="shared" si="19"/>
        <v>-17500</v>
      </c>
      <c r="Q137" s="55">
        <f t="shared" si="20"/>
        <v>-70000</v>
      </c>
    </row>
    <row r="138" spans="1:17">
      <c r="A138" s="46">
        <v>5</v>
      </c>
      <c r="B138" s="47">
        <f>ILAUNDRY!$J$12</f>
        <v>200</v>
      </c>
      <c r="C138" s="47">
        <f t="shared" si="21"/>
        <v>250</v>
      </c>
      <c r="D138" s="47">
        <f t="shared" si="22"/>
        <v>50000</v>
      </c>
      <c r="E138" s="47">
        <f>ILAUNDRY!$D$21</f>
        <v>30000</v>
      </c>
      <c r="F138" s="47">
        <f t="shared" si="14"/>
        <v>20000</v>
      </c>
      <c r="G138" s="47"/>
      <c r="H138" s="47"/>
      <c r="I138" s="47">
        <f t="shared" si="15"/>
        <v>20000</v>
      </c>
      <c r="J138" s="47">
        <f t="shared" si="16"/>
        <v>-50000</v>
      </c>
      <c r="K138" s="47">
        <f t="shared" si="17"/>
        <v>-50000</v>
      </c>
      <c r="L138" s="50">
        <f>IF(K138&gt;0,K138*SALICYLIC [3]ACID!$K$15,0)</f>
        <v>0</v>
      </c>
      <c r="M138" s="47">
        <f t="shared" si="13"/>
        <v>20000</v>
      </c>
      <c r="N138" s="47">
        <f t="shared" si="18"/>
        <v>-50000</v>
      </c>
      <c r="O138" s="47">
        <f>(1+ILAUNDRY!$I$21)^-A138</f>
        <v>1</v>
      </c>
      <c r="P138" s="51">
        <f t="shared" si="19"/>
        <v>20000</v>
      </c>
      <c r="Q138" s="55">
        <f t="shared" si="20"/>
        <v>-50000</v>
      </c>
    </row>
    <row r="139" spans="1:17">
      <c r="A139" s="42">
        <v>6</v>
      </c>
      <c r="B139" s="47">
        <f>ILAUNDRY!$J$12</f>
        <v>200</v>
      </c>
      <c r="C139" s="47">
        <f t="shared" si="21"/>
        <v>250</v>
      </c>
      <c r="D139" s="47">
        <f t="shared" si="22"/>
        <v>50000</v>
      </c>
      <c r="E139" s="47">
        <f>ILAUNDRY!$D$21</f>
        <v>30000</v>
      </c>
      <c r="F139" s="47">
        <f t="shared" si="14"/>
        <v>20000</v>
      </c>
      <c r="G139" s="47"/>
      <c r="H139" s="47"/>
      <c r="I139" s="47">
        <f t="shared" si="15"/>
        <v>20000</v>
      </c>
      <c r="J139" s="47">
        <f t="shared" si="16"/>
        <v>-30000</v>
      </c>
      <c r="K139" s="47">
        <f t="shared" si="17"/>
        <v>-30000</v>
      </c>
      <c r="L139" s="50">
        <f>IF(K139&gt;0,K139*SALICYLIC [3]ACID!$K$15,0)</f>
        <v>0</v>
      </c>
      <c r="M139" s="47">
        <f t="shared" si="13"/>
        <v>20000</v>
      </c>
      <c r="N139" s="47">
        <f t="shared" si="18"/>
        <v>-30000</v>
      </c>
      <c r="O139" s="47">
        <f>(1+ILAUNDRY!$I$21)^-A139</f>
        <v>1</v>
      </c>
      <c r="P139" s="51">
        <f t="shared" si="19"/>
        <v>20000</v>
      </c>
      <c r="Q139" s="55">
        <f t="shared" si="20"/>
        <v>-30000</v>
      </c>
    </row>
    <row r="140" spans="1:17">
      <c r="A140" s="46">
        <v>7</v>
      </c>
      <c r="B140" s="47">
        <f>ILAUNDRY!$J$12</f>
        <v>200</v>
      </c>
      <c r="C140" s="47">
        <f t="shared" si="21"/>
        <v>250</v>
      </c>
      <c r="D140" s="47">
        <f t="shared" si="22"/>
        <v>50000</v>
      </c>
      <c r="E140" s="47">
        <f>ILAUNDRY!$D$21</f>
        <v>30000</v>
      </c>
      <c r="F140" s="47">
        <f t="shared" si="14"/>
        <v>20000</v>
      </c>
      <c r="G140" s="47"/>
      <c r="H140" s="47"/>
      <c r="I140" s="47">
        <f t="shared" si="15"/>
        <v>20000</v>
      </c>
      <c r="J140" s="47">
        <f t="shared" si="16"/>
        <v>-10000</v>
      </c>
      <c r="K140" s="47">
        <f t="shared" si="17"/>
        <v>-10000</v>
      </c>
      <c r="L140" s="50">
        <f>IF(K140&gt;0,K140*SALICYLIC [3]ACID!$K$15,0)</f>
        <v>0</v>
      </c>
      <c r="M140" s="47">
        <f t="shared" si="13"/>
        <v>20000</v>
      </c>
      <c r="N140" s="47">
        <f t="shared" si="18"/>
        <v>-10000</v>
      </c>
      <c r="O140" s="47">
        <f>(1+ILAUNDRY!$I$21)^-A140</f>
        <v>1</v>
      </c>
      <c r="P140" s="51">
        <f t="shared" si="19"/>
        <v>20000</v>
      </c>
      <c r="Q140" s="55">
        <f t="shared" si="20"/>
        <v>-10000</v>
      </c>
    </row>
    <row r="141" spans="1:17">
      <c r="A141" s="42">
        <v>8</v>
      </c>
      <c r="B141" s="47">
        <f>ILAUNDRY!$J$12</f>
        <v>200</v>
      </c>
      <c r="C141" s="47">
        <f t="shared" si="21"/>
        <v>250</v>
      </c>
      <c r="D141" s="47">
        <f t="shared" si="22"/>
        <v>50000</v>
      </c>
      <c r="E141" s="47">
        <f>ILAUNDRY!$D$21</f>
        <v>30000</v>
      </c>
      <c r="F141" s="47">
        <f t="shared" si="14"/>
        <v>20000</v>
      </c>
      <c r="G141" s="47"/>
      <c r="H141" s="47"/>
      <c r="I141" s="47">
        <f t="shared" si="15"/>
        <v>20000</v>
      </c>
      <c r="J141" s="47">
        <f t="shared" si="16"/>
        <v>0</v>
      </c>
      <c r="K141" s="47">
        <f t="shared" ref="K141:K153" si="23">I141</f>
        <v>20000</v>
      </c>
      <c r="L141" s="50">
        <f>IF(K141&gt;0,K141*ILAUNDRY!$I$20,0)</f>
        <v>2000</v>
      </c>
      <c r="M141" s="47">
        <f t="shared" si="13"/>
        <v>18000</v>
      </c>
      <c r="N141" s="47">
        <f t="shared" si="18"/>
        <v>8000</v>
      </c>
      <c r="O141" s="47">
        <f>(1+ILAUNDRY!$I$21)^-A141</f>
        <v>1</v>
      </c>
      <c r="P141" s="51">
        <f t="shared" si="19"/>
        <v>18000</v>
      </c>
      <c r="Q141" s="55">
        <f t="shared" si="20"/>
        <v>8000</v>
      </c>
    </row>
    <row r="142" spans="1:17">
      <c r="A142" s="46">
        <v>9</v>
      </c>
      <c r="B142" s="47">
        <f>ILAUNDRY!$J$12</f>
        <v>200</v>
      </c>
      <c r="C142" s="47">
        <f t="shared" si="21"/>
        <v>250</v>
      </c>
      <c r="D142" s="47">
        <f t="shared" si="22"/>
        <v>50000</v>
      </c>
      <c r="E142" s="47">
        <f>ILAUNDRY!$D$21</f>
        <v>30000</v>
      </c>
      <c r="F142" s="47">
        <f t="shared" si="14"/>
        <v>20000</v>
      </c>
      <c r="G142" s="47"/>
      <c r="H142" s="47"/>
      <c r="I142" s="47">
        <f t="shared" si="15"/>
        <v>20000</v>
      </c>
      <c r="J142" s="47">
        <f t="shared" si="16"/>
        <v>0</v>
      </c>
      <c r="K142" s="47">
        <f t="shared" si="23"/>
        <v>20000</v>
      </c>
      <c r="L142" s="50">
        <f>IF(K142&gt;0,K142*ILAUNDRY!$I$20,0)</f>
        <v>2000</v>
      </c>
      <c r="M142" s="47">
        <f t="shared" si="13"/>
        <v>18000</v>
      </c>
      <c r="N142" s="47">
        <f t="shared" si="18"/>
        <v>26000</v>
      </c>
      <c r="O142" s="47">
        <f>(1+ILAUNDRY!$I$21)^-A142</f>
        <v>1</v>
      </c>
      <c r="P142" s="51">
        <f t="shared" si="19"/>
        <v>18000</v>
      </c>
      <c r="Q142" s="55">
        <f t="shared" si="20"/>
        <v>26000</v>
      </c>
    </row>
    <row r="143" spans="1:17">
      <c r="A143" s="42">
        <v>10</v>
      </c>
      <c r="B143" s="47">
        <f>ILAUNDRY!$J$12</f>
        <v>200</v>
      </c>
      <c r="C143" s="47">
        <f t="shared" si="21"/>
        <v>250</v>
      </c>
      <c r="D143" s="47">
        <f t="shared" si="22"/>
        <v>50000</v>
      </c>
      <c r="E143" s="47">
        <f>ILAUNDRY!$D$21</f>
        <v>30000</v>
      </c>
      <c r="F143" s="47">
        <f t="shared" si="14"/>
        <v>20000</v>
      </c>
      <c r="G143" s="47"/>
      <c r="H143" s="47"/>
      <c r="I143" s="47">
        <f t="shared" si="15"/>
        <v>20000</v>
      </c>
      <c r="J143" s="47">
        <f t="shared" si="16"/>
        <v>0</v>
      </c>
      <c r="K143" s="47">
        <f t="shared" si="23"/>
        <v>20000</v>
      </c>
      <c r="L143" s="50">
        <f>IF(K143&gt;0,K143*ILAUNDRY!$I$20,0)</f>
        <v>2000</v>
      </c>
      <c r="M143" s="47">
        <f t="shared" si="13"/>
        <v>18000</v>
      </c>
      <c r="N143" s="47">
        <f t="shared" si="18"/>
        <v>44000</v>
      </c>
      <c r="O143" s="47">
        <f>(1+ILAUNDRY!$I$21)^-A143</f>
        <v>1</v>
      </c>
      <c r="P143" s="51">
        <f t="shared" si="19"/>
        <v>18000</v>
      </c>
      <c r="Q143" s="55">
        <f t="shared" si="20"/>
        <v>44000</v>
      </c>
    </row>
    <row r="144" spans="1:17">
      <c r="A144" s="46">
        <v>11</v>
      </c>
      <c r="B144" s="47">
        <f>ILAUNDRY!$J$12</f>
        <v>200</v>
      </c>
      <c r="C144" s="47">
        <f t="shared" si="21"/>
        <v>250</v>
      </c>
      <c r="D144" s="47">
        <f t="shared" si="22"/>
        <v>50000</v>
      </c>
      <c r="E144" s="47">
        <f>ILAUNDRY!$D$21</f>
        <v>30000</v>
      </c>
      <c r="F144" s="47">
        <f t="shared" si="14"/>
        <v>20000</v>
      </c>
      <c r="G144" s="47"/>
      <c r="H144" s="47"/>
      <c r="I144" s="47">
        <f t="shared" si="15"/>
        <v>20000</v>
      </c>
      <c r="J144" s="47">
        <f t="shared" si="16"/>
        <v>0</v>
      </c>
      <c r="K144" s="47">
        <f t="shared" si="23"/>
        <v>20000</v>
      </c>
      <c r="L144" s="50">
        <f>IF(K144&gt;0,K144*ILAUNDRY!$I$20,0)</f>
        <v>2000</v>
      </c>
      <c r="M144" s="47">
        <f t="shared" si="13"/>
        <v>18000</v>
      </c>
      <c r="N144" s="47">
        <f t="shared" si="18"/>
        <v>62000</v>
      </c>
      <c r="O144" s="47">
        <f>(1+ILAUNDRY!$I$21)^-A144</f>
        <v>1</v>
      </c>
      <c r="P144" s="51">
        <f t="shared" si="19"/>
        <v>18000</v>
      </c>
      <c r="Q144" s="55">
        <f t="shared" si="20"/>
        <v>62000</v>
      </c>
    </row>
    <row r="145" spans="1:17">
      <c r="A145" s="42">
        <v>12</v>
      </c>
      <c r="B145" s="47">
        <f>ILAUNDRY!$J$12</f>
        <v>200</v>
      </c>
      <c r="C145" s="47">
        <f t="shared" si="21"/>
        <v>250</v>
      </c>
      <c r="D145" s="47">
        <f t="shared" si="22"/>
        <v>50000</v>
      </c>
      <c r="E145" s="47">
        <f>ILAUNDRY!$D$21</f>
        <v>30000</v>
      </c>
      <c r="F145" s="47">
        <f t="shared" si="14"/>
        <v>20000</v>
      </c>
      <c r="G145" s="47"/>
      <c r="H145" s="47"/>
      <c r="I145" s="47">
        <f t="shared" si="15"/>
        <v>20000</v>
      </c>
      <c r="J145" s="47">
        <f t="shared" si="16"/>
        <v>0</v>
      </c>
      <c r="K145" s="47">
        <f t="shared" si="23"/>
        <v>20000</v>
      </c>
      <c r="L145" s="50">
        <f>IF(K145&gt;0,K145*ILAUNDRY!$I$20,0)</f>
        <v>2000</v>
      </c>
      <c r="M145" s="47">
        <f t="shared" si="13"/>
        <v>18000</v>
      </c>
      <c r="N145" s="47">
        <f t="shared" si="18"/>
        <v>80000</v>
      </c>
      <c r="O145" s="47">
        <f>(1+ILAUNDRY!$I$21)^-A145</f>
        <v>1</v>
      </c>
      <c r="P145" s="51">
        <f t="shared" si="19"/>
        <v>18000</v>
      </c>
      <c r="Q145" s="55">
        <f t="shared" si="20"/>
        <v>80000</v>
      </c>
    </row>
    <row r="146" spans="1:17">
      <c r="A146" s="46">
        <v>13</v>
      </c>
      <c r="B146" s="47">
        <f>ILAUNDRY!$J$12</f>
        <v>200</v>
      </c>
      <c r="C146" s="47">
        <f t="shared" si="21"/>
        <v>250</v>
      </c>
      <c r="D146" s="47">
        <f t="shared" si="22"/>
        <v>50000</v>
      </c>
      <c r="E146" s="47">
        <f>ILAUNDRY!$D$21</f>
        <v>30000</v>
      </c>
      <c r="F146" s="47">
        <f t="shared" si="14"/>
        <v>20000</v>
      </c>
      <c r="G146" s="47"/>
      <c r="H146" s="47"/>
      <c r="I146" s="47">
        <f t="shared" si="15"/>
        <v>20000</v>
      </c>
      <c r="J146" s="47">
        <f t="shared" si="16"/>
        <v>0</v>
      </c>
      <c r="K146" s="47">
        <f t="shared" si="23"/>
        <v>20000</v>
      </c>
      <c r="L146" s="50">
        <f>IF(K146&gt;0,K146*ILAUNDRY!$I$20,0)</f>
        <v>2000</v>
      </c>
      <c r="M146" s="47">
        <f t="shared" si="13"/>
        <v>18000</v>
      </c>
      <c r="N146" s="47">
        <f t="shared" si="18"/>
        <v>98000</v>
      </c>
      <c r="O146" s="47">
        <f>(1+ILAUNDRY!$I$21)^-A146</f>
        <v>1</v>
      </c>
      <c r="P146" s="51">
        <f t="shared" si="19"/>
        <v>18000</v>
      </c>
      <c r="Q146" s="55">
        <f t="shared" si="20"/>
        <v>98000</v>
      </c>
    </row>
    <row r="147" spans="1:17">
      <c r="A147" s="42">
        <v>14</v>
      </c>
      <c r="B147" s="47">
        <f>ILAUNDRY!$J$12</f>
        <v>200</v>
      </c>
      <c r="C147" s="47">
        <f t="shared" si="21"/>
        <v>250</v>
      </c>
      <c r="D147" s="47">
        <f t="shared" si="22"/>
        <v>50000</v>
      </c>
      <c r="E147" s="47">
        <f>ILAUNDRY!$D$21</f>
        <v>30000</v>
      </c>
      <c r="F147" s="47">
        <f t="shared" si="14"/>
        <v>20000</v>
      </c>
      <c r="G147" s="47"/>
      <c r="H147" s="47"/>
      <c r="I147" s="47">
        <f t="shared" si="15"/>
        <v>20000</v>
      </c>
      <c r="J147" s="47">
        <f t="shared" si="16"/>
        <v>0</v>
      </c>
      <c r="K147" s="47">
        <f t="shared" si="23"/>
        <v>20000</v>
      </c>
      <c r="L147" s="50">
        <f>IF(K147&gt;0,K147*ILAUNDRY!$I$20,0)</f>
        <v>2000</v>
      </c>
      <c r="M147" s="47">
        <f t="shared" si="13"/>
        <v>18000</v>
      </c>
      <c r="N147" s="47">
        <f t="shared" si="18"/>
        <v>116000</v>
      </c>
      <c r="O147" s="47">
        <f>(1+ILAUNDRY!$I$21)^-A147</f>
        <v>1</v>
      </c>
      <c r="P147" s="51">
        <f t="shared" si="19"/>
        <v>18000</v>
      </c>
      <c r="Q147" s="55">
        <f t="shared" si="20"/>
        <v>116000</v>
      </c>
    </row>
    <row r="148" spans="1:17">
      <c r="A148" s="46">
        <v>15</v>
      </c>
      <c r="B148" s="47">
        <f>ILAUNDRY!$J$12</f>
        <v>200</v>
      </c>
      <c r="C148" s="47">
        <f t="shared" si="21"/>
        <v>250</v>
      </c>
      <c r="D148" s="47">
        <f t="shared" si="22"/>
        <v>50000</v>
      </c>
      <c r="E148" s="47">
        <f>ILAUNDRY!$D$21</f>
        <v>30000</v>
      </c>
      <c r="F148" s="47">
        <f t="shared" si="14"/>
        <v>20000</v>
      </c>
      <c r="G148" s="47"/>
      <c r="H148" s="47"/>
      <c r="I148" s="47">
        <f t="shared" si="15"/>
        <v>20000</v>
      </c>
      <c r="J148" s="47">
        <f t="shared" si="16"/>
        <v>0</v>
      </c>
      <c r="K148" s="47">
        <f t="shared" si="23"/>
        <v>20000</v>
      </c>
      <c r="L148" s="50">
        <f>IF(K148&gt;0,K148*ILAUNDRY!$I$20,0)</f>
        <v>2000</v>
      </c>
      <c r="M148" s="47">
        <f t="shared" si="13"/>
        <v>18000</v>
      </c>
      <c r="N148" s="47">
        <f t="shared" si="18"/>
        <v>134000</v>
      </c>
      <c r="O148" s="47">
        <f>(1+ILAUNDRY!$I$21)^-A148</f>
        <v>1</v>
      </c>
      <c r="P148" s="51">
        <f t="shared" si="19"/>
        <v>18000</v>
      </c>
      <c r="Q148" s="55">
        <f t="shared" si="20"/>
        <v>134000</v>
      </c>
    </row>
    <row r="149" spans="1:17">
      <c r="A149" s="42">
        <v>16</v>
      </c>
      <c r="B149" s="47">
        <f>ILAUNDRY!$J$12</f>
        <v>200</v>
      </c>
      <c r="C149" s="47">
        <f t="shared" si="21"/>
        <v>250</v>
      </c>
      <c r="D149" s="47">
        <f t="shared" si="22"/>
        <v>50000</v>
      </c>
      <c r="E149" s="47">
        <f>ILAUNDRY!$D$21</f>
        <v>30000</v>
      </c>
      <c r="F149" s="47">
        <f t="shared" si="14"/>
        <v>20000</v>
      </c>
      <c r="G149" s="47"/>
      <c r="H149" s="47"/>
      <c r="I149" s="47">
        <f t="shared" si="15"/>
        <v>20000</v>
      </c>
      <c r="J149" s="47">
        <f t="shared" si="16"/>
        <v>0</v>
      </c>
      <c r="K149" s="47">
        <f t="shared" si="23"/>
        <v>20000</v>
      </c>
      <c r="L149" s="50">
        <f>IF(K149&gt;0,K149*ILAUNDRY!$I$20,0)</f>
        <v>2000</v>
      </c>
      <c r="M149" s="47">
        <f t="shared" si="13"/>
        <v>18000</v>
      </c>
      <c r="N149" s="47">
        <f t="shared" si="18"/>
        <v>152000</v>
      </c>
      <c r="O149" s="47">
        <f>(1+ILAUNDRY!$I$21)^-A149</f>
        <v>1</v>
      </c>
      <c r="P149" s="51">
        <f t="shared" si="19"/>
        <v>18000</v>
      </c>
      <c r="Q149" s="55">
        <f t="shared" si="20"/>
        <v>152000</v>
      </c>
    </row>
    <row r="150" spans="1:17">
      <c r="A150" s="46">
        <v>17</v>
      </c>
      <c r="B150" s="47">
        <f>ILAUNDRY!$J$12</f>
        <v>200</v>
      </c>
      <c r="C150" s="47">
        <f t="shared" si="21"/>
        <v>250</v>
      </c>
      <c r="D150" s="47">
        <f t="shared" si="22"/>
        <v>50000</v>
      </c>
      <c r="E150" s="47">
        <f>ILAUNDRY!$D$21</f>
        <v>30000</v>
      </c>
      <c r="F150" s="47">
        <f t="shared" si="14"/>
        <v>20000</v>
      </c>
      <c r="G150" s="47"/>
      <c r="H150" s="47"/>
      <c r="I150" s="47">
        <f t="shared" si="15"/>
        <v>20000</v>
      </c>
      <c r="J150" s="47">
        <f t="shared" si="16"/>
        <v>0</v>
      </c>
      <c r="K150" s="47">
        <f t="shared" si="23"/>
        <v>20000</v>
      </c>
      <c r="L150" s="50">
        <f>IF(K150&gt;0,K150*ILAUNDRY!$I$20,0)</f>
        <v>2000</v>
      </c>
      <c r="M150" s="47">
        <f t="shared" si="13"/>
        <v>18000</v>
      </c>
      <c r="N150" s="47">
        <f t="shared" si="18"/>
        <v>170000</v>
      </c>
      <c r="O150" s="47">
        <f>(1+ILAUNDRY!$I$21)^-A150</f>
        <v>1</v>
      </c>
      <c r="P150" s="51">
        <f t="shared" si="19"/>
        <v>18000</v>
      </c>
      <c r="Q150" s="55">
        <f t="shared" si="20"/>
        <v>170000</v>
      </c>
    </row>
    <row r="151" spans="1:17">
      <c r="A151" s="42">
        <v>18</v>
      </c>
      <c r="B151" s="47">
        <f>ILAUNDRY!$J$12</f>
        <v>200</v>
      </c>
      <c r="C151" s="47">
        <f t="shared" si="21"/>
        <v>250</v>
      </c>
      <c r="D151" s="47">
        <f t="shared" si="22"/>
        <v>50000</v>
      </c>
      <c r="E151" s="47">
        <f>ILAUNDRY!$D$21</f>
        <v>30000</v>
      </c>
      <c r="F151" s="47">
        <f t="shared" si="14"/>
        <v>20000</v>
      </c>
      <c r="G151" s="47"/>
      <c r="H151" s="47"/>
      <c r="I151" s="47">
        <f t="shared" si="15"/>
        <v>20000</v>
      </c>
      <c r="J151" s="47">
        <f t="shared" si="16"/>
        <v>0</v>
      </c>
      <c r="K151" s="47">
        <f t="shared" si="23"/>
        <v>20000</v>
      </c>
      <c r="L151" s="50">
        <f>IF(K151&gt;0,K151*ILAUNDRY!$I$20,0)</f>
        <v>2000</v>
      </c>
      <c r="M151" s="47">
        <f t="shared" si="13"/>
        <v>18000</v>
      </c>
      <c r="N151" s="47">
        <f t="shared" si="18"/>
        <v>188000</v>
      </c>
      <c r="O151" s="47">
        <f>(1+ILAUNDRY!$I$21)^-A151</f>
        <v>1</v>
      </c>
      <c r="P151" s="51">
        <f t="shared" si="19"/>
        <v>18000</v>
      </c>
      <c r="Q151" s="55">
        <f t="shared" si="20"/>
        <v>188000</v>
      </c>
    </row>
    <row r="152" spans="1:17">
      <c r="A152" s="46">
        <v>19</v>
      </c>
      <c r="B152" s="47">
        <f>ILAUNDRY!$J$12</f>
        <v>200</v>
      </c>
      <c r="C152" s="47">
        <f t="shared" si="21"/>
        <v>250</v>
      </c>
      <c r="D152" s="47">
        <f t="shared" si="22"/>
        <v>50000</v>
      </c>
      <c r="E152" s="47">
        <f>ILAUNDRY!$D$21</f>
        <v>30000</v>
      </c>
      <c r="F152" s="47">
        <f t="shared" si="14"/>
        <v>20000</v>
      </c>
      <c r="G152" s="47"/>
      <c r="H152" s="47"/>
      <c r="I152" s="47">
        <f t="shared" si="15"/>
        <v>20000</v>
      </c>
      <c r="J152" s="47">
        <f t="shared" si="16"/>
        <v>0</v>
      </c>
      <c r="K152" s="47">
        <f t="shared" si="23"/>
        <v>20000</v>
      </c>
      <c r="L152" s="50">
        <f>IF(K152&gt;0,K152*ILAUNDRY!$I$20,0)</f>
        <v>2000</v>
      </c>
      <c r="M152" s="47">
        <f t="shared" si="13"/>
        <v>18000</v>
      </c>
      <c r="N152" s="47">
        <f t="shared" si="18"/>
        <v>206000</v>
      </c>
      <c r="O152" s="47">
        <f>(1+ILAUNDRY!$I$21)^-A152</f>
        <v>1</v>
      </c>
      <c r="P152" s="51">
        <f t="shared" si="19"/>
        <v>18000</v>
      </c>
      <c r="Q152" s="55">
        <f t="shared" si="20"/>
        <v>206000</v>
      </c>
    </row>
    <row r="153" spans="1:17">
      <c r="A153" s="42">
        <v>20</v>
      </c>
      <c r="B153" s="47">
        <f>ILAUNDRY!$J$12</f>
        <v>200</v>
      </c>
      <c r="C153" s="47">
        <f t="shared" si="21"/>
        <v>250</v>
      </c>
      <c r="D153" s="47">
        <f t="shared" si="22"/>
        <v>50000</v>
      </c>
      <c r="E153" s="47">
        <f>ILAUNDRY!$D$21</f>
        <v>30000</v>
      </c>
      <c r="F153" s="47">
        <f t="shared" si="14"/>
        <v>20000</v>
      </c>
      <c r="G153" s="47"/>
      <c r="H153" s="47"/>
      <c r="I153" s="47">
        <f t="shared" si="15"/>
        <v>20000</v>
      </c>
      <c r="J153" s="47">
        <f t="shared" si="16"/>
        <v>0</v>
      </c>
      <c r="K153" s="47">
        <f t="shared" si="23"/>
        <v>20000</v>
      </c>
      <c r="L153" s="50">
        <f>IF(K153&gt;0,K153*ILAUNDRY!$I$20,0)</f>
        <v>2000</v>
      </c>
      <c r="M153" s="47">
        <f t="shared" si="13"/>
        <v>18000</v>
      </c>
      <c r="N153" s="47">
        <f t="shared" si="18"/>
        <v>224000</v>
      </c>
      <c r="O153" s="47">
        <f>(1+ILAUNDRY!$I$21)^-A153</f>
        <v>1</v>
      </c>
      <c r="P153" s="51">
        <f t="shared" si="19"/>
        <v>18000</v>
      </c>
      <c r="Q153" s="55">
        <f t="shared" si="20"/>
        <v>224000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224000</v>
      </c>
      <c r="Q154" s="47"/>
    </row>
    <row r="155" spans="1:17">
      <c r="A155" s="6" t="s">
        <v>85</v>
      </c>
      <c r="B155" s="6">
        <f>B131-50</f>
        <v>200</v>
      </c>
      <c r="C155" s="6"/>
      <c r="D155" s="6"/>
      <c r="E155" s="6"/>
      <c r="F155" s="6"/>
      <c r="G155" s="6"/>
      <c r="H155" s="6"/>
      <c r="I155" s="6"/>
      <c r="J155" s="47"/>
      <c r="K155" s="6"/>
      <c r="L155" s="6"/>
      <c r="M155" s="6"/>
      <c r="N155" s="6"/>
      <c r="O155" s="6"/>
      <c r="P155" s="6"/>
      <c r="Q155" s="6"/>
    </row>
    <row r="156" ht="45" spans="1:17">
      <c r="A156" s="40" t="s">
        <v>34</v>
      </c>
      <c r="B156" s="41" t="s">
        <v>35</v>
      </c>
      <c r="C156" s="41" t="s">
        <v>36</v>
      </c>
      <c r="D156" s="41" t="s">
        <v>86</v>
      </c>
      <c r="E156" s="41" t="s">
        <v>87</v>
      </c>
      <c r="F156" s="41" t="s">
        <v>88</v>
      </c>
      <c r="G156" s="41" t="s">
        <v>40</v>
      </c>
      <c r="H156" s="41" t="s">
        <v>89</v>
      </c>
      <c r="I156" s="41" t="s">
        <v>90</v>
      </c>
      <c r="J156" s="41" t="s">
        <v>91</v>
      </c>
      <c r="K156" s="48" t="s">
        <v>92</v>
      </c>
      <c r="L156" s="49" t="s">
        <v>93</v>
      </c>
      <c r="M156" s="49" t="s">
        <v>94</v>
      </c>
      <c r="N156" s="49" t="s">
        <v>95</v>
      </c>
      <c r="O156" s="49" t="s">
        <v>48</v>
      </c>
      <c r="P156" s="49" t="s">
        <v>96</v>
      </c>
      <c r="Q156" s="49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ILAUNDRY!F8</f>
        <v>150000</v>
      </c>
      <c r="H157" s="44"/>
      <c r="I157" s="44"/>
      <c r="J157" s="44"/>
      <c r="K157" s="47">
        <f t="shared" ref="K157:K164" si="24">J157</f>
        <v>0</v>
      </c>
      <c r="L157" s="50">
        <f>IF(K157&gt;0,K157*SALICYLIC [3]ACID!$K$15,0)</f>
        <v>0</v>
      </c>
      <c r="M157" s="47">
        <f t="shared" ref="M157:M177" si="25">I157-L157</f>
        <v>0</v>
      </c>
      <c r="N157" s="47">
        <v>0</v>
      </c>
      <c r="O157" s="47">
        <f>(1+ILAUNDRY!$I$21)^-A157</f>
        <v>1</v>
      </c>
      <c r="P157" s="51">
        <f>N157*O157</f>
        <v>0</v>
      </c>
      <c r="Q157" s="54">
        <f>P157</f>
        <v>0</v>
      </c>
    </row>
    <row r="158" spans="1:17">
      <c r="A158" s="46">
        <v>1</v>
      </c>
      <c r="B158" s="47">
        <f t="shared" ref="B158:B177" si="26">$B$134</f>
        <v>200</v>
      </c>
      <c r="C158" s="47">
        <f>B155</f>
        <v>200</v>
      </c>
      <c r="D158" s="47">
        <f>B158*C158</f>
        <v>40000</v>
      </c>
      <c r="E158" s="47">
        <f>ILAUNDRY!$D$21</f>
        <v>30000</v>
      </c>
      <c r="F158" s="47">
        <f t="shared" ref="F158:F177" si="27">D158-E158</f>
        <v>10000</v>
      </c>
      <c r="G158" s="47"/>
      <c r="H158" s="47">
        <f>ILAUNDRY!$F$8/ILAUNDRY!$I$17</f>
        <v>37500</v>
      </c>
      <c r="I158" s="47">
        <f t="shared" ref="I158:I177" si="28">F158-H158</f>
        <v>-27500</v>
      </c>
      <c r="J158" s="47">
        <f t="shared" ref="J158:J177" si="29">IF((J157+I158)&lt;0,(J157+I158),0)</f>
        <v>-27500</v>
      </c>
      <c r="K158" s="47">
        <f t="shared" si="24"/>
        <v>-27500</v>
      </c>
      <c r="L158" s="50">
        <f>IF(K158&gt;0,K158*SALICYLIC [3]ACID!$K$15,0)</f>
        <v>0</v>
      </c>
      <c r="M158" s="47">
        <f t="shared" si="25"/>
        <v>-27500</v>
      </c>
      <c r="N158" s="47">
        <f t="shared" ref="N158:N177" si="30">N157+M158</f>
        <v>-27500</v>
      </c>
      <c r="O158" s="47">
        <f>(1+ILAUNDRY!$I$21)^-A158</f>
        <v>1</v>
      </c>
      <c r="P158" s="51">
        <f t="shared" ref="P158:P177" si="31">M158*O158</f>
        <v>-27500</v>
      </c>
      <c r="Q158" s="55">
        <f t="shared" ref="Q158:Q177" si="32">Q157+P158</f>
        <v>-27500</v>
      </c>
    </row>
    <row r="159" spans="1:17">
      <c r="A159" s="42">
        <v>2</v>
      </c>
      <c r="B159" s="47">
        <f t="shared" si="26"/>
        <v>200</v>
      </c>
      <c r="C159" s="47">
        <f t="shared" ref="C159:C177" si="33">$C$158</f>
        <v>200</v>
      </c>
      <c r="D159" s="47">
        <f t="shared" ref="D159:D177" si="34">B159*C159</f>
        <v>40000</v>
      </c>
      <c r="E159" s="47">
        <f>ILAUNDRY!$D$21</f>
        <v>30000</v>
      </c>
      <c r="F159" s="47">
        <f t="shared" si="27"/>
        <v>10000</v>
      </c>
      <c r="G159" s="47"/>
      <c r="H159" s="47">
        <f>ILAUNDRY!$F$8/ILAUNDRY!$I$17</f>
        <v>37500</v>
      </c>
      <c r="I159" s="47">
        <f t="shared" si="28"/>
        <v>-27500</v>
      </c>
      <c r="J159" s="47">
        <f t="shared" si="29"/>
        <v>-55000</v>
      </c>
      <c r="K159" s="47">
        <f t="shared" si="24"/>
        <v>-55000</v>
      </c>
      <c r="L159" s="50">
        <f>IF(K159&gt;0,K159*SALICYLIC [3]ACID!$K$15,0)</f>
        <v>0</v>
      </c>
      <c r="M159" s="47">
        <f t="shared" si="25"/>
        <v>-27500</v>
      </c>
      <c r="N159" s="47">
        <f t="shared" si="30"/>
        <v>-55000</v>
      </c>
      <c r="O159" s="47">
        <f>(1+ILAUNDRY!$I$21)^-A159</f>
        <v>1</v>
      </c>
      <c r="P159" s="51">
        <f t="shared" si="31"/>
        <v>-27500</v>
      </c>
      <c r="Q159" s="55">
        <f t="shared" si="32"/>
        <v>-55000</v>
      </c>
    </row>
    <row r="160" spans="1:17">
      <c r="A160" s="46">
        <v>3</v>
      </c>
      <c r="B160" s="47">
        <f t="shared" si="26"/>
        <v>200</v>
      </c>
      <c r="C160" s="47">
        <f t="shared" si="33"/>
        <v>200</v>
      </c>
      <c r="D160" s="47">
        <f t="shared" si="34"/>
        <v>40000</v>
      </c>
      <c r="E160" s="47">
        <f>ILAUNDRY!$D$21</f>
        <v>30000</v>
      </c>
      <c r="F160" s="47">
        <f t="shared" si="27"/>
        <v>10000</v>
      </c>
      <c r="G160" s="47"/>
      <c r="H160" s="47">
        <f>ILAUNDRY!$F$8/ILAUNDRY!$I$17</f>
        <v>37500</v>
      </c>
      <c r="I160" s="47">
        <f t="shared" si="28"/>
        <v>-27500</v>
      </c>
      <c r="J160" s="47">
        <f t="shared" si="29"/>
        <v>-82500</v>
      </c>
      <c r="K160" s="47">
        <f t="shared" si="24"/>
        <v>-82500</v>
      </c>
      <c r="L160" s="50">
        <f>IF(K160&gt;0,K160*SALICYLIC [3]ACID!$K$15,0)</f>
        <v>0</v>
      </c>
      <c r="M160" s="47">
        <f t="shared" si="25"/>
        <v>-27500</v>
      </c>
      <c r="N160" s="47">
        <f t="shared" si="30"/>
        <v>-82500</v>
      </c>
      <c r="O160" s="47">
        <f>(1+ILAUNDRY!$I$21)^-A160</f>
        <v>1</v>
      </c>
      <c r="P160" s="51">
        <f t="shared" si="31"/>
        <v>-27500</v>
      </c>
      <c r="Q160" s="55">
        <f t="shared" si="32"/>
        <v>-82500</v>
      </c>
    </row>
    <row r="161" spans="1:17">
      <c r="A161" s="42">
        <v>4</v>
      </c>
      <c r="B161" s="47">
        <f t="shared" si="26"/>
        <v>200</v>
      </c>
      <c r="C161" s="47">
        <f t="shared" si="33"/>
        <v>200</v>
      </c>
      <c r="D161" s="47">
        <f t="shared" si="34"/>
        <v>40000</v>
      </c>
      <c r="E161" s="47">
        <f>ILAUNDRY!$D$21</f>
        <v>30000</v>
      </c>
      <c r="F161" s="47">
        <f t="shared" si="27"/>
        <v>10000</v>
      </c>
      <c r="G161" s="47"/>
      <c r="H161" s="47">
        <f>ILAUNDRY!$F$8/ILAUNDRY!$I$17</f>
        <v>37500</v>
      </c>
      <c r="I161" s="47">
        <f t="shared" si="28"/>
        <v>-27500</v>
      </c>
      <c r="J161" s="47">
        <f t="shared" si="29"/>
        <v>-110000</v>
      </c>
      <c r="K161" s="47">
        <f t="shared" si="24"/>
        <v>-110000</v>
      </c>
      <c r="L161" s="50">
        <f>IF(K161&gt;0,K161*SALICYLIC [3]ACID!$K$15,0)</f>
        <v>0</v>
      </c>
      <c r="M161" s="47">
        <f t="shared" si="25"/>
        <v>-27500</v>
      </c>
      <c r="N161" s="47">
        <f t="shared" si="30"/>
        <v>-110000</v>
      </c>
      <c r="O161" s="47">
        <f>(1+ILAUNDRY!$I$21)^-A161</f>
        <v>1</v>
      </c>
      <c r="P161" s="51">
        <f t="shared" si="31"/>
        <v>-27500</v>
      </c>
      <c r="Q161" s="55">
        <f t="shared" si="32"/>
        <v>-110000</v>
      </c>
    </row>
    <row r="162" spans="1:17">
      <c r="A162" s="46">
        <v>5</v>
      </c>
      <c r="B162" s="47">
        <f t="shared" si="26"/>
        <v>200</v>
      </c>
      <c r="C162" s="47">
        <f t="shared" si="33"/>
        <v>200</v>
      </c>
      <c r="D162" s="47">
        <f t="shared" si="34"/>
        <v>40000</v>
      </c>
      <c r="E162" s="47">
        <f>ILAUNDRY!$D$21</f>
        <v>30000</v>
      </c>
      <c r="F162" s="47">
        <f t="shared" si="27"/>
        <v>10000</v>
      </c>
      <c r="G162" s="47"/>
      <c r="H162" s="47"/>
      <c r="I162" s="47">
        <f t="shared" si="28"/>
        <v>10000</v>
      </c>
      <c r="J162" s="47">
        <f t="shared" si="29"/>
        <v>-100000</v>
      </c>
      <c r="K162" s="47">
        <f t="shared" si="24"/>
        <v>-100000</v>
      </c>
      <c r="L162" s="50">
        <f>IF(K162&gt;0,K162*SALICYLIC [3]ACID!$K$15,0)</f>
        <v>0</v>
      </c>
      <c r="M162" s="47">
        <f t="shared" si="25"/>
        <v>10000</v>
      </c>
      <c r="N162" s="47">
        <f t="shared" si="30"/>
        <v>-100000</v>
      </c>
      <c r="O162" s="47">
        <f>(1+ILAUNDRY!$I$21)^-A162</f>
        <v>1</v>
      </c>
      <c r="P162" s="51">
        <f t="shared" si="31"/>
        <v>10000</v>
      </c>
      <c r="Q162" s="55">
        <f t="shared" si="32"/>
        <v>-100000</v>
      </c>
    </row>
    <row r="163" spans="1:17">
      <c r="A163" s="42">
        <v>6</v>
      </c>
      <c r="B163" s="47">
        <f t="shared" si="26"/>
        <v>200</v>
      </c>
      <c r="C163" s="47">
        <f t="shared" si="33"/>
        <v>200</v>
      </c>
      <c r="D163" s="47">
        <f t="shared" si="34"/>
        <v>40000</v>
      </c>
      <c r="E163" s="47">
        <f>ILAUNDRY!$D$21</f>
        <v>30000</v>
      </c>
      <c r="F163" s="47">
        <f t="shared" si="27"/>
        <v>10000</v>
      </c>
      <c r="G163" s="47"/>
      <c r="H163" s="47"/>
      <c r="I163" s="47">
        <f t="shared" si="28"/>
        <v>10000</v>
      </c>
      <c r="J163" s="47">
        <f t="shared" si="29"/>
        <v>-90000</v>
      </c>
      <c r="K163" s="47">
        <f t="shared" si="24"/>
        <v>-90000</v>
      </c>
      <c r="L163" s="50">
        <f>IF(K163&gt;0,K163*SALICYLIC [3]ACID!$K$15,0)</f>
        <v>0</v>
      </c>
      <c r="M163" s="47">
        <f t="shared" si="25"/>
        <v>10000</v>
      </c>
      <c r="N163" s="47">
        <f t="shared" si="30"/>
        <v>-90000</v>
      </c>
      <c r="O163" s="47">
        <f>(1+ILAUNDRY!$I$21)^-A163</f>
        <v>1</v>
      </c>
      <c r="P163" s="51">
        <f t="shared" si="31"/>
        <v>10000</v>
      </c>
      <c r="Q163" s="55">
        <f t="shared" si="32"/>
        <v>-90000</v>
      </c>
    </row>
    <row r="164" spans="1:17">
      <c r="A164" s="46">
        <v>7</v>
      </c>
      <c r="B164" s="47">
        <f t="shared" si="26"/>
        <v>200</v>
      </c>
      <c r="C164" s="47">
        <f t="shared" si="33"/>
        <v>200</v>
      </c>
      <c r="D164" s="47">
        <f t="shared" si="34"/>
        <v>40000</v>
      </c>
      <c r="E164" s="47">
        <f>ILAUNDRY!$D$21</f>
        <v>30000</v>
      </c>
      <c r="F164" s="47">
        <f t="shared" si="27"/>
        <v>10000</v>
      </c>
      <c r="G164" s="47"/>
      <c r="H164" s="47"/>
      <c r="I164" s="47">
        <f t="shared" si="28"/>
        <v>10000</v>
      </c>
      <c r="J164" s="47">
        <f t="shared" si="29"/>
        <v>-80000</v>
      </c>
      <c r="K164" s="47">
        <f t="shared" si="24"/>
        <v>-80000</v>
      </c>
      <c r="L164" s="50">
        <f>IF(K164&gt;0,K164*SALICYLIC [3]ACID!$K$15,0)</f>
        <v>0</v>
      </c>
      <c r="M164" s="47">
        <f t="shared" si="25"/>
        <v>10000</v>
      </c>
      <c r="N164" s="47">
        <f t="shared" si="30"/>
        <v>-80000</v>
      </c>
      <c r="O164" s="47">
        <f>(1+ILAUNDRY!$I$21)^-A164</f>
        <v>1</v>
      </c>
      <c r="P164" s="51">
        <f t="shared" si="31"/>
        <v>10000</v>
      </c>
      <c r="Q164" s="55">
        <f t="shared" si="32"/>
        <v>-80000</v>
      </c>
    </row>
    <row r="165" spans="1:17">
      <c r="A165" s="42">
        <v>8</v>
      </c>
      <c r="B165" s="47">
        <f t="shared" si="26"/>
        <v>200</v>
      </c>
      <c r="C165" s="47">
        <f t="shared" si="33"/>
        <v>200</v>
      </c>
      <c r="D165" s="47">
        <f t="shared" si="34"/>
        <v>40000</v>
      </c>
      <c r="E165" s="47">
        <f>ILAUNDRY!$D$21</f>
        <v>30000</v>
      </c>
      <c r="F165" s="47">
        <f t="shared" si="27"/>
        <v>10000</v>
      </c>
      <c r="G165" s="47"/>
      <c r="H165" s="47"/>
      <c r="I165" s="47">
        <f t="shared" si="28"/>
        <v>10000</v>
      </c>
      <c r="J165" s="47">
        <f t="shared" si="29"/>
        <v>-70000</v>
      </c>
      <c r="K165" s="47">
        <f t="shared" ref="K165:K177" si="35">I165</f>
        <v>10000</v>
      </c>
      <c r="L165" s="50">
        <f>IF(K165&gt;0,K165*ILAUNDRY!$I$20,0)</f>
        <v>1000</v>
      </c>
      <c r="M165" s="47">
        <f t="shared" si="25"/>
        <v>9000</v>
      </c>
      <c r="N165" s="47">
        <f t="shared" si="30"/>
        <v>-71000</v>
      </c>
      <c r="O165" s="47">
        <f>(1+ILAUNDRY!$I$21)^-A165</f>
        <v>1</v>
      </c>
      <c r="P165" s="51">
        <f t="shared" si="31"/>
        <v>9000</v>
      </c>
      <c r="Q165" s="55">
        <f t="shared" si="32"/>
        <v>-71000</v>
      </c>
    </row>
    <row r="166" spans="1:17">
      <c r="A166" s="46">
        <v>9</v>
      </c>
      <c r="B166" s="47">
        <f t="shared" si="26"/>
        <v>200</v>
      </c>
      <c r="C166" s="47">
        <f t="shared" si="33"/>
        <v>200</v>
      </c>
      <c r="D166" s="47">
        <f t="shared" si="34"/>
        <v>40000</v>
      </c>
      <c r="E166" s="47">
        <f>ILAUNDRY!$D$21</f>
        <v>30000</v>
      </c>
      <c r="F166" s="47">
        <f t="shared" si="27"/>
        <v>10000</v>
      </c>
      <c r="G166" s="47"/>
      <c r="H166" s="47"/>
      <c r="I166" s="47">
        <f t="shared" si="28"/>
        <v>10000</v>
      </c>
      <c r="J166" s="47">
        <f t="shared" si="29"/>
        <v>-60000</v>
      </c>
      <c r="K166" s="47">
        <f t="shared" si="35"/>
        <v>10000</v>
      </c>
      <c r="L166" s="50">
        <f>IF(K166&gt;0,K166*ILAUNDRY!$I$20,0)</f>
        <v>1000</v>
      </c>
      <c r="M166" s="47">
        <f t="shared" si="25"/>
        <v>9000</v>
      </c>
      <c r="N166" s="47">
        <f t="shared" si="30"/>
        <v>-62000</v>
      </c>
      <c r="O166" s="47">
        <f>(1+ILAUNDRY!$I$21)^-A166</f>
        <v>1</v>
      </c>
      <c r="P166" s="51">
        <f t="shared" si="31"/>
        <v>9000</v>
      </c>
      <c r="Q166" s="55">
        <f t="shared" si="32"/>
        <v>-62000</v>
      </c>
    </row>
    <row r="167" spans="1:17">
      <c r="A167" s="42">
        <v>10</v>
      </c>
      <c r="B167" s="47">
        <f t="shared" si="26"/>
        <v>200</v>
      </c>
      <c r="C167" s="47">
        <f t="shared" si="33"/>
        <v>200</v>
      </c>
      <c r="D167" s="47">
        <f t="shared" si="34"/>
        <v>40000</v>
      </c>
      <c r="E167" s="47">
        <f>ILAUNDRY!$D$21</f>
        <v>30000</v>
      </c>
      <c r="F167" s="47">
        <f t="shared" si="27"/>
        <v>10000</v>
      </c>
      <c r="G167" s="47"/>
      <c r="H167" s="47"/>
      <c r="I167" s="47">
        <f t="shared" si="28"/>
        <v>10000</v>
      </c>
      <c r="J167" s="47">
        <f t="shared" si="29"/>
        <v>-50000</v>
      </c>
      <c r="K167" s="47">
        <f t="shared" si="35"/>
        <v>10000</v>
      </c>
      <c r="L167" s="50">
        <f>IF(K167&gt;0,K167*ILAUNDRY!$I$20,0)</f>
        <v>1000</v>
      </c>
      <c r="M167" s="47">
        <f t="shared" si="25"/>
        <v>9000</v>
      </c>
      <c r="N167" s="47">
        <f t="shared" si="30"/>
        <v>-53000</v>
      </c>
      <c r="O167" s="47">
        <f>(1+ILAUNDRY!$I$21)^-A167</f>
        <v>1</v>
      </c>
      <c r="P167" s="51">
        <f t="shared" si="31"/>
        <v>9000</v>
      </c>
      <c r="Q167" s="55">
        <f t="shared" si="32"/>
        <v>-53000</v>
      </c>
    </row>
    <row r="168" spans="1:17">
      <c r="A168" s="46">
        <v>11</v>
      </c>
      <c r="B168" s="47">
        <f t="shared" si="26"/>
        <v>200</v>
      </c>
      <c r="C168" s="47">
        <f t="shared" si="33"/>
        <v>200</v>
      </c>
      <c r="D168" s="47">
        <f t="shared" si="34"/>
        <v>40000</v>
      </c>
      <c r="E168" s="47">
        <f>ILAUNDRY!$D$21</f>
        <v>30000</v>
      </c>
      <c r="F168" s="47">
        <f t="shared" si="27"/>
        <v>10000</v>
      </c>
      <c r="G168" s="47"/>
      <c r="H168" s="47"/>
      <c r="I168" s="47">
        <f t="shared" si="28"/>
        <v>10000</v>
      </c>
      <c r="J168" s="47">
        <f t="shared" si="29"/>
        <v>-40000</v>
      </c>
      <c r="K168" s="47">
        <f t="shared" si="35"/>
        <v>10000</v>
      </c>
      <c r="L168" s="50">
        <f>IF(K168&gt;0,K168*ILAUNDRY!$I$20,0)</f>
        <v>1000</v>
      </c>
      <c r="M168" s="47">
        <f t="shared" si="25"/>
        <v>9000</v>
      </c>
      <c r="N168" s="47">
        <f t="shared" si="30"/>
        <v>-44000</v>
      </c>
      <c r="O168" s="47">
        <f>(1+ILAUNDRY!$I$21)^-A168</f>
        <v>1</v>
      </c>
      <c r="P168" s="51">
        <f t="shared" si="31"/>
        <v>9000</v>
      </c>
      <c r="Q168" s="55">
        <f t="shared" si="32"/>
        <v>-44000</v>
      </c>
    </row>
    <row r="169" spans="1:17">
      <c r="A169" s="42">
        <v>12</v>
      </c>
      <c r="B169" s="47">
        <f t="shared" si="26"/>
        <v>200</v>
      </c>
      <c r="C169" s="47">
        <f t="shared" si="33"/>
        <v>200</v>
      </c>
      <c r="D169" s="47">
        <f t="shared" si="34"/>
        <v>40000</v>
      </c>
      <c r="E169" s="47">
        <f>ILAUNDRY!$D$21</f>
        <v>30000</v>
      </c>
      <c r="F169" s="47">
        <f t="shared" si="27"/>
        <v>10000</v>
      </c>
      <c r="G169" s="47"/>
      <c r="H169" s="47"/>
      <c r="I169" s="47">
        <f t="shared" si="28"/>
        <v>10000</v>
      </c>
      <c r="J169" s="47">
        <f t="shared" si="29"/>
        <v>-30000</v>
      </c>
      <c r="K169" s="47">
        <f t="shared" si="35"/>
        <v>10000</v>
      </c>
      <c r="L169" s="50">
        <f>IF(K169&gt;0,K169*ILAUNDRY!$I$20,0)</f>
        <v>1000</v>
      </c>
      <c r="M169" s="47">
        <f t="shared" si="25"/>
        <v>9000</v>
      </c>
      <c r="N169" s="47">
        <f t="shared" si="30"/>
        <v>-35000</v>
      </c>
      <c r="O169" s="47">
        <f>(1+ILAUNDRY!$I$21)^-A169</f>
        <v>1</v>
      </c>
      <c r="P169" s="51">
        <f t="shared" si="31"/>
        <v>9000</v>
      </c>
      <c r="Q169" s="55">
        <f t="shared" si="32"/>
        <v>-35000</v>
      </c>
    </row>
    <row r="170" spans="1:17">
      <c r="A170" s="46">
        <v>13</v>
      </c>
      <c r="B170" s="47">
        <f t="shared" si="26"/>
        <v>200</v>
      </c>
      <c r="C170" s="47">
        <f t="shared" si="33"/>
        <v>200</v>
      </c>
      <c r="D170" s="47">
        <f t="shared" si="34"/>
        <v>40000</v>
      </c>
      <c r="E170" s="47">
        <f>ILAUNDRY!$D$21</f>
        <v>30000</v>
      </c>
      <c r="F170" s="47">
        <f t="shared" si="27"/>
        <v>10000</v>
      </c>
      <c r="G170" s="47"/>
      <c r="H170" s="47"/>
      <c r="I170" s="47">
        <f t="shared" si="28"/>
        <v>10000</v>
      </c>
      <c r="J170" s="47">
        <f t="shared" si="29"/>
        <v>-20000</v>
      </c>
      <c r="K170" s="47">
        <f t="shared" si="35"/>
        <v>10000</v>
      </c>
      <c r="L170" s="50">
        <f>IF(K170&gt;0,K170*ILAUNDRY!$I$20,0)</f>
        <v>1000</v>
      </c>
      <c r="M170" s="47">
        <f t="shared" si="25"/>
        <v>9000</v>
      </c>
      <c r="N170" s="47">
        <f t="shared" si="30"/>
        <v>-26000</v>
      </c>
      <c r="O170" s="47">
        <f>(1+ILAUNDRY!$I$21)^-A170</f>
        <v>1</v>
      </c>
      <c r="P170" s="51">
        <f t="shared" si="31"/>
        <v>9000</v>
      </c>
      <c r="Q170" s="55">
        <f t="shared" si="32"/>
        <v>-26000</v>
      </c>
    </row>
    <row r="171" spans="1:17">
      <c r="A171" s="42">
        <v>14</v>
      </c>
      <c r="B171" s="47">
        <f t="shared" si="26"/>
        <v>200</v>
      </c>
      <c r="C171" s="47">
        <f t="shared" si="33"/>
        <v>200</v>
      </c>
      <c r="D171" s="47">
        <f t="shared" si="34"/>
        <v>40000</v>
      </c>
      <c r="E171" s="47">
        <f>ILAUNDRY!$D$21</f>
        <v>30000</v>
      </c>
      <c r="F171" s="47">
        <f t="shared" si="27"/>
        <v>10000</v>
      </c>
      <c r="G171" s="47"/>
      <c r="H171" s="47"/>
      <c r="I171" s="47">
        <f t="shared" si="28"/>
        <v>10000</v>
      </c>
      <c r="J171" s="47">
        <f t="shared" si="29"/>
        <v>-10000</v>
      </c>
      <c r="K171" s="47">
        <f t="shared" si="35"/>
        <v>10000</v>
      </c>
      <c r="L171" s="50">
        <f>IF(K171&gt;0,K171*ILAUNDRY!$I$20,0)</f>
        <v>1000</v>
      </c>
      <c r="M171" s="47">
        <f t="shared" si="25"/>
        <v>9000</v>
      </c>
      <c r="N171" s="47">
        <f t="shared" si="30"/>
        <v>-17000</v>
      </c>
      <c r="O171" s="47">
        <f>(1+ILAUNDRY!$I$21)^-A171</f>
        <v>1</v>
      </c>
      <c r="P171" s="51">
        <f t="shared" si="31"/>
        <v>9000</v>
      </c>
      <c r="Q171" s="55">
        <f t="shared" si="32"/>
        <v>-17000</v>
      </c>
    </row>
    <row r="172" spans="1:17">
      <c r="A172" s="46">
        <v>15</v>
      </c>
      <c r="B172" s="47">
        <f t="shared" si="26"/>
        <v>200</v>
      </c>
      <c r="C172" s="47">
        <f t="shared" si="33"/>
        <v>200</v>
      </c>
      <c r="D172" s="47">
        <f t="shared" si="34"/>
        <v>40000</v>
      </c>
      <c r="E172" s="47">
        <f>ILAUNDRY!$D$21</f>
        <v>30000</v>
      </c>
      <c r="F172" s="47">
        <f t="shared" si="27"/>
        <v>10000</v>
      </c>
      <c r="G172" s="47"/>
      <c r="H172" s="47"/>
      <c r="I172" s="47">
        <f t="shared" si="28"/>
        <v>10000</v>
      </c>
      <c r="J172" s="47">
        <f t="shared" si="29"/>
        <v>0</v>
      </c>
      <c r="K172" s="53">
        <f t="shared" si="35"/>
        <v>10000</v>
      </c>
      <c r="L172" s="50">
        <f>IF(K172&gt;0,K172*ILAUNDRY!$I$20,0)</f>
        <v>1000</v>
      </c>
      <c r="M172" s="47">
        <f t="shared" si="25"/>
        <v>9000</v>
      </c>
      <c r="N172" s="47">
        <f t="shared" si="30"/>
        <v>-8000</v>
      </c>
      <c r="O172" s="47">
        <f>(1+ILAUNDRY!$I$21)^-A172</f>
        <v>1</v>
      </c>
      <c r="P172" s="51">
        <f t="shared" si="31"/>
        <v>9000</v>
      </c>
      <c r="Q172" s="55">
        <f t="shared" si="32"/>
        <v>-8000</v>
      </c>
    </row>
    <row r="173" spans="1:17">
      <c r="A173" s="42">
        <v>16</v>
      </c>
      <c r="B173" s="47">
        <f t="shared" si="26"/>
        <v>200</v>
      </c>
      <c r="C173" s="47">
        <f t="shared" si="33"/>
        <v>200</v>
      </c>
      <c r="D173" s="47">
        <f t="shared" si="34"/>
        <v>40000</v>
      </c>
      <c r="E173" s="47">
        <f>ILAUNDRY!$D$21</f>
        <v>30000</v>
      </c>
      <c r="F173" s="47">
        <f t="shared" si="27"/>
        <v>10000</v>
      </c>
      <c r="G173" s="47"/>
      <c r="H173" s="47"/>
      <c r="I173" s="47">
        <f t="shared" si="28"/>
        <v>10000</v>
      </c>
      <c r="J173" s="47">
        <f t="shared" si="29"/>
        <v>0</v>
      </c>
      <c r="K173" s="47">
        <f t="shared" si="35"/>
        <v>10000</v>
      </c>
      <c r="L173" s="50">
        <f>IF(K173&gt;0,K173*ILAUNDRY!$I$20,0)</f>
        <v>1000</v>
      </c>
      <c r="M173" s="47">
        <f t="shared" si="25"/>
        <v>9000</v>
      </c>
      <c r="N173" s="47">
        <f t="shared" si="30"/>
        <v>1000</v>
      </c>
      <c r="O173" s="47">
        <f>(1+ILAUNDRY!$I$21)^-A173</f>
        <v>1</v>
      </c>
      <c r="P173" s="51">
        <f t="shared" si="31"/>
        <v>9000</v>
      </c>
      <c r="Q173" s="55">
        <f t="shared" si="32"/>
        <v>1000</v>
      </c>
    </row>
    <row r="174" spans="1:17">
      <c r="A174" s="46">
        <v>17</v>
      </c>
      <c r="B174" s="47">
        <f t="shared" si="26"/>
        <v>200</v>
      </c>
      <c r="C174" s="47">
        <f t="shared" si="33"/>
        <v>200</v>
      </c>
      <c r="D174" s="47">
        <f t="shared" si="34"/>
        <v>40000</v>
      </c>
      <c r="E174" s="47">
        <f>ILAUNDRY!$D$21</f>
        <v>30000</v>
      </c>
      <c r="F174" s="47">
        <f t="shared" si="27"/>
        <v>10000</v>
      </c>
      <c r="G174" s="47"/>
      <c r="H174" s="47"/>
      <c r="I174" s="47">
        <f t="shared" si="28"/>
        <v>10000</v>
      </c>
      <c r="J174" s="47">
        <f t="shared" si="29"/>
        <v>0</v>
      </c>
      <c r="K174" s="47">
        <f t="shared" si="35"/>
        <v>10000</v>
      </c>
      <c r="L174" s="50">
        <f>IF(K174&gt;0,K174*ILAUNDRY!$I$20,0)</f>
        <v>1000</v>
      </c>
      <c r="M174" s="47">
        <f t="shared" si="25"/>
        <v>9000</v>
      </c>
      <c r="N174" s="47">
        <f t="shared" si="30"/>
        <v>10000</v>
      </c>
      <c r="O174" s="47">
        <f>(1+ILAUNDRY!$I$21)^-A174</f>
        <v>1</v>
      </c>
      <c r="P174" s="51">
        <f t="shared" si="31"/>
        <v>9000</v>
      </c>
      <c r="Q174" s="55">
        <f t="shared" si="32"/>
        <v>10000</v>
      </c>
    </row>
    <row r="175" spans="1:17">
      <c r="A175" s="42">
        <v>18</v>
      </c>
      <c r="B175" s="47">
        <f t="shared" si="26"/>
        <v>200</v>
      </c>
      <c r="C175" s="47">
        <f t="shared" si="33"/>
        <v>200</v>
      </c>
      <c r="D175" s="47">
        <f t="shared" si="34"/>
        <v>40000</v>
      </c>
      <c r="E175" s="47">
        <f>ILAUNDRY!$D$21</f>
        <v>30000</v>
      </c>
      <c r="F175" s="47">
        <f t="shared" si="27"/>
        <v>10000</v>
      </c>
      <c r="G175" s="47"/>
      <c r="H175" s="47"/>
      <c r="I175" s="47">
        <f t="shared" si="28"/>
        <v>10000</v>
      </c>
      <c r="J175" s="47">
        <f t="shared" si="29"/>
        <v>0</v>
      </c>
      <c r="K175" s="47">
        <f t="shared" si="35"/>
        <v>10000</v>
      </c>
      <c r="L175" s="50">
        <f>IF(K175&gt;0,K175*ILAUNDRY!$I$20,0)</f>
        <v>1000</v>
      </c>
      <c r="M175" s="47">
        <f t="shared" si="25"/>
        <v>9000</v>
      </c>
      <c r="N175" s="47">
        <f t="shared" si="30"/>
        <v>19000</v>
      </c>
      <c r="O175" s="47">
        <f>(1+ILAUNDRY!$I$21)^-A175</f>
        <v>1</v>
      </c>
      <c r="P175" s="51">
        <f t="shared" si="31"/>
        <v>9000</v>
      </c>
      <c r="Q175" s="55">
        <f t="shared" si="32"/>
        <v>19000</v>
      </c>
    </row>
    <row r="176" spans="1:17">
      <c r="A176" s="46">
        <v>19</v>
      </c>
      <c r="B176" s="47">
        <f t="shared" si="26"/>
        <v>200</v>
      </c>
      <c r="C176" s="47">
        <f t="shared" si="33"/>
        <v>200</v>
      </c>
      <c r="D176" s="47">
        <f t="shared" si="34"/>
        <v>40000</v>
      </c>
      <c r="E176" s="47">
        <f>ILAUNDRY!$D$21</f>
        <v>30000</v>
      </c>
      <c r="F176" s="47">
        <f t="shared" si="27"/>
        <v>10000</v>
      </c>
      <c r="G176" s="47"/>
      <c r="H176" s="47"/>
      <c r="I176" s="47">
        <f t="shared" si="28"/>
        <v>10000</v>
      </c>
      <c r="J176" s="47">
        <f t="shared" si="29"/>
        <v>0</v>
      </c>
      <c r="K176" s="47">
        <f t="shared" si="35"/>
        <v>10000</v>
      </c>
      <c r="L176" s="50">
        <f>IF(K176&gt;0,K176*ILAUNDRY!$I$20,0)</f>
        <v>1000</v>
      </c>
      <c r="M176" s="47">
        <f t="shared" si="25"/>
        <v>9000</v>
      </c>
      <c r="N176" s="47">
        <f t="shared" si="30"/>
        <v>28000</v>
      </c>
      <c r="O176" s="47">
        <f>(1+ILAUNDRY!$I$21)^-A176</f>
        <v>1</v>
      </c>
      <c r="P176" s="51">
        <f t="shared" si="31"/>
        <v>9000</v>
      </c>
      <c r="Q176" s="55">
        <f t="shared" si="32"/>
        <v>28000</v>
      </c>
    </row>
    <row r="177" spans="1:17">
      <c r="A177" s="42">
        <v>20</v>
      </c>
      <c r="B177" s="47">
        <f t="shared" si="26"/>
        <v>200</v>
      </c>
      <c r="C177" s="47">
        <f t="shared" si="33"/>
        <v>200</v>
      </c>
      <c r="D177" s="47">
        <f t="shared" si="34"/>
        <v>40000</v>
      </c>
      <c r="E177" s="47">
        <f>ILAUNDRY!$D$21</f>
        <v>30000</v>
      </c>
      <c r="F177" s="47">
        <f t="shared" si="27"/>
        <v>10000</v>
      </c>
      <c r="G177" s="47"/>
      <c r="H177" s="47"/>
      <c r="I177" s="47">
        <f t="shared" si="28"/>
        <v>10000</v>
      </c>
      <c r="J177" s="47">
        <f t="shared" si="29"/>
        <v>0</v>
      </c>
      <c r="K177" s="47">
        <f t="shared" si="35"/>
        <v>10000</v>
      </c>
      <c r="L177" s="50">
        <f>IF(K177&gt;0,K177*ILAUNDRY!$I$20,0)</f>
        <v>1000</v>
      </c>
      <c r="M177" s="47">
        <f t="shared" si="25"/>
        <v>9000</v>
      </c>
      <c r="N177" s="47">
        <f t="shared" si="30"/>
        <v>37000</v>
      </c>
      <c r="O177" s="47">
        <f>(1+ILAUNDRY!$I$21)^-A177</f>
        <v>1</v>
      </c>
      <c r="P177" s="51">
        <f t="shared" si="31"/>
        <v>9000</v>
      </c>
      <c r="Q177" s="55">
        <f t="shared" si="32"/>
        <v>37000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37000</v>
      </c>
      <c r="Q178" s="55"/>
    </row>
  </sheetData>
  <mergeCells count="1">
    <mergeCell ref="A1:I1"/>
  </mergeCell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zoomScale="76" zoomScaleNormal="76" topLeftCell="A5" workbookViewId="0">
      <selection activeCell="E22" sqref="E22"/>
    </sheetView>
  </sheetViews>
  <sheetFormatPr defaultColWidth="9.14285714285714" defaultRowHeight="15"/>
  <cols>
    <col min="2" max="2" width="18.9809523809524" customWidth="1"/>
    <col min="3" max="3" width="18.7809523809524" customWidth="1"/>
    <col min="4" max="4" width="14.7142857142857" customWidth="1"/>
    <col min="6" max="6" width="15.4285714285714" customWidth="1"/>
    <col min="11" max="11" width="12.1428571428571" customWidth="1"/>
  </cols>
  <sheetData>
    <row r="1" ht="21" spans="1:13">
      <c r="A1" s="75" t="s">
        <v>182</v>
      </c>
      <c r="B1" s="76"/>
      <c r="C1" s="76"/>
      <c r="D1" s="77"/>
      <c r="E1" s="78"/>
      <c r="F1" s="79"/>
      <c r="G1" s="80"/>
      <c r="H1" s="80"/>
      <c r="I1" s="80"/>
      <c r="J1" s="80"/>
      <c r="K1" s="125"/>
      <c r="L1" s="126"/>
      <c r="M1" s="57"/>
    </row>
    <row r="2" ht="15.75" spans="1:13">
      <c r="A2" s="76"/>
      <c r="B2" s="81" t="s">
        <v>208</v>
      </c>
      <c r="C2" s="82"/>
      <c r="D2" s="83"/>
      <c r="E2" s="84"/>
      <c r="F2" s="85"/>
      <c r="G2" s="31"/>
      <c r="H2" s="31"/>
      <c r="I2" s="31"/>
      <c r="J2" s="31"/>
      <c r="K2" s="31"/>
      <c r="L2" s="31"/>
      <c r="M2" s="31"/>
    </row>
    <row r="3" ht="16.5" spans="1:13">
      <c r="A3" s="76"/>
      <c r="B3" s="86" t="s">
        <v>209</v>
      </c>
      <c r="C3" s="87">
        <v>5</v>
      </c>
      <c r="D3" s="88">
        <v>2800</v>
      </c>
      <c r="E3" s="89"/>
      <c r="F3" s="89"/>
      <c r="H3" s="31"/>
      <c r="I3" s="31"/>
      <c r="J3" s="31"/>
      <c r="K3" s="31"/>
      <c r="L3" s="31"/>
      <c r="M3" s="31"/>
    </row>
    <row r="4" ht="16.5" spans="1:11">
      <c r="A4" s="76"/>
      <c r="B4" s="86" t="s">
        <v>210</v>
      </c>
      <c r="C4" s="87" t="s">
        <v>211</v>
      </c>
      <c r="D4" s="88">
        <v>1600</v>
      </c>
      <c r="E4" s="89"/>
      <c r="F4" s="89"/>
      <c r="I4" s="93" t="s">
        <v>2</v>
      </c>
      <c r="J4" s="127"/>
      <c r="K4" s="128"/>
    </row>
    <row r="5" ht="16.5" spans="1:11">
      <c r="A5" s="76"/>
      <c r="B5" s="86" t="s">
        <v>212</v>
      </c>
      <c r="C5" s="87" t="s">
        <v>213</v>
      </c>
      <c r="D5" s="88">
        <v>1400</v>
      </c>
      <c r="E5" s="89"/>
      <c r="F5" s="89"/>
      <c r="I5" s="99" t="s">
        <v>214</v>
      </c>
      <c r="J5" s="31"/>
      <c r="K5" s="129">
        <v>360</v>
      </c>
    </row>
    <row r="6" ht="16.5" spans="1:11">
      <c r="A6" s="76"/>
      <c r="B6" s="86" t="s">
        <v>215</v>
      </c>
      <c r="C6" s="87" t="s">
        <v>216</v>
      </c>
      <c r="D6" s="88">
        <v>500</v>
      </c>
      <c r="E6" s="89"/>
      <c r="F6" s="89"/>
      <c r="I6" s="99" t="s">
        <v>194</v>
      </c>
      <c r="J6" s="31" t="s">
        <v>217</v>
      </c>
      <c r="K6" s="130">
        <v>250</v>
      </c>
    </row>
    <row r="7" ht="16.5" spans="1:11">
      <c r="A7" s="76"/>
      <c r="B7" s="86" t="s">
        <v>218</v>
      </c>
      <c r="C7" s="87" t="s">
        <v>219</v>
      </c>
      <c r="D7" s="88">
        <v>3500</v>
      </c>
      <c r="E7" s="89"/>
      <c r="F7" s="89"/>
      <c r="I7" s="94" t="s">
        <v>25</v>
      </c>
      <c r="J7" s="110"/>
      <c r="K7" s="131">
        <f>K5*K6</f>
        <v>90000</v>
      </c>
    </row>
    <row r="8" ht="32.25" spans="1:7">
      <c r="A8" s="76"/>
      <c r="B8" s="86" t="s">
        <v>220</v>
      </c>
      <c r="C8" s="87" t="s">
        <v>221</v>
      </c>
      <c r="D8" s="88">
        <v>45000</v>
      </c>
      <c r="E8" s="89"/>
      <c r="F8" s="89"/>
      <c r="G8" s="31"/>
    </row>
    <row r="9" ht="16.5" spans="1:13">
      <c r="A9" s="76"/>
      <c r="B9" s="86" t="s">
        <v>222</v>
      </c>
      <c r="C9" s="87">
        <v>2</v>
      </c>
      <c r="D9" s="88">
        <v>9000</v>
      </c>
      <c r="E9" s="90"/>
      <c r="F9" s="90"/>
      <c r="G9" s="31"/>
      <c r="H9" s="31"/>
      <c r="I9" s="31"/>
      <c r="J9" s="31"/>
      <c r="K9" s="31"/>
      <c r="L9" s="31"/>
      <c r="M9" s="31"/>
    </row>
    <row r="10" ht="16.5" spans="1:13">
      <c r="A10" s="76"/>
      <c r="B10" s="86" t="s">
        <v>223</v>
      </c>
      <c r="C10" s="87" t="s">
        <v>224</v>
      </c>
      <c r="D10" s="88">
        <v>3500</v>
      </c>
      <c r="E10" s="89"/>
      <c r="F10" s="89"/>
      <c r="G10" s="90"/>
      <c r="H10" s="31"/>
      <c r="I10" s="31"/>
      <c r="J10" s="31"/>
      <c r="K10" s="31"/>
      <c r="L10" s="31"/>
      <c r="M10" s="31"/>
    </row>
    <row r="11" ht="16.5" spans="1:13">
      <c r="A11" s="76"/>
      <c r="B11" s="91" t="s">
        <v>187</v>
      </c>
      <c r="C11" s="92" t="s">
        <v>225</v>
      </c>
      <c r="D11" s="88">
        <v>35000</v>
      </c>
      <c r="E11" s="89"/>
      <c r="F11" s="89"/>
      <c r="G11" s="90"/>
      <c r="H11" s="93" t="s">
        <v>10</v>
      </c>
      <c r="I11" s="127"/>
      <c r="J11" s="127"/>
      <c r="K11" s="127"/>
      <c r="L11" s="128"/>
      <c r="M11" s="31"/>
    </row>
    <row r="12" ht="16.5" spans="1:13">
      <c r="A12" s="76"/>
      <c r="B12" s="91" t="s">
        <v>226</v>
      </c>
      <c r="C12" s="92"/>
      <c r="D12" s="88">
        <v>60000</v>
      </c>
      <c r="E12" s="84"/>
      <c r="F12" s="89"/>
      <c r="G12" s="90"/>
      <c r="H12" s="94" t="s">
        <v>13</v>
      </c>
      <c r="I12" s="110"/>
      <c r="J12" s="110"/>
      <c r="K12" s="110">
        <v>4</v>
      </c>
      <c r="L12" s="132" t="s">
        <v>14</v>
      </c>
      <c r="M12" s="31"/>
    </row>
    <row r="13" ht="15.75" spans="1:13">
      <c r="A13" s="31"/>
      <c r="B13" s="95" t="s">
        <v>25</v>
      </c>
      <c r="C13" s="96"/>
      <c r="D13" s="97">
        <f>SUM(D3:D12)</f>
        <v>162300</v>
      </c>
      <c r="E13" s="89"/>
      <c r="F13" s="89"/>
      <c r="G13" s="90"/>
      <c r="H13" s="31"/>
      <c r="I13" s="31"/>
      <c r="J13" s="31"/>
      <c r="K13" s="31"/>
      <c r="L13" s="31"/>
      <c r="M13" s="31"/>
    </row>
    <row r="14" spans="1:13">
      <c r="A14" s="31"/>
      <c r="E14" s="89"/>
      <c r="F14" s="89"/>
      <c r="G14" s="98"/>
      <c r="H14" s="93" t="s">
        <v>19</v>
      </c>
      <c r="I14" s="127"/>
      <c r="J14" s="127"/>
      <c r="K14" s="128"/>
      <c r="L14" s="31"/>
      <c r="M14" s="31"/>
    </row>
    <row r="15" spans="1:13">
      <c r="A15" s="31"/>
      <c r="G15" s="90"/>
      <c r="H15" s="99" t="s">
        <v>21</v>
      </c>
      <c r="I15" s="105"/>
      <c r="J15" s="90"/>
      <c r="K15" s="133">
        <f>10%</f>
        <v>0.1</v>
      </c>
      <c r="L15" s="31"/>
      <c r="M15" s="31"/>
    </row>
    <row r="16" ht="15.75" spans="1:13">
      <c r="A16" s="31"/>
      <c r="G16" s="90"/>
      <c r="H16" s="100" t="s">
        <v>24</v>
      </c>
      <c r="I16" s="134"/>
      <c r="J16" s="135"/>
      <c r="K16" s="132"/>
      <c r="L16" s="31"/>
      <c r="M16" s="136"/>
    </row>
    <row r="17" ht="15.75" spans="1:13">
      <c r="A17" s="31"/>
      <c r="B17" s="101" t="s">
        <v>87</v>
      </c>
      <c r="C17" s="102"/>
      <c r="D17" s="103"/>
      <c r="G17" s="90"/>
      <c r="H17" s="31"/>
      <c r="I17" s="31"/>
      <c r="J17" s="31"/>
      <c r="K17" s="31"/>
      <c r="L17" s="31"/>
      <c r="M17" s="136"/>
    </row>
    <row r="18" ht="16.5" spans="1:13">
      <c r="A18" s="31"/>
      <c r="B18" s="104" t="s">
        <v>227</v>
      </c>
      <c r="C18" s="105"/>
      <c r="D18" s="106">
        <f>145*3*7*4</f>
        <v>12180</v>
      </c>
      <c r="G18" s="31"/>
      <c r="H18" s="31"/>
      <c r="I18" s="31"/>
      <c r="J18" s="31"/>
      <c r="K18" s="31"/>
      <c r="L18" s="31"/>
      <c r="M18" s="136"/>
    </row>
    <row r="19" ht="16.5" spans="1:13">
      <c r="A19" s="31"/>
      <c r="B19" s="104" t="s">
        <v>228</v>
      </c>
      <c r="C19" s="105"/>
      <c r="D19" s="106">
        <v>200</v>
      </c>
      <c r="G19" s="31"/>
      <c r="H19" s="31"/>
      <c r="I19" s="31"/>
      <c r="J19" s="31"/>
      <c r="K19" s="31"/>
      <c r="L19" s="31"/>
      <c r="M19" s="136"/>
    </row>
    <row r="20" ht="16.5" spans="1:13">
      <c r="A20" s="31"/>
      <c r="B20" s="104" t="s">
        <v>229</v>
      </c>
      <c r="C20" s="105"/>
      <c r="D20" s="106">
        <f>JLAUNDRY!K6*10</f>
        <v>2500</v>
      </c>
      <c r="G20" s="31"/>
      <c r="H20" s="31"/>
      <c r="I20" s="31"/>
      <c r="J20" s="31"/>
      <c r="K20" s="31"/>
      <c r="L20" s="31"/>
      <c r="M20" s="136"/>
    </row>
    <row r="21" ht="16.5" spans="1:13">
      <c r="A21" s="31"/>
      <c r="B21" s="107" t="s">
        <v>230</v>
      </c>
      <c r="C21" s="105"/>
      <c r="D21" s="106">
        <v>15000</v>
      </c>
      <c r="G21" s="31"/>
      <c r="H21" s="108"/>
      <c r="I21" s="108"/>
      <c r="J21" s="108"/>
      <c r="K21" s="31"/>
      <c r="L21" s="31"/>
      <c r="M21" s="136"/>
    </row>
    <row r="22" ht="16.5" spans="1:13">
      <c r="A22" s="31"/>
      <c r="B22" s="109" t="s">
        <v>25</v>
      </c>
      <c r="C22" s="110" t="s">
        <v>203</v>
      </c>
      <c r="D22" s="111">
        <f>SUM(D18:D21)</f>
        <v>29880</v>
      </c>
      <c r="G22" s="31"/>
      <c r="H22" s="108"/>
      <c r="I22" s="108"/>
      <c r="J22" s="108"/>
      <c r="K22" s="31"/>
      <c r="L22" s="31"/>
      <c r="M22" s="136"/>
    </row>
    <row r="23" spans="1:13">
      <c r="A23" s="31"/>
      <c r="F23" s="31"/>
      <c r="G23" s="31"/>
      <c r="H23" s="108"/>
      <c r="I23" s="108"/>
      <c r="J23" s="108"/>
      <c r="K23" s="31"/>
      <c r="L23" s="31"/>
      <c r="M23" s="136"/>
    </row>
    <row r="24" ht="15.75" spans="1:13">
      <c r="A24" s="31"/>
      <c r="F24" s="31"/>
      <c r="G24" s="31"/>
      <c r="H24" s="108"/>
      <c r="I24" s="108"/>
      <c r="J24" s="108"/>
      <c r="K24" s="31"/>
      <c r="L24" s="31"/>
      <c r="M24" s="105"/>
    </row>
    <row r="25" spans="1:13">
      <c r="A25" s="31"/>
      <c r="B25" s="112"/>
      <c r="C25" s="113" t="s">
        <v>26</v>
      </c>
      <c r="D25" s="114"/>
      <c r="E25" s="115"/>
      <c r="F25" s="31"/>
      <c r="G25" s="31"/>
      <c r="H25" s="31"/>
      <c r="I25" s="31"/>
      <c r="J25" s="31"/>
      <c r="K25" s="31"/>
      <c r="L25" s="31"/>
      <c r="M25" s="31"/>
    </row>
    <row r="26" spans="1:13">
      <c r="A26" s="31"/>
      <c r="B26" s="112"/>
      <c r="C26" s="116" t="s">
        <v>231</v>
      </c>
      <c r="D26" s="117">
        <f>'JLAUNDRY 2'!P25</f>
        <v>1135012.5</v>
      </c>
      <c r="E26" s="118"/>
      <c r="F26" s="31"/>
      <c r="G26" s="31"/>
      <c r="H26" s="31"/>
      <c r="I26" s="31"/>
      <c r="J26" s="31"/>
      <c r="K26" s="31"/>
      <c r="L26" s="31"/>
      <c r="M26" s="31"/>
    </row>
    <row r="27" spans="1:13">
      <c r="A27" s="31"/>
      <c r="B27" s="112"/>
      <c r="C27" s="116" t="s">
        <v>28</v>
      </c>
      <c r="D27" s="119">
        <f>'JLAUNDRY 3'!B4</f>
        <v>0.580861663161033</v>
      </c>
      <c r="E27" s="120"/>
      <c r="F27" s="31"/>
      <c r="G27" s="31"/>
      <c r="H27" s="31"/>
      <c r="I27" s="31"/>
      <c r="J27" s="31"/>
      <c r="K27" s="31"/>
      <c r="L27" s="31"/>
      <c r="M27" s="31"/>
    </row>
    <row r="28" spans="1:13">
      <c r="A28" s="31"/>
      <c r="B28" s="112"/>
      <c r="C28" s="116" t="s">
        <v>29</v>
      </c>
      <c r="D28" s="121">
        <f>D26/D13</f>
        <v>6.99329944547135</v>
      </c>
      <c r="E28" s="118"/>
      <c r="F28" s="31"/>
      <c r="G28" s="31"/>
      <c r="H28" s="31"/>
      <c r="I28" s="31"/>
      <c r="J28" s="31"/>
      <c r="K28" s="31"/>
      <c r="L28" s="31"/>
      <c r="M28" s="31"/>
    </row>
    <row r="29" spans="2:5">
      <c r="B29" s="112"/>
      <c r="C29" s="116" t="s">
        <v>30</v>
      </c>
      <c r="D29" s="121">
        <f>1+D28</f>
        <v>7.99329944547135</v>
      </c>
      <c r="E29" s="118"/>
    </row>
    <row r="30" spans="2:5">
      <c r="B30" s="112"/>
      <c r="C30" s="116" t="s">
        <v>31</v>
      </c>
      <c r="D30" s="122">
        <f>'JLAUNDRY 3'!D56</f>
        <v>2.01604278074866</v>
      </c>
      <c r="E30" s="118" t="s">
        <v>232</v>
      </c>
    </row>
    <row r="31" ht="15.75" spans="2:5">
      <c r="B31" s="31"/>
      <c r="C31" s="123" t="s">
        <v>32</v>
      </c>
      <c r="D31" s="117">
        <f>'JLAUNDRY 3'!C123</f>
        <v>120.398531101572</v>
      </c>
      <c r="E31" s="124"/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5"/>
  <sheetViews>
    <sheetView zoomScale="66" zoomScaleNormal="66" workbookViewId="0">
      <selection activeCell="G4" sqref="G4"/>
    </sheetView>
  </sheetViews>
  <sheetFormatPr defaultColWidth="9.14285714285714" defaultRowHeight="15"/>
  <cols>
    <col min="5" max="5" width="9.57142857142857"/>
    <col min="7" max="8" width="12.8571428571429"/>
    <col min="9" max="9" width="9.57142857142857" customWidth="1"/>
    <col min="14" max="14" width="10.5714285714286" customWidth="1"/>
    <col min="15" max="15" width="12.8571428571429"/>
    <col min="16" max="16" width="11.7142857142857" customWidth="1"/>
    <col min="17" max="17" width="10.5714285714286" customWidth="1"/>
  </cols>
  <sheetData>
    <row r="1" customFormat="1" ht="30" spans="1:14">
      <c r="A1" s="56" t="s">
        <v>233</v>
      </c>
      <c r="B1" s="57"/>
      <c r="C1" s="57"/>
      <c r="D1" s="57"/>
      <c r="E1" s="57"/>
      <c r="F1" s="57"/>
      <c r="G1" s="57"/>
      <c r="H1" s="57"/>
      <c r="I1" s="57"/>
      <c r="J1" s="65"/>
      <c r="K1" s="65"/>
      <c r="L1" s="65"/>
      <c r="M1" s="65"/>
      <c r="N1" s="65"/>
    </row>
    <row r="2" customFormat="1"/>
    <row r="3" ht="90" spans="1:17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45</v>
      </c>
      <c r="M3" s="67" t="s">
        <v>46</v>
      </c>
      <c r="N3" s="67" t="s">
        <v>47</v>
      </c>
      <c r="O3" s="67" t="s">
        <v>48</v>
      </c>
      <c r="P3" s="67" t="s">
        <v>49</v>
      </c>
      <c r="Q3" s="67" t="s">
        <v>50</v>
      </c>
    </row>
    <row r="4" spans="1:17">
      <c r="A4" s="60">
        <v>0</v>
      </c>
      <c r="B4" s="61"/>
      <c r="C4" s="62"/>
      <c r="D4" s="63"/>
      <c r="E4" s="62"/>
      <c r="F4" s="62"/>
      <c r="G4" s="62"/>
      <c r="H4" s="62"/>
      <c r="I4" s="62"/>
      <c r="J4" s="62"/>
      <c r="K4" s="33">
        <f t="shared" ref="K4:K9" si="0">J4</f>
        <v>0</v>
      </c>
      <c r="L4" s="68">
        <f>IF(K4&gt;0,K4*JLAUNDRY!$K$15,0)</f>
        <v>0</v>
      </c>
      <c r="M4" s="33">
        <f t="shared" ref="M4:M24" si="1">I4-L4</f>
        <v>0</v>
      </c>
      <c r="N4" s="33">
        <f>-G4</f>
        <v>0</v>
      </c>
      <c r="O4" s="33">
        <f>(1+JLAUNDRY!$K$16)^-A4</f>
        <v>1</v>
      </c>
      <c r="P4" s="69">
        <f>N4*O4</f>
        <v>0</v>
      </c>
      <c r="Q4" s="72">
        <f>P4</f>
        <v>0</v>
      </c>
    </row>
    <row r="5" spans="1:17">
      <c r="A5" s="35">
        <v>1</v>
      </c>
      <c r="B5" s="33">
        <f>JLAUNDRY!$K$5</f>
        <v>360</v>
      </c>
      <c r="C5" s="33">
        <f>JLAUNDRY!$K$6</f>
        <v>250</v>
      </c>
      <c r="D5" s="33">
        <f>B5*C5</f>
        <v>90000</v>
      </c>
      <c r="E5" s="64">
        <f>19875</f>
        <v>19875</v>
      </c>
      <c r="F5" s="64">
        <f t="shared" ref="F5:F24" si="2">D5-E5</f>
        <v>70125</v>
      </c>
      <c r="G5" s="33"/>
      <c r="H5" s="62">
        <f>162300</f>
        <v>162300</v>
      </c>
      <c r="I5" s="64">
        <f t="shared" ref="I5:I24" si="3">F5-H5</f>
        <v>-92175</v>
      </c>
      <c r="J5" s="64">
        <f>I5</f>
        <v>-92175</v>
      </c>
      <c r="K5" s="64">
        <f t="shared" si="0"/>
        <v>-92175</v>
      </c>
      <c r="L5" s="68">
        <f>IF(K5&gt;0,K5*JLAUNDRY!$K$15,0)</f>
        <v>0</v>
      </c>
      <c r="M5" s="64">
        <f t="shared" si="1"/>
        <v>-92175</v>
      </c>
      <c r="N5" s="64">
        <f t="shared" ref="N5:N24" si="4">N4+M5</f>
        <v>-92175</v>
      </c>
      <c r="O5" s="64">
        <f>(1+JLAUNDRY!$K$16)^-A5</f>
        <v>1</v>
      </c>
      <c r="P5" s="70">
        <f t="shared" ref="P5:P24" si="5">M5*O5</f>
        <v>-92175</v>
      </c>
      <c r="Q5" s="73">
        <f t="shared" ref="Q5:Q24" si="6">Q4+P5</f>
        <v>-92175</v>
      </c>
    </row>
    <row r="6" spans="1:17">
      <c r="A6" s="60">
        <v>2</v>
      </c>
      <c r="B6" s="33">
        <f>JLAUNDRY!$K$5</f>
        <v>360</v>
      </c>
      <c r="C6" s="33">
        <f>$C$5</f>
        <v>250</v>
      </c>
      <c r="D6" s="33">
        <f t="shared" ref="D6:D24" si="7">B6*C6</f>
        <v>90000</v>
      </c>
      <c r="E6" s="64">
        <f t="shared" ref="E6:E15" si="8">19875</f>
        <v>19875</v>
      </c>
      <c r="F6" s="64">
        <f t="shared" si="2"/>
        <v>70125</v>
      </c>
      <c r="G6" s="33"/>
      <c r="H6" s="64"/>
      <c r="I6" s="64">
        <f t="shared" si="3"/>
        <v>70125</v>
      </c>
      <c r="J6" s="64">
        <f t="shared" ref="J6:J24" si="9">IF((J5+I6)&lt;0,(J5+I6),0)</f>
        <v>-22050</v>
      </c>
      <c r="K6" s="64">
        <f t="shared" si="0"/>
        <v>-22050</v>
      </c>
      <c r="L6" s="68">
        <f>IF(K6&gt;0,K6*JLAUNDRY!$K$15,0)</f>
        <v>0</v>
      </c>
      <c r="M6" s="64">
        <f t="shared" si="1"/>
        <v>70125</v>
      </c>
      <c r="N6" s="64">
        <f t="shared" si="4"/>
        <v>-22050</v>
      </c>
      <c r="O6" s="64">
        <f>(1+JLAUNDRY!$K$16)^-A6</f>
        <v>1</v>
      </c>
      <c r="P6" s="70">
        <f t="shared" si="5"/>
        <v>70125</v>
      </c>
      <c r="Q6" s="73">
        <f t="shared" si="6"/>
        <v>-22050</v>
      </c>
    </row>
    <row r="7" spans="1:17">
      <c r="A7" s="35">
        <v>3</v>
      </c>
      <c r="B7" s="33">
        <f>JLAUNDRY!$K$5</f>
        <v>360</v>
      </c>
      <c r="C7" s="33">
        <f>$C$5</f>
        <v>250</v>
      </c>
      <c r="D7" s="33">
        <f t="shared" si="7"/>
        <v>90000</v>
      </c>
      <c r="E7" s="64">
        <f t="shared" si="8"/>
        <v>19875</v>
      </c>
      <c r="F7" s="64">
        <f t="shared" si="2"/>
        <v>70125</v>
      </c>
      <c r="G7" s="33"/>
      <c r="H7" s="64"/>
      <c r="I7" s="64">
        <f t="shared" si="3"/>
        <v>70125</v>
      </c>
      <c r="J7" s="64">
        <f t="shared" si="9"/>
        <v>0</v>
      </c>
      <c r="K7" s="64">
        <f t="shared" si="0"/>
        <v>0</v>
      </c>
      <c r="L7" s="68">
        <f>IF(K7&gt;0,K7*JLAUNDRY!$K$15,0)</f>
        <v>0</v>
      </c>
      <c r="M7" s="64">
        <f t="shared" si="1"/>
        <v>70125</v>
      </c>
      <c r="N7" s="64">
        <f t="shared" si="4"/>
        <v>48075</v>
      </c>
      <c r="O7" s="64">
        <f>(1+JLAUNDRY!$K$16)^-A7</f>
        <v>1</v>
      </c>
      <c r="P7" s="70">
        <f t="shared" si="5"/>
        <v>70125</v>
      </c>
      <c r="Q7" s="73">
        <f t="shared" si="6"/>
        <v>48075</v>
      </c>
    </row>
    <row r="8" spans="1:17">
      <c r="A8" s="60">
        <v>4</v>
      </c>
      <c r="B8" s="33">
        <f>JLAUNDRY!$K$5</f>
        <v>360</v>
      </c>
      <c r="C8" s="33">
        <f>$C$5</f>
        <v>250</v>
      </c>
      <c r="D8" s="33">
        <f t="shared" si="7"/>
        <v>90000</v>
      </c>
      <c r="E8" s="64">
        <f t="shared" si="8"/>
        <v>19875</v>
      </c>
      <c r="F8" s="64">
        <f t="shared" si="2"/>
        <v>70125</v>
      </c>
      <c r="G8" s="33"/>
      <c r="H8" s="64"/>
      <c r="I8" s="64">
        <f t="shared" si="3"/>
        <v>70125</v>
      </c>
      <c r="J8" s="64">
        <f t="shared" si="9"/>
        <v>0</v>
      </c>
      <c r="K8" s="64">
        <f t="shared" si="0"/>
        <v>0</v>
      </c>
      <c r="L8" s="68">
        <f>IF(K8&gt;0,K8*JLAUNDRY!$K$15,0)</f>
        <v>0</v>
      </c>
      <c r="M8" s="64">
        <f t="shared" si="1"/>
        <v>70125</v>
      </c>
      <c r="N8" s="64">
        <f t="shared" si="4"/>
        <v>118200</v>
      </c>
      <c r="O8" s="64">
        <f>(1+JLAUNDRY!$K$16)^-A8</f>
        <v>1</v>
      </c>
      <c r="P8" s="70">
        <f t="shared" si="5"/>
        <v>70125</v>
      </c>
      <c r="Q8" s="73">
        <f t="shared" si="6"/>
        <v>118200</v>
      </c>
    </row>
    <row r="9" spans="1:17">
      <c r="A9" s="35">
        <v>5</v>
      </c>
      <c r="B9" s="33">
        <f>JLAUNDRY!$K$5</f>
        <v>360</v>
      </c>
      <c r="C9" s="33">
        <f>$C$5</f>
        <v>250</v>
      </c>
      <c r="D9" s="33">
        <f t="shared" si="7"/>
        <v>90000</v>
      </c>
      <c r="E9" s="64">
        <f t="shared" si="8"/>
        <v>19875</v>
      </c>
      <c r="F9" s="64">
        <f t="shared" si="2"/>
        <v>70125</v>
      </c>
      <c r="G9" s="33"/>
      <c r="H9" s="33"/>
      <c r="I9" s="64">
        <f t="shared" si="3"/>
        <v>70125</v>
      </c>
      <c r="J9" s="64">
        <f t="shared" si="9"/>
        <v>0</v>
      </c>
      <c r="K9" s="64">
        <f t="shared" si="0"/>
        <v>0</v>
      </c>
      <c r="L9" s="68">
        <f>IF(K9&gt;0,K9*JLAUNDRY!$K$15,0)</f>
        <v>0</v>
      </c>
      <c r="M9" s="64">
        <f t="shared" si="1"/>
        <v>70125</v>
      </c>
      <c r="N9" s="64">
        <f t="shared" si="4"/>
        <v>188325</v>
      </c>
      <c r="O9" s="64">
        <f>(1+JLAUNDRY!$K$16)^-A9</f>
        <v>1</v>
      </c>
      <c r="P9" s="70">
        <f t="shared" si="5"/>
        <v>70125</v>
      </c>
      <c r="Q9" s="73">
        <f t="shared" si="6"/>
        <v>188325</v>
      </c>
    </row>
    <row r="10" spans="1:17">
      <c r="A10" s="60">
        <v>6</v>
      </c>
      <c r="B10" s="33">
        <f>JLAUNDRY!$K$5</f>
        <v>360</v>
      </c>
      <c r="C10" s="33">
        <f>$C$5</f>
        <v>250</v>
      </c>
      <c r="D10" s="33">
        <f t="shared" si="7"/>
        <v>90000</v>
      </c>
      <c r="E10" s="64">
        <f t="shared" si="8"/>
        <v>19875</v>
      </c>
      <c r="F10" s="64">
        <f t="shared" si="2"/>
        <v>70125</v>
      </c>
      <c r="G10" s="33"/>
      <c r="H10" s="33"/>
      <c r="I10" s="64">
        <f t="shared" si="3"/>
        <v>70125</v>
      </c>
      <c r="J10" s="33">
        <f t="shared" si="9"/>
        <v>0</v>
      </c>
      <c r="K10" s="64">
        <f t="shared" ref="K10:K24" si="10">I10</f>
        <v>70125</v>
      </c>
      <c r="L10" s="71">
        <f>IF(K10&gt;0,K10*JLAUNDRY!$K$15,0)</f>
        <v>7012.5</v>
      </c>
      <c r="M10" s="64">
        <f t="shared" si="1"/>
        <v>63112.5</v>
      </c>
      <c r="N10" s="64">
        <f t="shared" si="4"/>
        <v>251437.5</v>
      </c>
      <c r="O10" s="64">
        <f>(1+JLAUNDRY!$K$16)^-A10</f>
        <v>1</v>
      </c>
      <c r="P10" s="70">
        <f t="shared" si="5"/>
        <v>63112.5</v>
      </c>
      <c r="Q10" s="73">
        <f t="shared" si="6"/>
        <v>251437.5</v>
      </c>
    </row>
    <row r="11" spans="1:17">
      <c r="A11" s="35">
        <v>7</v>
      </c>
      <c r="B11" s="33">
        <f>JLAUNDRY!$K$5</f>
        <v>360</v>
      </c>
      <c r="C11" s="33">
        <f>$C$5</f>
        <v>250</v>
      </c>
      <c r="D11" s="33">
        <f t="shared" si="7"/>
        <v>90000</v>
      </c>
      <c r="E11" s="64">
        <f t="shared" si="8"/>
        <v>19875</v>
      </c>
      <c r="F11" s="64">
        <f t="shared" si="2"/>
        <v>70125</v>
      </c>
      <c r="G11" s="33"/>
      <c r="H11" s="33"/>
      <c r="I11" s="64">
        <f t="shared" si="3"/>
        <v>70125</v>
      </c>
      <c r="J11" s="33">
        <f t="shared" si="9"/>
        <v>0</v>
      </c>
      <c r="K11" s="64">
        <f t="shared" si="10"/>
        <v>70125</v>
      </c>
      <c r="L11" s="71">
        <f>IF(K11&gt;0,K11*JLAUNDRY!$K$15,0)</f>
        <v>7012.5</v>
      </c>
      <c r="M11" s="64">
        <f t="shared" si="1"/>
        <v>63112.5</v>
      </c>
      <c r="N11" s="64">
        <f t="shared" si="4"/>
        <v>314550</v>
      </c>
      <c r="O11" s="64">
        <f>(1+JLAUNDRY!$K$16)^-A11</f>
        <v>1</v>
      </c>
      <c r="P11" s="70">
        <f t="shared" si="5"/>
        <v>63112.5</v>
      </c>
      <c r="Q11" s="73">
        <f t="shared" si="6"/>
        <v>314550</v>
      </c>
    </row>
    <row r="12" spans="1:17">
      <c r="A12" s="60">
        <v>8</v>
      </c>
      <c r="B12" s="33">
        <f>JLAUNDRY!$K$5</f>
        <v>360</v>
      </c>
      <c r="C12" s="33">
        <f>$C$5</f>
        <v>250</v>
      </c>
      <c r="D12" s="33">
        <f t="shared" si="7"/>
        <v>90000</v>
      </c>
      <c r="E12" s="64">
        <f t="shared" si="8"/>
        <v>19875</v>
      </c>
      <c r="F12" s="64">
        <f t="shared" si="2"/>
        <v>70125</v>
      </c>
      <c r="G12" s="33"/>
      <c r="H12" s="33"/>
      <c r="I12" s="64">
        <f t="shared" si="3"/>
        <v>70125</v>
      </c>
      <c r="J12" s="33">
        <f t="shared" si="9"/>
        <v>0</v>
      </c>
      <c r="K12" s="64">
        <f t="shared" si="10"/>
        <v>70125</v>
      </c>
      <c r="L12" s="71">
        <f>IF(K12&gt;0,K12*JLAUNDRY!$K$15,0)</f>
        <v>7012.5</v>
      </c>
      <c r="M12" s="64">
        <f t="shared" si="1"/>
        <v>63112.5</v>
      </c>
      <c r="N12" s="64">
        <f t="shared" si="4"/>
        <v>377662.5</v>
      </c>
      <c r="O12" s="64">
        <f>(1+JLAUNDRY!$K$16)^-A12</f>
        <v>1</v>
      </c>
      <c r="P12" s="70">
        <f t="shared" si="5"/>
        <v>63112.5</v>
      </c>
      <c r="Q12" s="73">
        <f t="shared" si="6"/>
        <v>377662.5</v>
      </c>
    </row>
    <row r="13" spans="1:17">
      <c r="A13" s="35">
        <v>9</v>
      </c>
      <c r="B13" s="33">
        <f>JLAUNDRY!$K$5</f>
        <v>360</v>
      </c>
      <c r="C13" s="33">
        <f>$C$5</f>
        <v>250</v>
      </c>
      <c r="D13" s="33">
        <f t="shared" si="7"/>
        <v>90000</v>
      </c>
      <c r="E13" s="64">
        <f t="shared" si="8"/>
        <v>19875</v>
      </c>
      <c r="F13" s="64">
        <f t="shared" si="2"/>
        <v>70125</v>
      </c>
      <c r="G13" s="33"/>
      <c r="H13" s="33"/>
      <c r="I13" s="64">
        <f t="shared" si="3"/>
        <v>70125</v>
      </c>
      <c r="J13" s="33">
        <f t="shared" si="9"/>
        <v>0</v>
      </c>
      <c r="K13" s="64">
        <f t="shared" si="10"/>
        <v>70125</v>
      </c>
      <c r="L13" s="71">
        <f>IF(K13&gt;0,K13*JLAUNDRY!$K$15,0)</f>
        <v>7012.5</v>
      </c>
      <c r="M13" s="64">
        <f t="shared" si="1"/>
        <v>63112.5</v>
      </c>
      <c r="N13" s="64">
        <f t="shared" si="4"/>
        <v>440775</v>
      </c>
      <c r="O13" s="64">
        <f>(1+JLAUNDRY!$K$16)^-A13</f>
        <v>1</v>
      </c>
      <c r="P13" s="70">
        <f t="shared" si="5"/>
        <v>63112.5</v>
      </c>
      <c r="Q13" s="73">
        <f t="shared" si="6"/>
        <v>440775</v>
      </c>
    </row>
    <row r="14" spans="1:17">
      <c r="A14" s="60">
        <v>10</v>
      </c>
      <c r="B14" s="33">
        <f>JLAUNDRY!$K$5</f>
        <v>360</v>
      </c>
      <c r="C14" s="33">
        <f>$C$5</f>
        <v>250</v>
      </c>
      <c r="D14" s="33">
        <f t="shared" si="7"/>
        <v>90000</v>
      </c>
      <c r="E14" s="64">
        <f t="shared" si="8"/>
        <v>19875</v>
      </c>
      <c r="F14" s="64">
        <f t="shared" si="2"/>
        <v>70125</v>
      </c>
      <c r="G14" s="33"/>
      <c r="H14" s="33"/>
      <c r="I14" s="64">
        <f t="shared" si="3"/>
        <v>70125</v>
      </c>
      <c r="J14" s="33">
        <f t="shared" si="9"/>
        <v>0</v>
      </c>
      <c r="K14" s="64">
        <f t="shared" si="10"/>
        <v>70125</v>
      </c>
      <c r="L14" s="71">
        <f>IF(K14&gt;0,K14*JLAUNDRY!$K$15,0)</f>
        <v>7012.5</v>
      </c>
      <c r="M14" s="64">
        <f t="shared" si="1"/>
        <v>63112.5</v>
      </c>
      <c r="N14" s="64">
        <f t="shared" si="4"/>
        <v>503887.5</v>
      </c>
      <c r="O14" s="64">
        <f>(1+JLAUNDRY!$K$16)^-A14</f>
        <v>1</v>
      </c>
      <c r="P14" s="70">
        <f t="shared" si="5"/>
        <v>63112.5</v>
      </c>
      <c r="Q14" s="73">
        <f t="shared" si="6"/>
        <v>503887.5</v>
      </c>
    </row>
    <row r="15" spans="1:17">
      <c r="A15" s="35">
        <v>11</v>
      </c>
      <c r="B15" s="33">
        <f>JLAUNDRY!$K$5</f>
        <v>360</v>
      </c>
      <c r="C15" s="33">
        <f>$C$5</f>
        <v>250</v>
      </c>
      <c r="D15" s="33">
        <f t="shared" si="7"/>
        <v>90000</v>
      </c>
      <c r="E15" s="64">
        <f t="shared" si="8"/>
        <v>19875</v>
      </c>
      <c r="F15" s="64">
        <f t="shared" si="2"/>
        <v>70125</v>
      </c>
      <c r="G15" s="33"/>
      <c r="H15" s="33"/>
      <c r="I15" s="64">
        <f t="shared" si="3"/>
        <v>70125</v>
      </c>
      <c r="J15" s="33">
        <f t="shared" si="9"/>
        <v>0</v>
      </c>
      <c r="K15" s="64">
        <f t="shared" si="10"/>
        <v>70125</v>
      </c>
      <c r="L15" s="71">
        <f>IF(K15&gt;0,K15*JLAUNDRY!$K$15,0)</f>
        <v>7012.5</v>
      </c>
      <c r="M15" s="64">
        <f t="shared" si="1"/>
        <v>63112.5</v>
      </c>
      <c r="N15" s="64">
        <f t="shared" si="4"/>
        <v>567000</v>
      </c>
      <c r="O15" s="64">
        <f>(1+JLAUNDRY!$K$16)^-A15</f>
        <v>1</v>
      </c>
      <c r="P15" s="70">
        <f t="shared" si="5"/>
        <v>63112.5</v>
      </c>
      <c r="Q15" s="73">
        <f t="shared" si="6"/>
        <v>567000</v>
      </c>
    </row>
    <row r="16" spans="1:20">
      <c r="A16" s="60">
        <v>12</v>
      </c>
      <c r="B16" s="33">
        <f>JLAUNDRY!$K$5</f>
        <v>360</v>
      </c>
      <c r="C16" s="33">
        <f>$C$5</f>
        <v>250</v>
      </c>
      <c r="D16" s="33">
        <f t="shared" si="7"/>
        <v>90000</v>
      </c>
      <c r="E16" s="64">
        <f t="shared" ref="E16:E24" si="11">19875</f>
        <v>19875</v>
      </c>
      <c r="F16" s="64">
        <f t="shared" si="2"/>
        <v>70125</v>
      </c>
      <c r="G16" s="33"/>
      <c r="H16" s="33"/>
      <c r="I16" s="64">
        <f t="shared" si="3"/>
        <v>70125</v>
      </c>
      <c r="J16" s="33">
        <f t="shared" si="9"/>
        <v>0</v>
      </c>
      <c r="K16" s="64">
        <f t="shared" si="10"/>
        <v>70125</v>
      </c>
      <c r="L16" s="71">
        <f>IF(K16&gt;0,K16*JLAUNDRY!$K$15,0)</f>
        <v>7012.5</v>
      </c>
      <c r="M16" s="64">
        <f t="shared" si="1"/>
        <v>63112.5</v>
      </c>
      <c r="N16" s="64">
        <f t="shared" si="4"/>
        <v>630112.5</v>
      </c>
      <c r="O16" s="64">
        <f>(1+JLAUNDRY!$K$16)^-A16</f>
        <v>1</v>
      </c>
      <c r="P16" s="70">
        <f t="shared" si="5"/>
        <v>63112.5</v>
      </c>
      <c r="Q16" s="73">
        <f t="shared" si="6"/>
        <v>630112.5</v>
      </c>
      <c r="T16" s="74"/>
    </row>
    <row r="17" spans="1:19">
      <c r="A17" s="35">
        <v>13</v>
      </c>
      <c r="B17" s="33">
        <f>JLAUNDRY!$K$5</f>
        <v>360</v>
      </c>
      <c r="C17" s="33">
        <f>$C$5</f>
        <v>250</v>
      </c>
      <c r="D17" s="33">
        <f t="shared" si="7"/>
        <v>90000</v>
      </c>
      <c r="E17" s="64">
        <f t="shared" si="11"/>
        <v>19875</v>
      </c>
      <c r="F17" s="64">
        <f t="shared" si="2"/>
        <v>70125</v>
      </c>
      <c r="G17" s="33"/>
      <c r="H17" s="33"/>
      <c r="I17" s="64">
        <f t="shared" si="3"/>
        <v>70125</v>
      </c>
      <c r="J17" s="33">
        <f t="shared" si="9"/>
        <v>0</v>
      </c>
      <c r="K17" s="64">
        <f t="shared" si="10"/>
        <v>70125</v>
      </c>
      <c r="L17" s="71">
        <f>IF(K17&gt;0,K17*JLAUNDRY!$K$15,0)</f>
        <v>7012.5</v>
      </c>
      <c r="M17" s="64">
        <f t="shared" si="1"/>
        <v>63112.5</v>
      </c>
      <c r="N17" s="64">
        <f t="shared" si="4"/>
        <v>693225</v>
      </c>
      <c r="O17" s="64">
        <f>(1+JLAUNDRY!$K$16)^-A17</f>
        <v>1</v>
      </c>
      <c r="P17" s="70">
        <f t="shared" si="5"/>
        <v>63112.5</v>
      </c>
      <c r="Q17" s="73">
        <f t="shared" si="6"/>
        <v>693225</v>
      </c>
      <c r="S17">
        <f>JLAUNDRY!D22</f>
        <v>29880</v>
      </c>
    </row>
    <row r="18" spans="1:17">
      <c r="A18" s="60">
        <v>14</v>
      </c>
      <c r="B18" s="33">
        <f>JLAUNDRY!$K$5</f>
        <v>360</v>
      </c>
      <c r="C18" s="33">
        <f>$C$5</f>
        <v>250</v>
      </c>
      <c r="D18" s="33">
        <f t="shared" si="7"/>
        <v>90000</v>
      </c>
      <c r="E18" s="64">
        <f t="shared" si="11"/>
        <v>19875</v>
      </c>
      <c r="F18" s="64">
        <f t="shared" si="2"/>
        <v>70125</v>
      </c>
      <c r="G18" s="33"/>
      <c r="H18" s="33"/>
      <c r="I18" s="64">
        <f t="shared" si="3"/>
        <v>70125</v>
      </c>
      <c r="J18" s="33">
        <f t="shared" si="9"/>
        <v>0</v>
      </c>
      <c r="K18" s="64">
        <f t="shared" si="10"/>
        <v>70125</v>
      </c>
      <c r="L18" s="71">
        <f>IF(K18&gt;0,K18*JLAUNDRY!$K$15,0)</f>
        <v>7012.5</v>
      </c>
      <c r="M18" s="64">
        <f t="shared" si="1"/>
        <v>63112.5</v>
      </c>
      <c r="N18" s="64">
        <f t="shared" si="4"/>
        <v>756337.5</v>
      </c>
      <c r="O18" s="64">
        <f>(1+JLAUNDRY!$K$16)^-A18</f>
        <v>1</v>
      </c>
      <c r="P18" s="70">
        <f t="shared" si="5"/>
        <v>63112.5</v>
      </c>
      <c r="Q18" s="73">
        <f t="shared" si="6"/>
        <v>756337.5</v>
      </c>
    </row>
    <row r="19" spans="1:17">
      <c r="A19" s="35">
        <v>15</v>
      </c>
      <c r="B19" s="33">
        <f>JLAUNDRY!$K$5</f>
        <v>360</v>
      </c>
      <c r="C19" s="33">
        <f>$C$5</f>
        <v>250</v>
      </c>
      <c r="D19" s="33">
        <f t="shared" si="7"/>
        <v>90000</v>
      </c>
      <c r="E19" s="64">
        <f t="shared" si="11"/>
        <v>19875</v>
      </c>
      <c r="F19" s="64">
        <f t="shared" si="2"/>
        <v>70125</v>
      </c>
      <c r="G19" s="33"/>
      <c r="H19" s="33"/>
      <c r="I19" s="64">
        <f t="shared" si="3"/>
        <v>70125</v>
      </c>
      <c r="J19" s="33">
        <f t="shared" si="9"/>
        <v>0</v>
      </c>
      <c r="K19" s="64">
        <f t="shared" si="10"/>
        <v>70125</v>
      </c>
      <c r="L19" s="71">
        <f>IF(K19&gt;0,K19*JLAUNDRY!$K$15,0)</f>
        <v>7012.5</v>
      </c>
      <c r="M19" s="64">
        <f t="shared" si="1"/>
        <v>63112.5</v>
      </c>
      <c r="N19" s="64">
        <f t="shared" si="4"/>
        <v>819450</v>
      </c>
      <c r="O19" s="64">
        <f>(1+JLAUNDRY!$K$16)^-A19</f>
        <v>1</v>
      </c>
      <c r="P19" s="70">
        <f t="shared" si="5"/>
        <v>63112.5</v>
      </c>
      <c r="Q19" s="73">
        <f t="shared" si="6"/>
        <v>819450</v>
      </c>
    </row>
    <row r="20" spans="1:17">
      <c r="A20" s="60">
        <v>16</v>
      </c>
      <c r="B20" s="33">
        <f>JLAUNDRY!$K$5</f>
        <v>360</v>
      </c>
      <c r="C20" s="33">
        <f>$C$5</f>
        <v>250</v>
      </c>
      <c r="D20" s="33">
        <f t="shared" si="7"/>
        <v>90000</v>
      </c>
      <c r="E20" s="64">
        <f t="shared" si="11"/>
        <v>19875</v>
      </c>
      <c r="F20" s="64">
        <f t="shared" si="2"/>
        <v>70125</v>
      </c>
      <c r="G20" s="33"/>
      <c r="H20" s="33"/>
      <c r="I20" s="64">
        <f t="shared" si="3"/>
        <v>70125</v>
      </c>
      <c r="J20" s="33">
        <f t="shared" si="9"/>
        <v>0</v>
      </c>
      <c r="K20" s="64">
        <f t="shared" si="10"/>
        <v>70125</v>
      </c>
      <c r="L20" s="71">
        <f>IF(K20&gt;0,K20*JLAUNDRY!$K$15,0)</f>
        <v>7012.5</v>
      </c>
      <c r="M20" s="64">
        <f t="shared" si="1"/>
        <v>63112.5</v>
      </c>
      <c r="N20" s="64">
        <f t="shared" si="4"/>
        <v>882562.5</v>
      </c>
      <c r="O20" s="64">
        <f>(1+JLAUNDRY!$K$16)^-A20</f>
        <v>1</v>
      </c>
      <c r="P20" s="70">
        <f t="shared" si="5"/>
        <v>63112.5</v>
      </c>
      <c r="Q20" s="73">
        <f t="shared" si="6"/>
        <v>882562.5</v>
      </c>
    </row>
    <row r="21" spans="1:17">
      <c r="A21" s="35">
        <v>17</v>
      </c>
      <c r="B21" s="33">
        <f>JLAUNDRY!$K$5</f>
        <v>360</v>
      </c>
      <c r="C21" s="33">
        <f>$C$5</f>
        <v>250</v>
      </c>
      <c r="D21" s="33">
        <f t="shared" si="7"/>
        <v>90000</v>
      </c>
      <c r="E21" s="64">
        <f t="shared" si="11"/>
        <v>19875</v>
      </c>
      <c r="F21" s="64">
        <f t="shared" si="2"/>
        <v>70125</v>
      </c>
      <c r="G21" s="33"/>
      <c r="H21" s="33"/>
      <c r="I21" s="64">
        <f t="shared" si="3"/>
        <v>70125</v>
      </c>
      <c r="J21" s="33">
        <f t="shared" si="9"/>
        <v>0</v>
      </c>
      <c r="K21" s="64">
        <f t="shared" si="10"/>
        <v>70125</v>
      </c>
      <c r="L21" s="71">
        <f>IF(K21&gt;0,K21*JLAUNDRY!$K$15,0)</f>
        <v>7012.5</v>
      </c>
      <c r="M21" s="64">
        <f t="shared" si="1"/>
        <v>63112.5</v>
      </c>
      <c r="N21" s="64">
        <f t="shared" si="4"/>
        <v>945675</v>
      </c>
      <c r="O21" s="64">
        <f>(1+JLAUNDRY!$K$16)^-A21</f>
        <v>1</v>
      </c>
      <c r="P21" s="70">
        <f t="shared" si="5"/>
        <v>63112.5</v>
      </c>
      <c r="Q21" s="73">
        <f t="shared" si="6"/>
        <v>945675</v>
      </c>
    </row>
    <row r="22" spans="1:17">
      <c r="A22" s="60">
        <v>18</v>
      </c>
      <c r="B22" s="33">
        <f>JLAUNDRY!$K$5</f>
        <v>360</v>
      </c>
      <c r="C22" s="33">
        <f>$C$5</f>
        <v>250</v>
      </c>
      <c r="D22" s="33">
        <f t="shared" si="7"/>
        <v>90000</v>
      </c>
      <c r="E22" s="64">
        <f t="shared" si="11"/>
        <v>19875</v>
      </c>
      <c r="F22" s="64">
        <f t="shared" si="2"/>
        <v>70125</v>
      </c>
      <c r="G22" s="33"/>
      <c r="H22" s="33"/>
      <c r="I22" s="64">
        <f t="shared" si="3"/>
        <v>70125</v>
      </c>
      <c r="J22" s="33">
        <f t="shared" si="9"/>
        <v>0</v>
      </c>
      <c r="K22" s="64">
        <f t="shared" si="10"/>
        <v>70125</v>
      </c>
      <c r="L22" s="71">
        <f>IF(K22&gt;0,K22*JLAUNDRY!$K$15,0)</f>
        <v>7012.5</v>
      </c>
      <c r="M22" s="64">
        <f t="shared" si="1"/>
        <v>63112.5</v>
      </c>
      <c r="N22" s="64">
        <f t="shared" si="4"/>
        <v>1008787.5</v>
      </c>
      <c r="O22" s="64">
        <f>(1+JLAUNDRY!$K$16)^-A22</f>
        <v>1</v>
      </c>
      <c r="P22" s="70">
        <f t="shared" si="5"/>
        <v>63112.5</v>
      </c>
      <c r="Q22" s="73">
        <f t="shared" si="6"/>
        <v>1008787.5</v>
      </c>
    </row>
    <row r="23" spans="1:17">
      <c r="A23" s="35">
        <v>19</v>
      </c>
      <c r="B23" s="33">
        <f>JLAUNDRY!$K$5</f>
        <v>360</v>
      </c>
      <c r="C23" s="33">
        <f>$C$5</f>
        <v>250</v>
      </c>
      <c r="D23" s="33">
        <f t="shared" si="7"/>
        <v>90000</v>
      </c>
      <c r="E23" s="64">
        <f t="shared" si="11"/>
        <v>19875</v>
      </c>
      <c r="F23" s="64">
        <f t="shared" si="2"/>
        <v>70125</v>
      </c>
      <c r="G23" s="33"/>
      <c r="H23" s="33"/>
      <c r="I23" s="64">
        <f t="shared" si="3"/>
        <v>70125</v>
      </c>
      <c r="J23" s="33">
        <f t="shared" si="9"/>
        <v>0</v>
      </c>
      <c r="K23" s="64">
        <f t="shared" si="10"/>
        <v>70125</v>
      </c>
      <c r="L23" s="71">
        <f>IF(K23&gt;0,K23*JLAUNDRY!$K$15,0)</f>
        <v>7012.5</v>
      </c>
      <c r="M23" s="64">
        <f t="shared" si="1"/>
        <v>63112.5</v>
      </c>
      <c r="N23" s="64">
        <f t="shared" si="4"/>
        <v>1071900</v>
      </c>
      <c r="O23" s="64">
        <f>(1+JLAUNDRY!$K$16)^-A23</f>
        <v>1</v>
      </c>
      <c r="P23" s="70">
        <f t="shared" si="5"/>
        <v>63112.5</v>
      </c>
      <c r="Q23" s="73">
        <f t="shared" si="6"/>
        <v>1071900</v>
      </c>
    </row>
    <row r="24" spans="1:18">
      <c r="A24" s="60">
        <v>20</v>
      </c>
      <c r="B24" s="33">
        <f>JLAUNDRY!$K$5</f>
        <v>360</v>
      </c>
      <c r="C24" s="33">
        <f>$C$5</f>
        <v>250</v>
      </c>
      <c r="D24" s="33">
        <f t="shared" si="7"/>
        <v>90000</v>
      </c>
      <c r="E24" s="64">
        <f t="shared" si="11"/>
        <v>19875</v>
      </c>
      <c r="F24" s="64">
        <f t="shared" si="2"/>
        <v>70125</v>
      </c>
      <c r="G24" s="33"/>
      <c r="H24" s="33"/>
      <c r="I24" s="64">
        <f t="shared" si="3"/>
        <v>70125</v>
      </c>
      <c r="J24" s="33">
        <f t="shared" si="9"/>
        <v>0</v>
      </c>
      <c r="K24" s="64">
        <f t="shared" si="10"/>
        <v>70125</v>
      </c>
      <c r="L24" s="71">
        <f>IF(K24&gt;0,K24*JLAUNDRY!$K$15,0)</f>
        <v>7012.5</v>
      </c>
      <c r="M24" s="64">
        <f t="shared" si="1"/>
        <v>63112.5</v>
      </c>
      <c r="N24" s="64">
        <f t="shared" si="4"/>
        <v>1135012.5</v>
      </c>
      <c r="O24" s="64">
        <f>(1+JLAUNDRY!$K$16)^-A24</f>
        <v>1</v>
      </c>
      <c r="P24" s="70">
        <f t="shared" si="5"/>
        <v>63112.5</v>
      </c>
      <c r="Q24" s="73">
        <f t="shared" si="6"/>
        <v>1135012.5</v>
      </c>
      <c r="R24" s="74"/>
    </row>
    <row r="25" spans="1:17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70">
        <f>SUM(P4:P24)</f>
        <v>1135012.5</v>
      </c>
      <c r="Q25" s="33"/>
    </row>
  </sheetData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78"/>
  <sheetViews>
    <sheetView zoomScale="69" zoomScaleNormal="69" topLeftCell="A54" workbookViewId="0">
      <selection activeCell="J72" sqref="J72"/>
    </sheetView>
  </sheetViews>
  <sheetFormatPr defaultColWidth="9.14285714285714" defaultRowHeight="15"/>
  <cols>
    <col min="2" max="2" width="20.7142857142857" customWidth="1"/>
    <col min="3" max="3" width="14"/>
    <col min="4" max="4" width="11.7142857142857"/>
    <col min="5" max="6" width="10.2857142857143"/>
    <col min="7" max="8" width="11"/>
    <col min="9" max="14" width="10.5714285714286"/>
    <col min="15" max="15" width="11"/>
    <col min="16" max="21" width="10.5714285714286"/>
    <col min="22" max="22" width="11.7142857142857"/>
    <col min="23" max="23" width="12.8571428571429"/>
  </cols>
  <sheetData>
    <row r="1" ht="47.25" spans="1:6">
      <c r="A1" s="1" t="s">
        <v>114</v>
      </c>
      <c r="B1" s="2"/>
      <c r="C1" s="2"/>
      <c r="D1" s="2"/>
      <c r="E1" s="2"/>
      <c r="F1" s="2"/>
    </row>
    <row r="4" spans="1:2">
      <c r="A4" s="3" t="s">
        <v>52</v>
      </c>
      <c r="B4" s="4">
        <f>FORECAST(0,$C$6:$F$6,$C$7:$F$7)</f>
        <v>0.580861663161033</v>
      </c>
    </row>
    <row r="6" spans="2:12">
      <c r="B6" s="5" t="s">
        <v>53</v>
      </c>
      <c r="C6" s="6">
        <f>JLAUNDRY!K16</f>
        <v>0</v>
      </c>
      <c r="D6" s="6">
        <f>D11</f>
        <v>0.05</v>
      </c>
      <c r="E6" s="6">
        <f>$D$18</f>
        <v>0.2</v>
      </c>
      <c r="F6" s="6">
        <f>D25</f>
        <v>0.85</v>
      </c>
      <c r="H6" s="7"/>
      <c r="I6" s="22"/>
      <c r="J6" s="22"/>
      <c r="K6" s="22"/>
      <c r="L6" s="22"/>
    </row>
    <row r="7" spans="2:12">
      <c r="B7" s="8" t="s">
        <v>54</v>
      </c>
      <c r="C7" s="9">
        <f>'JLAUNDRY 2'!P25</f>
        <v>1135012.5</v>
      </c>
      <c r="D7">
        <f>W15</f>
        <v>662310.276824925</v>
      </c>
      <c r="E7">
        <f>SUM($B$22:$V$22)</f>
        <v>193053.018560244</v>
      </c>
      <c r="F7" s="9">
        <f>V29</f>
        <v>0.286207371811957</v>
      </c>
      <c r="H7" s="10"/>
      <c r="I7" s="23"/>
      <c r="J7" s="23"/>
      <c r="K7" s="23"/>
      <c r="L7" s="23"/>
    </row>
    <row r="11" spans="1:22">
      <c r="A11" s="11"/>
      <c r="B11" s="12" t="s">
        <v>55</v>
      </c>
      <c r="C11" s="8"/>
      <c r="D11" s="8">
        <f>JLAUNDRY!K16+5%</f>
        <v>0.05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26"/>
    </row>
    <row r="12" spans="1:22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 s="27">
        <v>20</v>
      </c>
    </row>
    <row r="13" ht="60" spans="1:22">
      <c r="A13" s="11" t="s">
        <v>57</v>
      </c>
      <c r="B13" s="14">
        <f>'JLAUNDRY 2'!M4</f>
        <v>0</v>
      </c>
      <c r="C13" s="14">
        <f>'JLAUNDRY 2'!M5</f>
        <v>-92175</v>
      </c>
      <c r="D13" s="14">
        <f>'JLAUNDRY 2'!M6</f>
        <v>70125</v>
      </c>
      <c r="E13" s="14">
        <f>'JLAUNDRY 2'!M7</f>
        <v>70125</v>
      </c>
      <c r="F13" s="14">
        <f>'JLAUNDRY 2'!M8</f>
        <v>70125</v>
      </c>
      <c r="G13" s="14">
        <f>'JLAUNDRY 2'!M9</f>
        <v>70125</v>
      </c>
      <c r="H13" s="14">
        <f>'JLAUNDRY 2'!M10</f>
        <v>63112.5</v>
      </c>
      <c r="I13" s="14">
        <f>'JLAUNDRY 2'!M11</f>
        <v>63112.5</v>
      </c>
      <c r="J13" s="14">
        <f>'JLAUNDRY 2'!M12</f>
        <v>63112.5</v>
      </c>
      <c r="K13" s="14">
        <f>'JLAUNDRY 2'!M13</f>
        <v>63112.5</v>
      </c>
      <c r="L13" s="14">
        <f>'JLAUNDRY 2'!M14</f>
        <v>63112.5</v>
      </c>
      <c r="M13" s="14">
        <f>'JLAUNDRY 2'!M15</f>
        <v>63112.5</v>
      </c>
      <c r="N13" s="14">
        <f>'JLAUNDRY 2'!M16</f>
        <v>63112.5</v>
      </c>
      <c r="O13" s="14">
        <f>'JLAUNDRY 2'!M17</f>
        <v>63112.5</v>
      </c>
      <c r="P13" s="14">
        <f>'JLAUNDRY 2'!M18</f>
        <v>63112.5</v>
      </c>
      <c r="Q13" s="14">
        <f>'JLAUNDRY 2'!M19</f>
        <v>63112.5</v>
      </c>
      <c r="R13" s="14">
        <f>'JLAUNDRY 2'!M20</f>
        <v>63112.5</v>
      </c>
      <c r="S13" s="14">
        <f>'JLAUNDRY 2'!M21</f>
        <v>63112.5</v>
      </c>
      <c r="T13" s="14">
        <f>'JLAUNDRY 2'!M22</f>
        <v>63112.5</v>
      </c>
      <c r="U13" s="14">
        <f>'JLAUNDRY 2'!M23</f>
        <v>63112.5</v>
      </c>
      <c r="V13" s="28">
        <f>'JLAUNDRY 2'!M24</f>
        <v>63112.5</v>
      </c>
    </row>
    <row r="14" ht="30" spans="1:22">
      <c r="A14" s="11" t="s">
        <v>58</v>
      </c>
      <c r="B14" s="14">
        <f>(1+$D$11)^-B12</f>
        <v>1</v>
      </c>
      <c r="C14" s="14">
        <f>(1+$D$11)^-C12</f>
        <v>0.952380952380952</v>
      </c>
      <c r="D14" s="14">
        <f>(1+$D$11)^-D12</f>
        <v>0.90702947845805</v>
      </c>
      <c r="E14" s="14">
        <f>(1+$D$11)^-E12</f>
        <v>0.863837598531476</v>
      </c>
      <c r="F14" s="14">
        <f>(1+$D$11)^-F12</f>
        <v>0.822702474791882</v>
      </c>
      <c r="G14" s="14">
        <f>(1+$D$11)^-G12</f>
        <v>0.783526166468459</v>
      </c>
      <c r="H14" s="14">
        <f>(1+$D$11)^-H12</f>
        <v>0.746215396636628</v>
      </c>
      <c r="I14" s="14">
        <f>(1+$D$11)^-I12</f>
        <v>0.710681330130121</v>
      </c>
      <c r="J14" s="14">
        <f>(1+$D$11)^-J12</f>
        <v>0.676839362028687</v>
      </c>
      <c r="K14" s="14">
        <f>(1+$D$11)^-K12</f>
        <v>0.644608916217797</v>
      </c>
      <c r="L14" s="14">
        <f>(1+$D$11)^-L12</f>
        <v>0.613913253540759</v>
      </c>
      <c r="M14" s="14">
        <f>(1+$D$11)^-M12</f>
        <v>0.584679289086437</v>
      </c>
      <c r="N14" s="14">
        <f>(1+$D$11)^-N12</f>
        <v>0.556837418177559</v>
      </c>
      <c r="O14" s="14">
        <f>(1+$D$11)^-O12</f>
        <v>0.530321350645295</v>
      </c>
      <c r="P14" s="14">
        <f>(1+$D$11)^-P12</f>
        <v>0.505067952995519</v>
      </c>
      <c r="Q14" s="14">
        <f>(1+$D$11)^-Q12</f>
        <v>0.48101709809097</v>
      </c>
      <c r="R14" s="14">
        <f>(1+$D$11)^-R12</f>
        <v>0.4581115219914</v>
      </c>
      <c r="S14" s="14">
        <f>(1+$D$11)^-S12</f>
        <v>0.436296687610857</v>
      </c>
      <c r="T14" s="14">
        <f>(1+$D$11)^-T12</f>
        <v>0.415520654867483</v>
      </c>
      <c r="U14" s="14">
        <f>(1+$D$11)^-U12</f>
        <v>0.39573395701665</v>
      </c>
      <c r="V14" s="28">
        <f>(1+$D$11)^-V12</f>
        <v>0.376889482873</v>
      </c>
    </row>
    <row r="15" ht="30" spans="1:23">
      <c r="A15" s="11" t="s">
        <v>59</v>
      </c>
      <c r="B15" s="15">
        <f t="shared" ref="B15:N15" si="0">B13*B14</f>
        <v>0</v>
      </c>
      <c r="C15" s="15">
        <f t="shared" si="0"/>
        <v>-87785.7142857142</v>
      </c>
      <c r="D15" s="15">
        <f t="shared" si="0"/>
        <v>63605.4421768708</v>
      </c>
      <c r="E15" s="15">
        <f t="shared" si="0"/>
        <v>60576.6115970198</v>
      </c>
      <c r="F15" s="15">
        <f t="shared" si="0"/>
        <v>57692.0110447807</v>
      </c>
      <c r="G15" s="15">
        <f t="shared" si="0"/>
        <v>54944.7724236007</v>
      </c>
      <c r="H15" s="15">
        <f t="shared" si="0"/>
        <v>47095.5192202292</v>
      </c>
      <c r="I15" s="15">
        <f t="shared" si="0"/>
        <v>44852.8754478373</v>
      </c>
      <c r="J15" s="15">
        <f t="shared" si="0"/>
        <v>42717.0242360355</v>
      </c>
      <c r="K15" s="15">
        <f t="shared" si="0"/>
        <v>40682.8802247957</v>
      </c>
      <c r="L15" s="15">
        <f t="shared" si="0"/>
        <v>38745.6002140912</v>
      </c>
      <c r="M15" s="15">
        <f t="shared" si="0"/>
        <v>36900.5716324678</v>
      </c>
      <c r="N15" s="15">
        <f t="shared" si="0"/>
        <v>35143.4015547312</v>
      </c>
      <c r="O15" s="15">
        <f t="shared" ref="O15:V15" si="1">N13*O14</f>
        <v>33469.9062426012</v>
      </c>
      <c r="P15" s="15">
        <f t="shared" si="1"/>
        <v>31876.1011834297</v>
      </c>
      <c r="Q15" s="15">
        <f t="shared" si="1"/>
        <v>30358.1916032663</v>
      </c>
      <c r="R15" s="15">
        <f t="shared" si="1"/>
        <v>28912.5634316822</v>
      </c>
      <c r="S15" s="15">
        <f t="shared" si="1"/>
        <v>27535.7746968402</v>
      </c>
      <c r="T15" s="15">
        <f t="shared" si="1"/>
        <v>26224.547330324</v>
      </c>
      <c r="U15" s="15">
        <f t="shared" si="1"/>
        <v>24975.7593622133</v>
      </c>
      <c r="V15" s="29">
        <f t="shared" si="1"/>
        <v>23786.4374878222</v>
      </c>
      <c r="W15">
        <f>SUM($B$15:$V$15)</f>
        <v>662310.276824925</v>
      </c>
    </row>
    <row r="18" spans="1:22">
      <c r="A18" s="16"/>
      <c r="B18" s="12" t="s">
        <v>55</v>
      </c>
      <c r="C18" s="8"/>
      <c r="D18" s="8">
        <f>D11+15%</f>
        <v>0.2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</row>
    <row r="19" spans="1:22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</row>
    <row r="20" ht="60" spans="1:22">
      <c r="A20" s="17" t="s">
        <v>57</v>
      </c>
      <c r="B20" s="14">
        <f t="shared" ref="B20:N20" si="2">B13</f>
        <v>0</v>
      </c>
      <c r="C20" s="14">
        <f t="shared" si="2"/>
        <v>-92175</v>
      </c>
      <c r="D20" s="14">
        <f t="shared" si="2"/>
        <v>70125</v>
      </c>
      <c r="E20" s="14">
        <f t="shared" si="2"/>
        <v>70125</v>
      </c>
      <c r="F20" s="14">
        <f t="shared" si="2"/>
        <v>70125</v>
      </c>
      <c r="G20" s="14">
        <f t="shared" si="2"/>
        <v>70125</v>
      </c>
      <c r="H20" s="14">
        <f t="shared" si="2"/>
        <v>63112.5</v>
      </c>
      <c r="I20" s="14">
        <f t="shared" si="2"/>
        <v>63112.5</v>
      </c>
      <c r="J20" s="14">
        <f t="shared" si="2"/>
        <v>63112.5</v>
      </c>
      <c r="K20" s="14">
        <f t="shared" si="2"/>
        <v>63112.5</v>
      </c>
      <c r="L20" s="14">
        <f t="shared" si="2"/>
        <v>63112.5</v>
      </c>
      <c r="M20" s="14">
        <f t="shared" si="2"/>
        <v>63112.5</v>
      </c>
      <c r="N20" s="14">
        <f t="shared" si="2"/>
        <v>63112.5</v>
      </c>
      <c r="O20" s="14">
        <f t="shared" ref="O20:Q20" si="3">N13</f>
        <v>63112.5</v>
      </c>
      <c r="P20" s="14">
        <f t="shared" si="3"/>
        <v>63112.5</v>
      </c>
      <c r="Q20" s="14">
        <f t="shared" si="3"/>
        <v>63112.5</v>
      </c>
      <c r="R20" s="14">
        <f t="shared" ref="R20:V20" si="4">R13</f>
        <v>63112.5</v>
      </c>
      <c r="S20" s="14">
        <f t="shared" si="4"/>
        <v>63112.5</v>
      </c>
      <c r="T20" s="14">
        <f t="shared" si="4"/>
        <v>63112.5</v>
      </c>
      <c r="U20" s="14">
        <f t="shared" si="4"/>
        <v>63112.5</v>
      </c>
      <c r="V20" s="14">
        <f t="shared" si="4"/>
        <v>63112.5</v>
      </c>
    </row>
    <row r="21" ht="30" spans="1:22">
      <c r="A21" s="17" t="s">
        <v>58</v>
      </c>
      <c r="B21" s="14">
        <f>(1+$D$18)^-B19</f>
        <v>1</v>
      </c>
      <c r="C21" s="14">
        <f>(1+$D$18)^-C19</f>
        <v>0.833333333333333</v>
      </c>
      <c r="D21" s="14">
        <f>(1+$D$18)^-D19</f>
        <v>0.694444444444445</v>
      </c>
      <c r="E21" s="14">
        <f>(1+$D$18)^-E19</f>
        <v>0.578703703703704</v>
      </c>
      <c r="F21" s="14">
        <f>(1+$D$18)^-F19</f>
        <v>0.482253086419753</v>
      </c>
      <c r="G21" s="14">
        <f>(1+$D$18)^-G19</f>
        <v>0.401877572016461</v>
      </c>
      <c r="H21" s="14">
        <f>(1+$D$18)^-H19</f>
        <v>0.334897976680384</v>
      </c>
      <c r="I21" s="14">
        <f>(1+$D$18)^-I19</f>
        <v>0.279081647233653</v>
      </c>
      <c r="J21" s="14">
        <f>(1+$D$18)^-J19</f>
        <v>0.232568039361378</v>
      </c>
      <c r="K21" s="14">
        <f>(1+$D$18)^-K19</f>
        <v>0.193806699467815</v>
      </c>
      <c r="L21" s="14">
        <f>(1+$D$18)^-L19</f>
        <v>0.161505582889846</v>
      </c>
      <c r="M21" s="14">
        <f>(1+$D$18)^-M19</f>
        <v>0.134587985741538</v>
      </c>
      <c r="N21" s="24">
        <f>(1+$D$18)^-N19</f>
        <v>0.112156654784615</v>
      </c>
      <c r="O21" s="14">
        <f>(1+$D$18)^-O19</f>
        <v>0.0934638789871793</v>
      </c>
      <c r="P21" s="14">
        <f>(1+$D$18)^-P19</f>
        <v>0.0778865658226494</v>
      </c>
      <c r="Q21" s="14">
        <f>(1+$D$18)^-Q19</f>
        <v>0.0649054715188745</v>
      </c>
      <c r="R21" s="14">
        <f>(1+$D$18)^-R19</f>
        <v>0.0540878929323954</v>
      </c>
      <c r="S21" s="14">
        <f>(1+$D$18)^-S19</f>
        <v>0.0450732441103295</v>
      </c>
      <c r="T21" s="14">
        <f>(1+$D$18)^-T19</f>
        <v>0.0375610367586079</v>
      </c>
      <c r="U21" s="14">
        <f>(1+$D$18)^-U19</f>
        <v>0.0313008639655066</v>
      </c>
      <c r="V21" s="14">
        <f>(1+$D$18)^-V19</f>
        <v>0.0260840533045888</v>
      </c>
    </row>
    <row r="22" ht="30" spans="1:23">
      <c r="A22" s="17" t="s">
        <v>59</v>
      </c>
      <c r="B22" s="15">
        <f t="shared" ref="B22:V22" si="5">B20*B21</f>
        <v>0</v>
      </c>
      <c r="C22" s="15">
        <f t="shared" si="5"/>
        <v>-76812.5</v>
      </c>
      <c r="D22" s="15">
        <f t="shared" si="5"/>
        <v>48697.9166666667</v>
      </c>
      <c r="E22" s="15">
        <f t="shared" si="5"/>
        <v>40581.5972222222</v>
      </c>
      <c r="F22" s="15">
        <f t="shared" si="5"/>
        <v>33817.9976851852</v>
      </c>
      <c r="G22" s="15">
        <f t="shared" si="5"/>
        <v>28181.6647376543</v>
      </c>
      <c r="H22" s="15">
        <f t="shared" si="5"/>
        <v>21136.2485532407</v>
      </c>
      <c r="I22" s="15">
        <f t="shared" si="5"/>
        <v>17613.5404610339</v>
      </c>
      <c r="J22" s="15">
        <f t="shared" si="5"/>
        <v>14677.950384195</v>
      </c>
      <c r="K22" s="15">
        <f t="shared" si="5"/>
        <v>12231.6253201625</v>
      </c>
      <c r="L22" s="15">
        <f t="shared" si="5"/>
        <v>10193.0211001354</v>
      </c>
      <c r="M22" s="15">
        <f t="shared" si="5"/>
        <v>8494.18425011282</v>
      </c>
      <c r="N22" s="15">
        <f t="shared" si="5"/>
        <v>7078.48687509401</v>
      </c>
      <c r="O22" s="15">
        <f t="shared" si="5"/>
        <v>5898.73906257835</v>
      </c>
      <c r="P22" s="15">
        <f t="shared" si="5"/>
        <v>4915.61588548196</v>
      </c>
      <c r="Q22" s="15">
        <f t="shared" si="5"/>
        <v>4096.34657123497</v>
      </c>
      <c r="R22" s="15">
        <f t="shared" si="5"/>
        <v>3413.6221426958</v>
      </c>
      <c r="S22" s="15">
        <f t="shared" si="5"/>
        <v>2844.68511891317</v>
      </c>
      <c r="T22" s="15">
        <f t="shared" si="5"/>
        <v>2370.57093242764</v>
      </c>
      <c r="U22" s="15">
        <f t="shared" si="5"/>
        <v>1975.47577702304</v>
      </c>
      <c r="V22" s="15">
        <f t="shared" si="5"/>
        <v>1646.22981418586</v>
      </c>
      <c r="W22">
        <f>SUM($B$22:$V$22)</f>
        <v>193053.018560244</v>
      </c>
    </row>
    <row r="25" spans="1:22">
      <c r="A25" s="16"/>
      <c r="B25" s="12" t="s">
        <v>55</v>
      </c>
      <c r="C25" s="8"/>
      <c r="D25" s="8">
        <f>D18+65%</f>
        <v>0.85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</row>
    <row r="26" spans="1:22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</row>
    <row r="27" ht="60" spans="1:22">
      <c r="A27" s="17" t="s">
        <v>57</v>
      </c>
      <c r="B27" s="14">
        <f t="shared" ref="B27:N27" si="6">B20</f>
        <v>0</v>
      </c>
      <c r="C27" s="14">
        <f t="shared" si="6"/>
        <v>-92175</v>
      </c>
      <c r="D27" s="14">
        <f t="shared" si="6"/>
        <v>70125</v>
      </c>
      <c r="E27" s="14">
        <f t="shared" si="6"/>
        <v>70125</v>
      </c>
      <c r="F27" s="14">
        <f t="shared" si="6"/>
        <v>70125</v>
      </c>
      <c r="G27" s="14">
        <f t="shared" si="6"/>
        <v>70125</v>
      </c>
      <c r="H27" s="14">
        <f t="shared" si="6"/>
        <v>63112.5</v>
      </c>
      <c r="I27" s="14">
        <f t="shared" si="6"/>
        <v>63112.5</v>
      </c>
      <c r="J27" s="14">
        <f t="shared" si="6"/>
        <v>63112.5</v>
      </c>
      <c r="K27" s="14">
        <f t="shared" si="6"/>
        <v>63112.5</v>
      </c>
      <c r="L27" s="14">
        <f t="shared" si="6"/>
        <v>63112.5</v>
      </c>
      <c r="M27" s="14">
        <f t="shared" si="6"/>
        <v>63112.5</v>
      </c>
      <c r="N27" s="14">
        <f t="shared" si="6"/>
        <v>63112.5</v>
      </c>
      <c r="O27" s="14">
        <f t="shared" ref="O27:Q27" si="7">N20</f>
        <v>63112.5</v>
      </c>
      <c r="P27" s="14">
        <f t="shared" si="7"/>
        <v>63112.5</v>
      </c>
      <c r="Q27" s="14">
        <f t="shared" si="7"/>
        <v>63112.5</v>
      </c>
      <c r="R27" s="14">
        <f t="shared" ref="R27:V27" si="8">R20</f>
        <v>63112.5</v>
      </c>
      <c r="S27" s="14">
        <f t="shared" si="8"/>
        <v>63112.5</v>
      </c>
      <c r="T27" s="14">
        <f t="shared" si="8"/>
        <v>63112.5</v>
      </c>
      <c r="U27" s="14">
        <f t="shared" si="8"/>
        <v>63112.5</v>
      </c>
      <c r="V27" s="14">
        <f t="shared" si="8"/>
        <v>63112.5</v>
      </c>
    </row>
    <row r="28" ht="30" spans="1:22">
      <c r="A28" s="17" t="s">
        <v>58</v>
      </c>
      <c r="B28" s="14">
        <f>(1+$D$18)^-B26</f>
        <v>1</v>
      </c>
      <c r="C28" s="14">
        <f>(1+$D$25)^-C26</f>
        <v>0.54054054054054</v>
      </c>
      <c r="D28" s="14">
        <f>(1+$D$25)^-D26</f>
        <v>0.29218407596786</v>
      </c>
      <c r="E28" s="14">
        <f>(1+$D$25)^-E26</f>
        <v>0.157937338361005</v>
      </c>
      <c r="F28" s="14">
        <f>(1+$D$25)^-F26</f>
        <v>0.085371534249192</v>
      </c>
      <c r="G28" s="14">
        <f>(1+$D$25)^-G26</f>
        <v>0.0461467752698335</v>
      </c>
      <c r="H28" s="14">
        <f>(1+$D$25)^-H26</f>
        <v>0.0249442028485587</v>
      </c>
      <c r="I28" s="14">
        <f>(1+$D$25)^-I26</f>
        <v>0.0134833528911128</v>
      </c>
      <c r="J28" s="14">
        <f>(1+$D$25)^-J26</f>
        <v>0.00728829886006097</v>
      </c>
      <c r="K28" s="14">
        <f>(1+$D$25)^-K26</f>
        <v>0.00393962100543836</v>
      </c>
      <c r="L28" s="14">
        <f>(1+$D$25)^-L26</f>
        <v>0.00212952486780452</v>
      </c>
      <c r="M28" s="14">
        <f>(1+$D$25)^-M26</f>
        <v>0.00115109452313758</v>
      </c>
      <c r="N28" s="14">
        <f>(1+$D$25)^-N26</f>
        <v>0.000622213255750042</v>
      </c>
      <c r="O28" s="14">
        <f>(1+$D$25)^-O26</f>
        <v>0.000336331489594617</v>
      </c>
      <c r="P28" s="14">
        <f>(1+$D$25)^-P26</f>
        <v>0.00018180080518628</v>
      </c>
      <c r="Q28" s="14">
        <f>(1+$D$25)^-Q26</f>
        <v>9.82707055060971e-5</v>
      </c>
      <c r="R28" s="14">
        <f>(1+$D$25)^-R26</f>
        <v>5.3119300273566e-5</v>
      </c>
      <c r="S28" s="14">
        <f>(1+$D$25)^-S26</f>
        <v>2.87131352830086e-5</v>
      </c>
      <c r="T28" s="14">
        <f>(1+$D$25)^-T26</f>
        <v>1.55206136664912e-5</v>
      </c>
      <c r="U28" s="14">
        <f>(1+$D$25)^-U26</f>
        <v>8.38952090080603e-6</v>
      </c>
      <c r="V28" s="14">
        <f>(1+$D$25)^-V26</f>
        <v>4.53487616259785e-6</v>
      </c>
    </row>
    <row r="29" ht="30" spans="1:22">
      <c r="A29" s="17" t="s">
        <v>59</v>
      </c>
      <c r="B29" s="15">
        <f t="shared" ref="B29:V29" si="9">B27*B28</f>
        <v>0</v>
      </c>
      <c r="C29" s="15">
        <f t="shared" si="9"/>
        <v>-49824.3243243243</v>
      </c>
      <c r="D29" s="15">
        <f t="shared" si="9"/>
        <v>20489.4083272462</v>
      </c>
      <c r="E29" s="15">
        <f t="shared" si="9"/>
        <v>11075.3558525655</v>
      </c>
      <c r="F29" s="15">
        <f t="shared" si="9"/>
        <v>5986.67883922459</v>
      </c>
      <c r="G29" s="15">
        <f t="shared" si="9"/>
        <v>3236.04261579707</v>
      </c>
      <c r="H29" s="15">
        <f t="shared" si="9"/>
        <v>1574.29100227966</v>
      </c>
      <c r="I29" s="15">
        <f t="shared" si="9"/>
        <v>850.968109340357</v>
      </c>
      <c r="J29" s="15">
        <f t="shared" si="9"/>
        <v>459.982761805598</v>
      </c>
      <c r="K29" s="15">
        <f t="shared" si="9"/>
        <v>248.639330705728</v>
      </c>
      <c r="L29" s="15">
        <f t="shared" si="9"/>
        <v>134.399638219313</v>
      </c>
      <c r="M29" s="15">
        <f t="shared" si="9"/>
        <v>72.6484530915205</v>
      </c>
      <c r="N29" s="15">
        <f t="shared" si="9"/>
        <v>39.2694341035245</v>
      </c>
      <c r="O29" s="15">
        <f t="shared" si="9"/>
        <v>21.2267211370403</v>
      </c>
      <c r="P29" s="15">
        <f t="shared" si="9"/>
        <v>11.4739033173191</v>
      </c>
      <c r="Q29" s="15">
        <f t="shared" si="9"/>
        <v>6.20210990125355</v>
      </c>
      <c r="R29" s="15">
        <f t="shared" si="9"/>
        <v>3.35249183851543</v>
      </c>
      <c r="S29" s="15">
        <f t="shared" si="9"/>
        <v>1.81215775054888</v>
      </c>
      <c r="T29" s="15">
        <f t="shared" si="9"/>
        <v>0.979544730026426</v>
      </c>
      <c r="U29" s="15">
        <f t="shared" si="9"/>
        <v>0.529483637852121</v>
      </c>
      <c r="V29" s="15">
        <f t="shared" si="9"/>
        <v>0.286207371811957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FORECAST(0,I61:J61,I60:J60)</f>
        <v>2.01604278074866</v>
      </c>
    </row>
    <row r="60" ht="30" spans="2:23">
      <c r="B60" s="17" t="s">
        <v>62</v>
      </c>
      <c r="C60" s="20">
        <f>'JLAUNDRY 2'!Q4</f>
        <v>0</v>
      </c>
      <c r="D60" s="20">
        <f>'JLAUNDRY 2'!Q5</f>
        <v>-92175</v>
      </c>
      <c r="E60" s="20">
        <f>'JLAUNDRY 2'!Q6</f>
        <v>-22050</v>
      </c>
      <c r="F60" s="20">
        <f>'JLAUNDRY 2'!Q7</f>
        <v>48075</v>
      </c>
      <c r="G60" s="20">
        <f>'JLAUNDRY 2'!Q8</f>
        <v>118200</v>
      </c>
      <c r="H60" s="20">
        <f>'JLAUNDRY 2'!Q9</f>
        <v>188325</v>
      </c>
      <c r="I60" s="20">
        <f>'JLAUNDRY 2'!Q10</f>
        <v>251437.5</v>
      </c>
      <c r="J60" s="20">
        <f>'JLAUNDRY 2'!Q11</f>
        <v>314550</v>
      </c>
      <c r="K60" s="20">
        <f>'JLAUNDRY 2'!Q12</f>
        <v>377662.5</v>
      </c>
      <c r="L60" s="20">
        <f>'JLAUNDRY 2'!Q13</f>
        <v>440775</v>
      </c>
      <c r="M60" s="20">
        <f>'JLAUNDRY 2'!Q14</f>
        <v>503887.5</v>
      </c>
      <c r="N60" s="20">
        <f>'JLAUNDRY 2'!Q15</f>
        <v>567000</v>
      </c>
      <c r="O60" s="20">
        <f>'JLAUNDRY 2'!Q16</f>
        <v>630112.5</v>
      </c>
      <c r="P60" s="20">
        <f>'JLAUNDRY 2'!Q17</f>
        <v>693225</v>
      </c>
      <c r="Q60" s="20">
        <f>'JLAUNDRY 2'!Q18</f>
        <v>756337.5</v>
      </c>
      <c r="R60" s="20">
        <f>'JLAUNDRY 2'!Q19</f>
        <v>819450</v>
      </c>
      <c r="S60" s="20">
        <f>'JLAUNDRY 2'!Q20</f>
        <v>882562.5</v>
      </c>
      <c r="T60" s="20">
        <f>'JLAUNDRY 2'!Q21</f>
        <v>945675</v>
      </c>
      <c r="U60" s="20">
        <f>'JLAUNDRY 2'!Q22</f>
        <v>1008787.5</v>
      </c>
      <c r="V60" s="20">
        <f>'JLAUNDRY 2'!Q23</f>
        <v>1071900</v>
      </c>
      <c r="W60" s="20">
        <f>'JLAUNDRY 2'!R23</f>
        <v>0</v>
      </c>
    </row>
    <row r="61" spans="2:23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</row>
    <row r="62" ht="30" spans="2:23">
      <c r="B62" s="17" t="s">
        <v>62</v>
      </c>
      <c r="C62" s="21">
        <f t="shared" ref="C62:V62" si="10">C60</f>
        <v>0</v>
      </c>
      <c r="D62" s="21">
        <f t="shared" si="10"/>
        <v>-92175</v>
      </c>
      <c r="E62" s="21">
        <f t="shared" si="10"/>
        <v>-22050</v>
      </c>
      <c r="F62" s="21">
        <f t="shared" si="10"/>
        <v>48075</v>
      </c>
      <c r="G62" s="21">
        <f t="shared" si="10"/>
        <v>118200</v>
      </c>
      <c r="H62" s="21">
        <f t="shared" si="10"/>
        <v>188325</v>
      </c>
      <c r="I62" s="21">
        <f t="shared" si="10"/>
        <v>251437.5</v>
      </c>
      <c r="J62" s="21">
        <f t="shared" si="10"/>
        <v>314550</v>
      </c>
      <c r="K62" s="21">
        <f t="shared" si="10"/>
        <v>377662.5</v>
      </c>
      <c r="L62" s="21">
        <f t="shared" si="10"/>
        <v>440775</v>
      </c>
      <c r="M62" s="21">
        <f t="shared" si="10"/>
        <v>503887.5</v>
      </c>
      <c r="N62" s="21">
        <f t="shared" si="10"/>
        <v>567000</v>
      </c>
      <c r="O62" s="21">
        <f t="shared" si="10"/>
        <v>630112.5</v>
      </c>
      <c r="P62" s="21">
        <f t="shared" si="10"/>
        <v>693225</v>
      </c>
      <c r="Q62" s="21">
        <f t="shared" si="10"/>
        <v>756337.5</v>
      </c>
      <c r="R62" s="21">
        <f t="shared" si="10"/>
        <v>819450</v>
      </c>
      <c r="S62" s="21">
        <f t="shared" si="10"/>
        <v>882562.5</v>
      </c>
      <c r="T62" s="21">
        <f t="shared" si="10"/>
        <v>945675</v>
      </c>
      <c r="U62" s="21">
        <f t="shared" si="10"/>
        <v>1008787.5</v>
      </c>
      <c r="V62" s="21">
        <f t="shared" si="10"/>
        <v>1071900</v>
      </c>
      <c r="W62" s="21">
        <f>'JLAUNDRY 2'!Q24</f>
        <v>1135012.5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JLAUNDRY!K16</f>
        <v>0</v>
      </c>
      <c r="D104" s="33"/>
    </row>
    <row r="105" spans="1:4">
      <c r="A105" s="31"/>
      <c r="B105" s="33" t="s">
        <v>72</v>
      </c>
      <c r="C105" s="33">
        <f>JLAUNDRY!D13/10^6</f>
        <v>0.1623</v>
      </c>
      <c r="D105" s="33" t="s">
        <v>73</v>
      </c>
    </row>
    <row r="106" spans="1:4">
      <c r="A106" s="31"/>
      <c r="B106" s="33" t="s">
        <v>74</v>
      </c>
      <c r="C106" s="33">
        <f>C7</f>
        <v>1135012.5</v>
      </c>
      <c r="D106" s="33" t="s">
        <v>73</v>
      </c>
    </row>
    <row r="107" spans="1:4">
      <c r="A107" s="31"/>
      <c r="B107" s="33" t="s">
        <v>66</v>
      </c>
      <c r="C107" s="33">
        <f>JLAUNDRY!D13/10^6</f>
        <v>0.1623</v>
      </c>
      <c r="D107" s="33"/>
    </row>
    <row r="108" spans="1:4">
      <c r="A108" s="31"/>
      <c r="B108" s="35" t="s">
        <v>64</v>
      </c>
      <c r="C108" s="35">
        <f>C106/C107</f>
        <v>6993299.44547135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6993299.44547135</v>
      </c>
      <c r="D113" s="31"/>
    </row>
    <row r="114" spans="1:4">
      <c r="A114" s="31"/>
      <c r="B114" s="37" t="s">
        <v>76</v>
      </c>
      <c r="C114" s="37">
        <f>1+C113</f>
        <v>6993300.44547135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1135012.5</v>
      </c>
    </row>
    <row r="123" spans="1:3">
      <c r="A123" s="3" t="s">
        <v>83</v>
      </c>
      <c r="B123" s="3"/>
      <c r="C123">
        <f>FORECAST(0,C125:E125,C126:E126)</f>
        <v>120.398531101572</v>
      </c>
    </row>
    <row r="125" spans="2:5">
      <c r="B125" t="s">
        <v>84</v>
      </c>
      <c r="C125" s="6">
        <f>JLAUNDRY!K6</f>
        <v>250</v>
      </c>
      <c r="D125" s="6">
        <f>B131</f>
        <v>200</v>
      </c>
      <c r="E125" s="6">
        <f>B155</f>
        <v>150</v>
      </c>
    </row>
    <row r="126" spans="2:5">
      <c r="B126" t="s">
        <v>54</v>
      </c>
      <c r="C126" s="6">
        <f>'JLAUNDRY 2'!Q24</f>
        <v>1135012.5</v>
      </c>
      <c r="D126" s="6">
        <f>Q153</f>
        <v>625344</v>
      </c>
      <c r="E126" s="6">
        <f>Q177</f>
        <v>288744</v>
      </c>
    </row>
    <row r="131" spans="1:2">
      <c r="A131" t="s">
        <v>85</v>
      </c>
      <c r="B131">
        <f>C125-50</f>
        <v>200</v>
      </c>
    </row>
    <row r="132" ht="33.75" spans="1:17">
      <c r="A132" s="40" t="s">
        <v>34</v>
      </c>
      <c r="B132" s="41" t="s">
        <v>35</v>
      </c>
      <c r="C132" s="41" t="s">
        <v>36</v>
      </c>
      <c r="D132" s="41" t="s">
        <v>86</v>
      </c>
      <c r="E132" s="41" t="s">
        <v>87</v>
      </c>
      <c r="F132" s="41" t="s">
        <v>88</v>
      </c>
      <c r="G132" s="41" t="s">
        <v>40</v>
      </c>
      <c r="H132" s="41" t="s">
        <v>89</v>
      </c>
      <c r="I132" s="41" t="s">
        <v>90</v>
      </c>
      <c r="J132" s="41" t="s">
        <v>91</v>
      </c>
      <c r="K132" s="48" t="s">
        <v>92</v>
      </c>
      <c r="L132" s="49" t="s">
        <v>93</v>
      </c>
      <c r="M132" s="49" t="s">
        <v>94</v>
      </c>
      <c r="N132" s="49" t="s">
        <v>95</v>
      </c>
      <c r="O132" s="49" t="s">
        <v>48</v>
      </c>
      <c r="P132" s="49" t="s">
        <v>96</v>
      </c>
      <c r="Q132" s="49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JLAUNDRY!D13</f>
        <v>162300</v>
      </c>
      <c r="H133" s="44"/>
      <c r="I133" s="44"/>
      <c r="J133" s="44"/>
      <c r="K133" s="47">
        <f>J133</f>
        <v>0</v>
      </c>
      <c r="L133" s="50">
        <f>IF(K133&gt;0,K133*SALICYLIC [3]ACID!$K$15,0)</f>
        <v>0</v>
      </c>
      <c r="M133" s="47">
        <f t="shared" ref="M133:M153" si="11">I133-L133</f>
        <v>0</v>
      </c>
      <c r="N133" s="47">
        <v>0</v>
      </c>
      <c r="O133" s="47">
        <f>(1+JLAUNDRY!$K$16)^-A133</f>
        <v>1</v>
      </c>
      <c r="P133" s="51">
        <f>N133*O133</f>
        <v>0</v>
      </c>
      <c r="Q133" s="54">
        <f>P133</f>
        <v>0</v>
      </c>
    </row>
    <row r="134" spans="1:17">
      <c r="A134" s="46">
        <v>1</v>
      </c>
      <c r="B134" s="47">
        <f>JLAUNDRY!$K$5</f>
        <v>360</v>
      </c>
      <c r="C134" s="47">
        <f>B131</f>
        <v>200</v>
      </c>
      <c r="D134" s="47">
        <f t="shared" ref="D134:D153" si="12">B134*C134</f>
        <v>72000</v>
      </c>
      <c r="E134" s="47">
        <f>JLAUNDRY!$D$22</f>
        <v>29880</v>
      </c>
      <c r="F134" s="47">
        <f t="shared" ref="F134:F153" si="13">D134-E134</f>
        <v>42120</v>
      </c>
      <c r="G134" s="47"/>
      <c r="H134" s="47">
        <f>JLAUNDRY!$D$13/JLAUNDRY!$K$12</f>
        <v>40575</v>
      </c>
      <c r="I134" s="47">
        <f t="shared" ref="I134:I153" si="14">F134-H134</f>
        <v>1545</v>
      </c>
      <c r="J134" s="47">
        <f t="shared" ref="J134:J153" si="15">IF((J133+I134)&lt;0,(J133+I134),0)</f>
        <v>0</v>
      </c>
      <c r="K134" s="47">
        <f t="shared" ref="K134:K140" si="16">IF(J134&gt;0,I134,J134)</f>
        <v>0</v>
      </c>
      <c r="L134" s="50">
        <f>IF(K134&gt;0,K134*SALICYLIC [3]ACID!$K$15,0)</f>
        <v>0</v>
      </c>
      <c r="M134" s="47">
        <f t="shared" si="11"/>
        <v>1545</v>
      </c>
      <c r="N134" s="47">
        <f t="shared" ref="N134:N153" si="17">N133+M134</f>
        <v>1545</v>
      </c>
      <c r="O134" s="47">
        <f>(1+JLAUNDRY!$K$16)^-A134</f>
        <v>1</v>
      </c>
      <c r="P134" s="51">
        <f t="shared" ref="P134:P153" si="18">M134*O134</f>
        <v>1545</v>
      </c>
      <c r="Q134" s="55">
        <f t="shared" ref="Q134:Q153" si="19">Q133+P134</f>
        <v>1545</v>
      </c>
    </row>
    <row r="135" spans="1:17">
      <c r="A135" s="42">
        <v>2</v>
      </c>
      <c r="B135" s="47">
        <f>JLAUNDRY!$K$5</f>
        <v>360</v>
      </c>
      <c r="C135" s="47">
        <f t="shared" ref="C135:C153" si="20">$C$134</f>
        <v>200</v>
      </c>
      <c r="D135" s="47">
        <f t="shared" si="12"/>
        <v>72000</v>
      </c>
      <c r="E135" s="47">
        <f>JLAUNDRY!$D$22</f>
        <v>29880</v>
      </c>
      <c r="F135" s="47">
        <f t="shared" si="13"/>
        <v>42120</v>
      </c>
      <c r="G135" s="47"/>
      <c r="H135" s="47">
        <f>JLAUNDRY!$D$13/JLAUNDRY!$K$12</f>
        <v>40575</v>
      </c>
      <c r="I135" s="47">
        <f t="shared" si="14"/>
        <v>1545</v>
      </c>
      <c r="J135" s="47">
        <f t="shared" si="15"/>
        <v>0</v>
      </c>
      <c r="K135" s="47">
        <f t="shared" si="16"/>
        <v>0</v>
      </c>
      <c r="L135" s="50">
        <f>IF(K135&gt;0,K135*SALICYLIC [3]ACID!$K$15,0)</f>
        <v>0</v>
      </c>
      <c r="M135" s="47">
        <f t="shared" si="11"/>
        <v>1545</v>
      </c>
      <c r="N135" s="47">
        <f t="shared" si="17"/>
        <v>3090</v>
      </c>
      <c r="O135" s="47">
        <f>(1+JLAUNDRY!$K$16)^-A135</f>
        <v>1</v>
      </c>
      <c r="P135" s="51">
        <f t="shared" si="18"/>
        <v>1545</v>
      </c>
      <c r="Q135" s="55">
        <f t="shared" si="19"/>
        <v>3090</v>
      </c>
    </row>
    <row r="136" spans="1:17">
      <c r="A136" s="46">
        <v>3</v>
      </c>
      <c r="B136" s="47">
        <f>JLAUNDRY!$K$5</f>
        <v>360</v>
      </c>
      <c r="C136" s="47">
        <f t="shared" si="20"/>
        <v>200</v>
      </c>
      <c r="D136" s="47">
        <f t="shared" si="12"/>
        <v>72000</v>
      </c>
      <c r="E136" s="47">
        <f>JLAUNDRY!$D$22</f>
        <v>29880</v>
      </c>
      <c r="F136" s="47">
        <f t="shared" si="13"/>
        <v>42120</v>
      </c>
      <c r="G136" s="47"/>
      <c r="H136" s="47">
        <f>JLAUNDRY!$D$13/JLAUNDRY!$K$12</f>
        <v>40575</v>
      </c>
      <c r="I136" s="47">
        <f t="shared" si="14"/>
        <v>1545</v>
      </c>
      <c r="J136" s="47">
        <f t="shared" si="15"/>
        <v>0</v>
      </c>
      <c r="K136" s="47">
        <f t="shared" si="16"/>
        <v>0</v>
      </c>
      <c r="L136" s="50">
        <f>IF(K136&gt;0,K136*SALICYLIC [3]ACID!$K$15,0)</f>
        <v>0</v>
      </c>
      <c r="M136" s="47">
        <f t="shared" si="11"/>
        <v>1545</v>
      </c>
      <c r="N136" s="47">
        <f t="shared" si="17"/>
        <v>4635</v>
      </c>
      <c r="O136" s="47">
        <f>(1+JLAUNDRY!$K$16)^-A136</f>
        <v>1</v>
      </c>
      <c r="P136" s="51">
        <f t="shared" si="18"/>
        <v>1545</v>
      </c>
      <c r="Q136" s="55">
        <f t="shared" si="19"/>
        <v>4635</v>
      </c>
    </row>
    <row r="137" spans="1:17">
      <c r="A137" s="42">
        <v>4</v>
      </c>
      <c r="B137" s="47">
        <f>JLAUNDRY!$K$5</f>
        <v>360</v>
      </c>
      <c r="C137" s="47">
        <f t="shared" si="20"/>
        <v>200</v>
      </c>
      <c r="D137" s="47">
        <f t="shared" si="12"/>
        <v>72000</v>
      </c>
      <c r="E137" s="47">
        <f>JLAUNDRY!$D$22</f>
        <v>29880</v>
      </c>
      <c r="F137" s="47">
        <f t="shared" si="13"/>
        <v>42120</v>
      </c>
      <c r="G137" s="47"/>
      <c r="H137" s="47">
        <f>JLAUNDRY!$D$13/JLAUNDRY!$K$12</f>
        <v>40575</v>
      </c>
      <c r="I137" s="47">
        <f t="shared" si="14"/>
        <v>1545</v>
      </c>
      <c r="J137" s="47">
        <f t="shared" si="15"/>
        <v>0</v>
      </c>
      <c r="K137" s="47">
        <f t="shared" si="16"/>
        <v>0</v>
      </c>
      <c r="L137" s="50">
        <f>IF(K137&gt;0,K137*SALICYLIC [3]ACID!$K$15,0)</f>
        <v>0</v>
      </c>
      <c r="M137" s="47">
        <f t="shared" si="11"/>
        <v>1545</v>
      </c>
      <c r="N137" s="47">
        <f t="shared" si="17"/>
        <v>6180</v>
      </c>
      <c r="O137" s="47">
        <f>(1+JLAUNDRY!$K$16)^-A137</f>
        <v>1</v>
      </c>
      <c r="P137" s="51">
        <f t="shared" si="18"/>
        <v>1545</v>
      </c>
      <c r="Q137" s="55">
        <f t="shared" si="19"/>
        <v>6180</v>
      </c>
    </row>
    <row r="138" spans="1:17">
      <c r="A138" s="46">
        <v>5</v>
      </c>
      <c r="B138" s="47">
        <f>JLAUNDRY!$K$5</f>
        <v>360</v>
      </c>
      <c r="C138" s="47">
        <f t="shared" si="20"/>
        <v>200</v>
      </c>
      <c r="D138" s="47">
        <f t="shared" si="12"/>
        <v>72000</v>
      </c>
      <c r="E138" s="47">
        <f>JLAUNDRY!$D$22</f>
        <v>29880</v>
      </c>
      <c r="F138" s="47">
        <f t="shared" si="13"/>
        <v>42120</v>
      </c>
      <c r="G138" s="47"/>
      <c r="H138" s="47"/>
      <c r="I138" s="47">
        <f t="shared" si="14"/>
        <v>42120</v>
      </c>
      <c r="J138" s="47">
        <f t="shared" si="15"/>
        <v>0</v>
      </c>
      <c r="K138" s="47">
        <f t="shared" si="16"/>
        <v>0</v>
      </c>
      <c r="L138" s="50">
        <f>IF(K138&gt;0,K138*SALICYLIC [3]ACID!$K$15,0)</f>
        <v>0</v>
      </c>
      <c r="M138" s="47">
        <f t="shared" si="11"/>
        <v>42120</v>
      </c>
      <c r="N138" s="47">
        <f t="shared" si="17"/>
        <v>48300</v>
      </c>
      <c r="O138" s="47">
        <f>(1+JLAUNDRY!$K$16)^-A138</f>
        <v>1</v>
      </c>
      <c r="P138" s="51">
        <f t="shared" si="18"/>
        <v>42120</v>
      </c>
      <c r="Q138" s="55">
        <f t="shared" si="19"/>
        <v>48300</v>
      </c>
    </row>
    <row r="139" spans="1:17">
      <c r="A139" s="42">
        <v>6</v>
      </c>
      <c r="B139" s="47">
        <f>JLAUNDRY!$K$5</f>
        <v>360</v>
      </c>
      <c r="C139" s="47">
        <f t="shared" si="20"/>
        <v>200</v>
      </c>
      <c r="D139" s="47">
        <f t="shared" si="12"/>
        <v>72000</v>
      </c>
      <c r="E139" s="47">
        <f>JLAUNDRY!$D$22</f>
        <v>29880</v>
      </c>
      <c r="F139" s="47">
        <f t="shared" si="13"/>
        <v>42120</v>
      </c>
      <c r="G139" s="47"/>
      <c r="H139" s="47"/>
      <c r="I139" s="47">
        <f t="shared" si="14"/>
        <v>42120</v>
      </c>
      <c r="J139" s="47">
        <f t="shared" si="15"/>
        <v>0</v>
      </c>
      <c r="K139" s="47">
        <f t="shared" si="16"/>
        <v>0</v>
      </c>
      <c r="L139" s="50">
        <f>IF(K139&gt;0,K139*SALICYLIC [3]ACID!$K$15,0)</f>
        <v>0</v>
      </c>
      <c r="M139" s="47">
        <f t="shared" si="11"/>
        <v>42120</v>
      </c>
      <c r="N139" s="47">
        <f t="shared" si="17"/>
        <v>90420</v>
      </c>
      <c r="O139" s="47">
        <f>(1+JLAUNDRY!$K$16)^-A139</f>
        <v>1</v>
      </c>
      <c r="P139" s="51">
        <f t="shared" si="18"/>
        <v>42120</v>
      </c>
      <c r="Q139" s="55">
        <f t="shared" si="19"/>
        <v>90420</v>
      </c>
    </row>
    <row r="140" spans="1:17">
      <c r="A140" s="46">
        <v>7</v>
      </c>
      <c r="B140" s="47">
        <f>JLAUNDRY!$K$5</f>
        <v>360</v>
      </c>
      <c r="C140" s="47">
        <f t="shared" si="20"/>
        <v>200</v>
      </c>
      <c r="D140" s="47">
        <f t="shared" si="12"/>
        <v>72000</v>
      </c>
      <c r="E140" s="47">
        <f>JLAUNDRY!$D$22</f>
        <v>29880</v>
      </c>
      <c r="F140" s="47">
        <f t="shared" si="13"/>
        <v>42120</v>
      </c>
      <c r="G140" s="47"/>
      <c r="H140" s="47"/>
      <c r="I140" s="47">
        <f t="shared" si="14"/>
        <v>42120</v>
      </c>
      <c r="J140" s="47">
        <f t="shared" si="15"/>
        <v>0</v>
      </c>
      <c r="K140" s="47">
        <f t="shared" si="16"/>
        <v>0</v>
      </c>
      <c r="L140" s="50">
        <f>IF(K140&gt;0,K140*SALICYLIC [3]ACID!$K$15,0)</f>
        <v>0</v>
      </c>
      <c r="M140" s="47">
        <f t="shared" si="11"/>
        <v>42120</v>
      </c>
      <c r="N140" s="47">
        <f t="shared" si="17"/>
        <v>132540</v>
      </c>
      <c r="O140" s="47">
        <f>(1+JLAUNDRY!$K$16)^-A140</f>
        <v>1</v>
      </c>
      <c r="P140" s="51">
        <f t="shared" si="18"/>
        <v>42120</v>
      </c>
      <c r="Q140" s="55">
        <f t="shared" si="19"/>
        <v>132540</v>
      </c>
    </row>
    <row r="141" spans="1:17">
      <c r="A141" s="42">
        <v>8</v>
      </c>
      <c r="B141" s="47">
        <f>JLAUNDRY!$K$5</f>
        <v>360</v>
      </c>
      <c r="C141" s="47">
        <f t="shared" si="20"/>
        <v>200</v>
      </c>
      <c r="D141" s="47">
        <f t="shared" si="12"/>
        <v>72000</v>
      </c>
      <c r="E141" s="47">
        <f>JLAUNDRY!$D$22</f>
        <v>29880</v>
      </c>
      <c r="F141" s="47">
        <f t="shared" si="13"/>
        <v>42120</v>
      </c>
      <c r="G141" s="47"/>
      <c r="H141" s="47"/>
      <c r="I141" s="47">
        <f t="shared" si="14"/>
        <v>42120</v>
      </c>
      <c r="J141" s="47">
        <f t="shared" si="15"/>
        <v>0</v>
      </c>
      <c r="K141" s="47">
        <f t="shared" ref="K141:K153" si="21">I141</f>
        <v>42120</v>
      </c>
      <c r="L141" s="50">
        <f>IF(K141&gt;0,K141*JLAUNDRY!$K$15,0)</f>
        <v>4212</v>
      </c>
      <c r="M141" s="47">
        <f t="shared" si="11"/>
        <v>37908</v>
      </c>
      <c r="N141" s="47">
        <f t="shared" si="17"/>
        <v>170448</v>
      </c>
      <c r="O141" s="47">
        <f>(1+JLAUNDRY!$K$16)^-A141</f>
        <v>1</v>
      </c>
      <c r="P141" s="51">
        <f t="shared" si="18"/>
        <v>37908</v>
      </c>
      <c r="Q141" s="55">
        <f t="shared" si="19"/>
        <v>170448</v>
      </c>
    </row>
    <row r="142" spans="1:17">
      <c r="A142" s="46">
        <v>9</v>
      </c>
      <c r="B142" s="47">
        <f>JLAUNDRY!$K$5</f>
        <v>360</v>
      </c>
      <c r="C142" s="47">
        <f t="shared" si="20"/>
        <v>200</v>
      </c>
      <c r="D142" s="47">
        <f t="shared" si="12"/>
        <v>72000</v>
      </c>
      <c r="E142" s="47">
        <f>JLAUNDRY!$D$22</f>
        <v>29880</v>
      </c>
      <c r="F142" s="47">
        <f t="shared" si="13"/>
        <v>42120</v>
      </c>
      <c r="G142" s="47"/>
      <c r="H142" s="47"/>
      <c r="I142" s="47">
        <f t="shared" si="14"/>
        <v>42120</v>
      </c>
      <c r="J142" s="47">
        <f t="shared" si="15"/>
        <v>0</v>
      </c>
      <c r="K142" s="47">
        <f t="shared" si="21"/>
        <v>42120</v>
      </c>
      <c r="L142" s="50">
        <f>IF(K142&gt;0,K142*JLAUNDRY!$K$15,0)</f>
        <v>4212</v>
      </c>
      <c r="M142" s="47">
        <f t="shared" si="11"/>
        <v>37908</v>
      </c>
      <c r="N142" s="47">
        <f t="shared" si="17"/>
        <v>208356</v>
      </c>
      <c r="O142" s="47">
        <f>(1+JLAUNDRY!$K$16)^-A142</f>
        <v>1</v>
      </c>
      <c r="P142" s="51">
        <f t="shared" si="18"/>
        <v>37908</v>
      </c>
      <c r="Q142" s="55">
        <f t="shared" si="19"/>
        <v>208356</v>
      </c>
    </row>
    <row r="143" spans="1:17">
      <c r="A143" s="42">
        <v>10</v>
      </c>
      <c r="B143" s="47">
        <f>JLAUNDRY!$K$5</f>
        <v>360</v>
      </c>
      <c r="C143" s="47">
        <f t="shared" si="20"/>
        <v>200</v>
      </c>
      <c r="D143" s="47">
        <f t="shared" si="12"/>
        <v>72000</v>
      </c>
      <c r="E143" s="47">
        <f>JLAUNDRY!$D$22</f>
        <v>29880</v>
      </c>
      <c r="F143" s="47">
        <f t="shared" si="13"/>
        <v>42120</v>
      </c>
      <c r="G143" s="47"/>
      <c r="H143" s="47"/>
      <c r="I143" s="47">
        <f t="shared" si="14"/>
        <v>42120</v>
      </c>
      <c r="J143" s="47">
        <f t="shared" si="15"/>
        <v>0</v>
      </c>
      <c r="K143" s="47">
        <f t="shared" si="21"/>
        <v>42120</v>
      </c>
      <c r="L143" s="50">
        <f>IF(K143&gt;0,K143*JLAUNDRY!$K$15,0)</f>
        <v>4212</v>
      </c>
      <c r="M143" s="47">
        <f t="shared" si="11"/>
        <v>37908</v>
      </c>
      <c r="N143" s="47">
        <f t="shared" si="17"/>
        <v>246264</v>
      </c>
      <c r="O143" s="47">
        <f>(1+JLAUNDRY!$K$16)^-A143</f>
        <v>1</v>
      </c>
      <c r="P143" s="51">
        <f t="shared" si="18"/>
        <v>37908</v>
      </c>
      <c r="Q143" s="55">
        <f t="shared" si="19"/>
        <v>246264</v>
      </c>
    </row>
    <row r="144" spans="1:17">
      <c r="A144" s="46">
        <v>11</v>
      </c>
      <c r="B144" s="47">
        <f>JLAUNDRY!$K$5</f>
        <v>360</v>
      </c>
      <c r="C144" s="47">
        <f t="shared" si="20"/>
        <v>200</v>
      </c>
      <c r="D144" s="47">
        <f t="shared" si="12"/>
        <v>72000</v>
      </c>
      <c r="E144" s="47">
        <f>JLAUNDRY!$D$22</f>
        <v>29880</v>
      </c>
      <c r="F144" s="47">
        <f t="shared" si="13"/>
        <v>42120</v>
      </c>
      <c r="G144" s="47"/>
      <c r="H144" s="47"/>
      <c r="I144" s="47">
        <f t="shared" si="14"/>
        <v>42120</v>
      </c>
      <c r="J144" s="47">
        <f t="shared" si="15"/>
        <v>0</v>
      </c>
      <c r="K144" s="47">
        <f t="shared" si="21"/>
        <v>42120</v>
      </c>
      <c r="L144" s="50">
        <f>IF(K144&gt;0,K144*JLAUNDRY!$K$15,0)</f>
        <v>4212</v>
      </c>
      <c r="M144" s="47">
        <f t="shared" si="11"/>
        <v>37908</v>
      </c>
      <c r="N144" s="47">
        <f t="shared" si="17"/>
        <v>284172</v>
      </c>
      <c r="O144" s="47">
        <f>(1+JLAUNDRY!$K$16)^-A144</f>
        <v>1</v>
      </c>
      <c r="P144" s="51">
        <f t="shared" si="18"/>
        <v>37908</v>
      </c>
      <c r="Q144" s="55">
        <f t="shared" si="19"/>
        <v>284172</v>
      </c>
    </row>
    <row r="145" spans="1:17">
      <c r="A145" s="42">
        <v>12</v>
      </c>
      <c r="B145" s="47">
        <f>JLAUNDRY!$K$5</f>
        <v>360</v>
      </c>
      <c r="C145" s="47">
        <f t="shared" si="20"/>
        <v>200</v>
      </c>
      <c r="D145" s="47">
        <f t="shared" si="12"/>
        <v>72000</v>
      </c>
      <c r="E145" s="47">
        <f>JLAUNDRY!$D$22</f>
        <v>29880</v>
      </c>
      <c r="F145" s="47">
        <f t="shared" si="13"/>
        <v>42120</v>
      </c>
      <c r="G145" s="47"/>
      <c r="H145" s="47"/>
      <c r="I145" s="47">
        <f t="shared" si="14"/>
        <v>42120</v>
      </c>
      <c r="J145" s="47">
        <f t="shared" si="15"/>
        <v>0</v>
      </c>
      <c r="K145" s="47">
        <f t="shared" si="21"/>
        <v>42120</v>
      </c>
      <c r="L145" s="50">
        <f>IF(K145&gt;0,K145*JLAUNDRY!$K$15,0)</f>
        <v>4212</v>
      </c>
      <c r="M145" s="47">
        <f t="shared" si="11"/>
        <v>37908</v>
      </c>
      <c r="N145" s="47">
        <f t="shared" si="17"/>
        <v>322080</v>
      </c>
      <c r="O145" s="47">
        <f>(1+JLAUNDRY!$K$16)^-A145</f>
        <v>1</v>
      </c>
      <c r="P145" s="51">
        <f t="shared" si="18"/>
        <v>37908</v>
      </c>
      <c r="Q145" s="55">
        <f t="shared" si="19"/>
        <v>322080</v>
      </c>
    </row>
    <row r="146" spans="1:17">
      <c r="A146" s="46">
        <v>13</v>
      </c>
      <c r="B146" s="47">
        <f>JLAUNDRY!$K$5</f>
        <v>360</v>
      </c>
      <c r="C146" s="47">
        <f t="shared" si="20"/>
        <v>200</v>
      </c>
      <c r="D146" s="47">
        <f t="shared" si="12"/>
        <v>72000</v>
      </c>
      <c r="E146" s="47">
        <f>JLAUNDRY!$D$22</f>
        <v>29880</v>
      </c>
      <c r="F146" s="47">
        <f t="shared" si="13"/>
        <v>42120</v>
      </c>
      <c r="G146" s="47"/>
      <c r="H146" s="47"/>
      <c r="I146" s="47">
        <f t="shared" si="14"/>
        <v>42120</v>
      </c>
      <c r="J146" s="47">
        <f t="shared" si="15"/>
        <v>0</v>
      </c>
      <c r="K146" s="47">
        <f t="shared" si="21"/>
        <v>42120</v>
      </c>
      <c r="L146" s="50">
        <f>IF(K146&gt;0,K146*JLAUNDRY!$K$15,0)</f>
        <v>4212</v>
      </c>
      <c r="M146" s="47">
        <f t="shared" si="11"/>
        <v>37908</v>
      </c>
      <c r="N146" s="47">
        <f t="shared" si="17"/>
        <v>359988</v>
      </c>
      <c r="O146" s="47">
        <f>(1+JLAUNDRY!$K$16)^-A146</f>
        <v>1</v>
      </c>
      <c r="P146" s="51">
        <f t="shared" si="18"/>
        <v>37908</v>
      </c>
      <c r="Q146" s="55">
        <f t="shared" si="19"/>
        <v>359988</v>
      </c>
    </row>
    <row r="147" spans="1:17">
      <c r="A147" s="42">
        <v>14</v>
      </c>
      <c r="B147" s="47">
        <f>JLAUNDRY!$K$5</f>
        <v>360</v>
      </c>
      <c r="C147" s="47">
        <f t="shared" si="20"/>
        <v>200</v>
      </c>
      <c r="D147" s="47">
        <f t="shared" si="12"/>
        <v>72000</v>
      </c>
      <c r="E147" s="47">
        <f>JLAUNDRY!$D$22</f>
        <v>29880</v>
      </c>
      <c r="F147" s="47">
        <f t="shared" si="13"/>
        <v>42120</v>
      </c>
      <c r="G147" s="47"/>
      <c r="H147" s="47"/>
      <c r="I147" s="47">
        <f t="shared" si="14"/>
        <v>42120</v>
      </c>
      <c r="J147" s="47">
        <f t="shared" si="15"/>
        <v>0</v>
      </c>
      <c r="K147" s="47">
        <f t="shared" si="21"/>
        <v>42120</v>
      </c>
      <c r="L147" s="50">
        <f>IF(K147&gt;0,K147*JLAUNDRY!$K$15,0)</f>
        <v>4212</v>
      </c>
      <c r="M147" s="47">
        <f t="shared" si="11"/>
        <v>37908</v>
      </c>
      <c r="N147" s="47">
        <f t="shared" si="17"/>
        <v>397896</v>
      </c>
      <c r="O147" s="47">
        <f>(1+JLAUNDRY!$K$16)^-A147</f>
        <v>1</v>
      </c>
      <c r="P147" s="51">
        <f t="shared" si="18"/>
        <v>37908</v>
      </c>
      <c r="Q147" s="55">
        <f t="shared" si="19"/>
        <v>397896</v>
      </c>
    </row>
    <row r="148" spans="1:17">
      <c r="A148" s="46">
        <v>15</v>
      </c>
      <c r="B148" s="47">
        <f>JLAUNDRY!$K$5</f>
        <v>360</v>
      </c>
      <c r="C148" s="47">
        <f t="shared" si="20"/>
        <v>200</v>
      </c>
      <c r="D148" s="47">
        <f t="shared" si="12"/>
        <v>72000</v>
      </c>
      <c r="E148" s="47">
        <f>JLAUNDRY!$D$22</f>
        <v>29880</v>
      </c>
      <c r="F148" s="47">
        <f t="shared" si="13"/>
        <v>42120</v>
      </c>
      <c r="G148" s="47"/>
      <c r="H148" s="47"/>
      <c r="I148" s="47">
        <f t="shared" si="14"/>
        <v>42120</v>
      </c>
      <c r="J148" s="47">
        <f t="shared" si="15"/>
        <v>0</v>
      </c>
      <c r="K148" s="47">
        <f t="shared" si="21"/>
        <v>42120</v>
      </c>
      <c r="L148" s="50">
        <f>IF(K148&gt;0,K148*JLAUNDRY!$K$15,0)</f>
        <v>4212</v>
      </c>
      <c r="M148" s="47">
        <f t="shared" si="11"/>
        <v>37908</v>
      </c>
      <c r="N148" s="47">
        <f t="shared" si="17"/>
        <v>435804</v>
      </c>
      <c r="O148" s="47">
        <f>(1+JLAUNDRY!$K$16)^-A148</f>
        <v>1</v>
      </c>
      <c r="P148" s="51">
        <f t="shared" si="18"/>
        <v>37908</v>
      </c>
      <c r="Q148" s="55">
        <f t="shared" si="19"/>
        <v>435804</v>
      </c>
    </row>
    <row r="149" spans="1:17">
      <c r="A149" s="42">
        <v>16</v>
      </c>
      <c r="B149" s="47">
        <f>JLAUNDRY!$K$5</f>
        <v>360</v>
      </c>
      <c r="C149" s="47">
        <f t="shared" si="20"/>
        <v>200</v>
      </c>
      <c r="D149" s="47">
        <f t="shared" si="12"/>
        <v>72000</v>
      </c>
      <c r="E149" s="47">
        <f>JLAUNDRY!$D$22</f>
        <v>29880</v>
      </c>
      <c r="F149" s="47">
        <f t="shared" si="13"/>
        <v>42120</v>
      </c>
      <c r="G149" s="47"/>
      <c r="H149" s="47"/>
      <c r="I149" s="47">
        <f t="shared" si="14"/>
        <v>42120</v>
      </c>
      <c r="J149" s="47">
        <f t="shared" si="15"/>
        <v>0</v>
      </c>
      <c r="K149" s="47">
        <f t="shared" si="21"/>
        <v>42120</v>
      </c>
      <c r="L149" s="50">
        <f>IF(K149&gt;0,K149*JLAUNDRY!$K$15,0)</f>
        <v>4212</v>
      </c>
      <c r="M149" s="47">
        <f t="shared" si="11"/>
        <v>37908</v>
      </c>
      <c r="N149" s="47">
        <f t="shared" si="17"/>
        <v>473712</v>
      </c>
      <c r="O149" s="47">
        <f>(1+JLAUNDRY!$K$16)^-A149</f>
        <v>1</v>
      </c>
      <c r="P149" s="51">
        <f t="shared" si="18"/>
        <v>37908</v>
      </c>
      <c r="Q149" s="55">
        <f t="shared" si="19"/>
        <v>473712</v>
      </c>
    </row>
    <row r="150" spans="1:17">
      <c r="A150" s="46">
        <v>17</v>
      </c>
      <c r="B150" s="47">
        <f>JLAUNDRY!$K$5</f>
        <v>360</v>
      </c>
      <c r="C150" s="47">
        <f t="shared" si="20"/>
        <v>200</v>
      </c>
      <c r="D150" s="47">
        <f t="shared" si="12"/>
        <v>72000</v>
      </c>
      <c r="E150" s="47">
        <f>JLAUNDRY!$D$22</f>
        <v>29880</v>
      </c>
      <c r="F150" s="47">
        <f t="shared" si="13"/>
        <v>42120</v>
      </c>
      <c r="G150" s="47"/>
      <c r="H150" s="47"/>
      <c r="I150" s="47">
        <f t="shared" si="14"/>
        <v>42120</v>
      </c>
      <c r="J150" s="47">
        <f t="shared" si="15"/>
        <v>0</v>
      </c>
      <c r="K150" s="47">
        <f t="shared" si="21"/>
        <v>42120</v>
      </c>
      <c r="L150" s="50">
        <f>IF(K150&gt;0,K150*JLAUNDRY!$K$15,0)</f>
        <v>4212</v>
      </c>
      <c r="M150" s="47">
        <f t="shared" si="11"/>
        <v>37908</v>
      </c>
      <c r="N150" s="47">
        <f t="shared" si="17"/>
        <v>511620</v>
      </c>
      <c r="O150" s="47">
        <f>(1+JLAUNDRY!$K$16)^-A150</f>
        <v>1</v>
      </c>
      <c r="P150" s="51">
        <f t="shared" si="18"/>
        <v>37908</v>
      </c>
      <c r="Q150" s="55">
        <f t="shared" si="19"/>
        <v>511620</v>
      </c>
    </row>
    <row r="151" spans="1:17">
      <c r="A151" s="42">
        <v>18</v>
      </c>
      <c r="B151" s="47">
        <f>JLAUNDRY!$K$5</f>
        <v>360</v>
      </c>
      <c r="C151" s="47">
        <f t="shared" si="20"/>
        <v>200</v>
      </c>
      <c r="D151" s="47">
        <f t="shared" si="12"/>
        <v>72000</v>
      </c>
      <c r="E151" s="47">
        <f>JLAUNDRY!$D$22</f>
        <v>29880</v>
      </c>
      <c r="F151" s="47">
        <f t="shared" si="13"/>
        <v>42120</v>
      </c>
      <c r="G151" s="47"/>
      <c r="H151" s="47"/>
      <c r="I151" s="47">
        <f t="shared" si="14"/>
        <v>42120</v>
      </c>
      <c r="J151" s="47">
        <f t="shared" si="15"/>
        <v>0</v>
      </c>
      <c r="K151" s="47">
        <f t="shared" si="21"/>
        <v>42120</v>
      </c>
      <c r="L151" s="50">
        <f>IF(K151&gt;0,K151*JLAUNDRY!$K$15,0)</f>
        <v>4212</v>
      </c>
      <c r="M151" s="47">
        <f t="shared" si="11"/>
        <v>37908</v>
      </c>
      <c r="N151" s="47">
        <f t="shared" si="17"/>
        <v>549528</v>
      </c>
      <c r="O151" s="47">
        <f>(1+JLAUNDRY!$K$16)^-A151</f>
        <v>1</v>
      </c>
      <c r="P151" s="51">
        <f t="shared" si="18"/>
        <v>37908</v>
      </c>
      <c r="Q151" s="55">
        <f t="shared" si="19"/>
        <v>549528</v>
      </c>
    </row>
    <row r="152" spans="1:17">
      <c r="A152" s="46">
        <v>19</v>
      </c>
      <c r="B152" s="47">
        <f>JLAUNDRY!$K$5</f>
        <v>360</v>
      </c>
      <c r="C152" s="47">
        <f t="shared" si="20"/>
        <v>200</v>
      </c>
      <c r="D152" s="47">
        <f t="shared" si="12"/>
        <v>72000</v>
      </c>
      <c r="E152" s="47">
        <f>JLAUNDRY!$D$22</f>
        <v>29880</v>
      </c>
      <c r="F152" s="47">
        <f t="shared" si="13"/>
        <v>42120</v>
      </c>
      <c r="G152" s="47"/>
      <c r="H152" s="47"/>
      <c r="I152" s="47">
        <f t="shared" si="14"/>
        <v>42120</v>
      </c>
      <c r="J152" s="47">
        <f t="shared" si="15"/>
        <v>0</v>
      </c>
      <c r="K152" s="47">
        <f t="shared" si="21"/>
        <v>42120</v>
      </c>
      <c r="L152" s="50">
        <f>IF(K152&gt;0,K152*JLAUNDRY!$K$15,0)</f>
        <v>4212</v>
      </c>
      <c r="M152" s="47">
        <f t="shared" si="11"/>
        <v>37908</v>
      </c>
      <c r="N152" s="47">
        <f t="shared" si="17"/>
        <v>587436</v>
      </c>
      <c r="O152" s="47">
        <f>(1+JLAUNDRY!$K$16)^-A152</f>
        <v>1</v>
      </c>
      <c r="P152" s="51">
        <f t="shared" si="18"/>
        <v>37908</v>
      </c>
      <c r="Q152" s="55">
        <f t="shared" si="19"/>
        <v>587436</v>
      </c>
    </row>
    <row r="153" spans="1:17">
      <c r="A153" s="42">
        <v>20</v>
      </c>
      <c r="B153" s="47">
        <f>JLAUNDRY!$K$5</f>
        <v>360</v>
      </c>
      <c r="C153" s="47">
        <f t="shared" si="20"/>
        <v>200</v>
      </c>
      <c r="D153" s="47">
        <f t="shared" si="12"/>
        <v>72000</v>
      </c>
      <c r="E153" s="47">
        <f>JLAUNDRY!$D$22</f>
        <v>29880</v>
      </c>
      <c r="F153" s="47">
        <f t="shared" si="13"/>
        <v>42120</v>
      </c>
      <c r="G153" s="47"/>
      <c r="H153" s="47"/>
      <c r="I153" s="47">
        <f t="shared" si="14"/>
        <v>42120</v>
      </c>
      <c r="J153" s="47">
        <f t="shared" si="15"/>
        <v>0</v>
      </c>
      <c r="K153" s="47">
        <f t="shared" si="21"/>
        <v>42120</v>
      </c>
      <c r="L153" s="50">
        <f>IF(K153&gt;0,K153*JLAUNDRY!$K$15,0)</f>
        <v>4212</v>
      </c>
      <c r="M153" s="47">
        <f t="shared" si="11"/>
        <v>37908</v>
      </c>
      <c r="N153" s="47">
        <f t="shared" si="17"/>
        <v>625344</v>
      </c>
      <c r="O153" s="47">
        <f>(1+JLAUNDRY!$K$16)^-A153</f>
        <v>1</v>
      </c>
      <c r="P153" s="51">
        <f t="shared" si="18"/>
        <v>37908</v>
      </c>
      <c r="Q153" s="55">
        <f t="shared" si="19"/>
        <v>625344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625344</v>
      </c>
      <c r="Q154" s="47"/>
    </row>
    <row r="155" spans="1:17">
      <c r="A155" s="6" t="s">
        <v>85</v>
      </c>
      <c r="B155" s="6">
        <f>B131-50</f>
        <v>150</v>
      </c>
      <c r="C155" s="6"/>
      <c r="D155" s="6"/>
      <c r="E155" s="6"/>
      <c r="F155" s="6"/>
      <c r="G155" s="6"/>
      <c r="H155" s="6"/>
      <c r="I155" s="6"/>
      <c r="J155" s="47"/>
      <c r="K155" s="6"/>
      <c r="L155" s="6"/>
      <c r="M155" s="6"/>
      <c r="N155" s="6"/>
      <c r="O155" s="6"/>
      <c r="P155" s="6"/>
      <c r="Q155" s="6"/>
    </row>
    <row r="156" ht="33.75" spans="1:17">
      <c r="A156" s="40" t="s">
        <v>34</v>
      </c>
      <c r="B156" s="41" t="s">
        <v>35</v>
      </c>
      <c r="C156" s="41" t="s">
        <v>36</v>
      </c>
      <c r="D156" s="41" t="s">
        <v>86</v>
      </c>
      <c r="E156" s="41" t="s">
        <v>87</v>
      </c>
      <c r="F156" s="41" t="s">
        <v>88</v>
      </c>
      <c r="G156" s="41" t="s">
        <v>40</v>
      </c>
      <c r="H156" s="41" t="s">
        <v>89</v>
      </c>
      <c r="I156" s="41" t="s">
        <v>90</v>
      </c>
      <c r="J156" s="41" t="s">
        <v>91</v>
      </c>
      <c r="K156" s="48" t="s">
        <v>92</v>
      </c>
      <c r="L156" s="49" t="s">
        <v>93</v>
      </c>
      <c r="M156" s="49" t="s">
        <v>94</v>
      </c>
      <c r="N156" s="49" t="s">
        <v>95</v>
      </c>
      <c r="O156" s="49" t="s">
        <v>48</v>
      </c>
      <c r="P156" s="49" t="s">
        <v>96</v>
      </c>
      <c r="Q156" s="49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JLAUNDRY!D13</f>
        <v>162300</v>
      </c>
      <c r="H157" s="44"/>
      <c r="I157" s="44"/>
      <c r="J157" s="44"/>
      <c r="K157" s="47">
        <f t="shared" ref="K157:K164" si="22">J157</f>
        <v>0</v>
      </c>
      <c r="L157" s="50">
        <f>IF(K157&gt;0,K157*SALICYLIC [3]ACID!$K$15,0)</f>
        <v>0</v>
      </c>
      <c r="M157" s="47">
        <f t="shared" ref="M157:M177" si="23">I157-L157</f>
        <v>0</v>
      </c>
      <c r="N157" s="47">
        <v>0</v>
      </c>
      <c r="O157" s="47">
        <f>(1+JLAUNDRY!$K$16)^-A157</f>
        <v>1</v>
      </c>
      <c r="P157" s="51">
        <f>N157*O157</f>
        <v>0</v>
      </c>
      <c r="Q157" s="54">
        <f>P157</f>
        <v>0</v>
      </c>
    </row>
    <row r="158" spans="1:17">
      <c r="A158" s="46">
        <v>1</v>
      </c>
      <c r="B158" s="47">
        <f t="shared" ref="B158:B177" si="24">$B$134</f>
        <v>360</v>
      </c>
      <c r="C158" s="47">
        <f>B155</f>
        <v>150</v>
      </c>
      <c r="D158" s="47">
        <f t="shared" ref="D158:D177" si="25">B158*C158</f>
        <v>54000</v>
      </c>
      <c r="E158" s="47">
        <f>JLAUNDRY!$D$22</f>
        <v>29880</v>
      </c>
      <c r="F158" s="47">
        <f t="shared" ref="F158:F177" si="26">D158-E158</f>
        <v>24120</v>
      </c>
      <c r="G158" s="47"/>
      <c r="H158" s="47">
        <f>JLAUNDRY!$D$13/JLAUNDRY!$K$12</f>
        <v>40575</v>
      </c>
      <c r="I158" s="47">
        <f t="shared" ref="I158:I177" si="27">F158-H158</f>
        <v>-16455</v>
      </c>
      <c r="J158" s="47">
        <f t="shared" ref="J158:J177" si="28">IF((J157+I158)&lt;0,(J157+I158),0)</f>
        <v>-16455</v>
      </c>
      <c r="K158" s="47">
        <f t="shared" si="22"/>
        <v>-16455</v>
      </c>
      <c r="L158" s="50">
        <f>IF(K158&gt;0,K158*SALICYLIC [3]ACID!$K$15,0)</f>
        <v>0</v>
      </c>
      <c r="M158" s="47">
        <f t="shared" si="23"/>
        <v>-16455</v>
      </c>
      <c r="N158" s="47">
        <f t="shared" ref="N158:N177" si="29">N157+M158</f>
        <v>-16455</v>
      </c>
      <c r="O158" s="47">
        <f>(1+JLAUNDRY!$K$16)^-A158</f>
        <v>1</v>
      </c>
      <c r="P158" s="51">
        <f t="shared" ref="P158:P177" si="30">M158*O158</f>
        <v>-16455</v>
      </c>
      <c r="Q158" s="55">
        <f t="shared" ref="Q158:Q177" si="31">Q157+P158</f>
        <v>-16455</v>
      </c>
    </row>
    <row r="159" spans="1:17">
      <c r="A159" s="42">
        <v>2</v>
      </c>
      <c r="B159" s="47">
        <f t="shared" si="24"/>
        <v>360</v>
      </c>
      <c r="C159" s="47">
        <f t="shared" ref="C159:C177" si="32">$C$158</f>
        <v>150</v>
      </c>
      <c r="D159" s="47">
        <f t="shared" si="25"/>
        <v>54000</v>
      </c>
      <c r="E159" s="47">
        <f>JLAUNDRY!$D$22</f>
        <v>29880</v>
      </c>
      <c r="F159" s="47">
        <f t="shared" si="26"/>
        <v>24120</v>
      </c>
      <c r="G159" s="47"/>
      <c r="H159" s="47">
        <f>JLAUNDRY!$D$13/JLAUNDRY!$K$12</f>
        <v>40575</v>
      </c>
      <c r="I159" s="47">
        <f t="shared" si="27"/>
        <v>-16455</v>
      </c>
      <c r="J159" s="47">
        <f t="shared" si="28"/>
        <v>-32910</v>
      </c>
      <c r="K159" s="47">
        <f t="shared" si="22"/>
        <v>-32910</v>
      </c>
      <c r="L159" s="50">
        <f>IF(K159&gt;0,K159*SALICYLIC [3]ACID!$K$15,0)</f>
        <v>0</v>
      </c>
      <c r="M159" s="47">
        <f t="shared" si="23"/>
        <v>-16455</v>
      </c>
      <c r="N159" s="47">
        <f t="shared" si="29"/>
        <v>-32910</v>
      </c>
      <c r="O159" s="47">
        <f>(1+JLAUNDRY!$K$16)^-A159</f>
        <v>1</v>
      </c>
      <c r="P159" s="51">
        <f t="shared" si="30"/>
        <v>-16455</v>
      </c>
      <c r="Q159" s="55">
        <f t="shared" si="31"/>
        <v>-32910</v>
      </c>
    </row>
    <row r="160" spans="1:17">
      <c r="A160" s="46">
        <v>3</v>
      </c>
      <c r="B160" s="47">
        <f t="shared" si="24"/>
        <v>360</v>
      </c>
      <c r="C160" s="47">
        <f t="shared" si="32"/>
        <v>150</v>
      </c>
      <c r="D160" s="47">
        <f t="shared" si="25"/>
        <v>54000</v>
      </c>
      <c r="E160" s="47">
        <f>JLAUNDRY!$D$22</f>
        <v>29880</v>
      </c>
      <c r="F160" s="47">
        <f t="shared" si="26"/>
        <v>24120</v>
      </c>
      <c r="G160" s="47"/>
      <c r="H160" s="47">
        <f>JLAUNDRY!$D$13/JLAUNDRY!$K$12</f>
        <v>40575</v>
      </c>
      <c r="I160" s="47">
        <f t="shared" si="27"/>
        <v>-16455</v>
      </c>
      <c r="J160" s="47">
        <f t="shared" si="28"/>
        <v>-49365</v>
      </c>
      <c r="K160" s="47">
        <f t="shared" si="22"/>
        <v>-49365</v>
      </c>
      <c r="L160" s="50">
        <f>IF(K160&gt;0,K160*SALICYLIC [3]ACID!$K$15,0)</f>
        <v>0</v>
      </c>
      <c r="M160" s="47">
        <f t="shared" si="23"/>
        <v>-16455</v>
      </c>
      <c r="N160" s="47">
        <f t="shared" si="29"/>
        <v>-49365</v>
      </c>
      <c r="O160" s="47">
        <f>(1+JLAUNDRY!$K$16)^-A160</f>
        <v>1</v>
      </c>
      <c r="P160" s="51">
        <f t="shared" si="30"/>
        <v>-16455</v>
      </c>
      <c r="Q160" s="55">
        <f t="shared" si="31"/>
        <v>-49365</v>
      </c>
    </row>
    <row r="161" spans="1:17">
      <c r="A161" s="42">
        <v>4</v>
      </c>
      <c r="B161" s="47">
        <f t="shared" si="24"/>
        <v>360</v>
      </c>
      <c r="C161" s="47">
        <f t="shared" si="32"/>
        <v>150</v>
      </c>
      <c r="D161" s="47">
        <f t="shared" si="25"/>
        <v>54000</v>
      </c>
      <c r="E161" s="47">
        <f>JLAUNDRY!$D$22</f>
        <v>29880</v>
      </c>
      <c r="F161" s="47">
        <f t="shared" si="26"/>
        <v>24120</v>
      </c>
      <c r="G161" s="47"/>
      <c r="H161" s="47">
        <f>JLAUNDRY!$D$13/JLAUNDRY!$K$12</f>
        <v>40575</v>
      </c>
      <c r="I161" s="47">
        <f t="shared" si="27"/>
        <v>-16455</v>
      </c>
      <c r="J161" s="47">
        <f t="shared" si="28"/>
        <v>-65820</v>
      </c>
      <c r="K161" s="47">
        <f t="shared" si="22"/>
        <v>-65820</v>
      </c>
      <c r="L161" s="50">
        <f>IF(K161&gt;0,K161*SALICYLIC [3]ACID!$K$15,0)</f>
        <v>0</v>
      </c>
      <c r="M161" s="47">
        <f t="shared" si="23"/>
        <v>-16455</v>
      </c>
      <c r="N161" s="47">
        <f t="shared" si="29"/>
        <v>-65820</v>
      </c>
      <c r="O161" s="47">
        <f>(1+JLAUNDRY!$K$16)^-A161</f>
        <v>1</v>
      </c>
      <c r="P161" s="51">
        <f t="shared" si="30"/>
        <v>-16455</v>
      </c>
      <c r="Q161" s="55">
        <f t="shared" si="31"/>
        <v>-65820</v>
      </c>
    </row>
    <row r="162" spans="1:17">
      <c r="A162" s="46">
        <v>5</v>
      </c>
      <c r="B162" s="47">
        <f t="shared" si="24"/>
        <v>360</v>
      </c>
      <c r="C162" s="47">
        <f t="shared" si="32"/>
        <v>150</v>
      </c>
      <c r="D162" s="47">
        <f t="shared" si="25"/>
        <v>54000</v>
      </c>
      <c r="E162" s="47">
        <f>JLAUNDRY!$D$22</f>
        <v>29880</v>
      </c>
      <c r="F162" s="47">
        <f t="shared" si="26"/>
        <v>24120</v>
      </c>
      <c r="G162" s="47"/>
      <c r="H162" s="47"/>
      <c r="I162" s="47">
        <f t="shared" si="27"/>
        <v>24120</v>
      </c>
      <c r="J162" s="47">
        <f t="shared" si="28"/>
        <v>-41700</v>
      </c>
      <c r="K162" s="47">
        <f t="shared" si="22"/>
        <v>-41700</v>
      </c>
      <c r="L162" s="50">
        <f>IF(K162&gt;0,K162*SALICYLIC [3]ACID!$K$15,0)</f>
        <v>0</v>
      </c>
      <c r="M162" s="47">
        <f t="shared" si="23"/>
        <v>24120</v>
      </c>
      <c r="N162" s="47">
        <f t="shared" si="29"/>
        <v>-41700</v>
      </c>
      <c r="O162" s="47">
        <f>(1+JLAUNDRY!$K$16)^-A162</f>
        <v>1</v>
      </c>
      <c r="P162" s="51">
        <f t="shared" si="30"/>
        <v>24120</v>
      </c>
      <c r="Q162" s="55">
        <f t="shared" si="31"/>
        <v>-41700</v>
      </c>
    </row>
    <row r="163" spans="1:17">
      <c r="A163" s="42">
        <v>6</v>
      </c>
      <c r="B163" s="47">
        <f t="shared" si="24"/>
        <v>360</v>
      </c>
      <c r="C163" s="47">
        <f t="shared" si="32"/>
        <v>150</v>
      </c>
      <c r="D163" s="47">
        <f t="shared" si="25"/>
        <v>54000</v>
      </c>
      <c r="E163" s="47">
        <f>JLAUNDRY!$D$22</f>
        <v>29880</v>
      </c>
      <c r="F163" s="47">
        <f t="shared" si="26"/>
        <v>24120</v>
      </c>
      <c r="G163" s="47"/>
      <c r="H163" s="47"/>
      <c r="I163" s="47">
        <f t="shared" si="27"/>
        <v>24120</v>
      </c>
      <c r="J163" s="47">
        <f t="shared" si="28"/>
        <v>-17580</v>
      </c>
      <c r="K163" s="47">
        <f t="shared" si="22"/>
        <v>-17580</v>
      </c>
      <c r="L163" s="50">
        <f>IF(K163&gt;0,K163*SALICYLIC [3]ACID!$K$15,0)</f>
        <v>0</v>
      </c>
      <c r="M163" s="47">
        <f t="shared" si="23"/>
        <v>24120</v>
      </c>
      <c r="N163" s="47">
        <f t="shared" si="29"/>
        <v>-17580</v>
      </c>
      <c r="O163" s="47">
        <f>(1+JLAUNDRY!$K$16)^-A163</f>
        <v>1</v>
      </c>
      <c r="P163" s="51">
        <f t="shared" si="30"/>
        <v>24120</v>
      </c>
      <c r="Q163" s="55">
        <f t="shared" si="31"/>
        <v>-17580</v>
      </c>
    </row>
    <row r="164" spans="1:17">
      <c r="A164" s="46">
        <v>7</v>
      </c>
      <c r="B164" s="47">
        <f t="shared" si="24"/>
        <v>360</v>
      </c>
      <c r="C164" s="47">
        <f t="shared" si="32"/>
        <v>150</v>
      </c>
      <c r="D164" s="47">
        <f t="shared" si="25"/>
        <v>54000</v>
      </c>
      <c r="E164" s="47">
        <f>JLAUNDRY!$D$22</f>
        <v>29880</v>
      </c>
      <c r="F164" s="47">
        <f t="shared" si="26"/>
        <v>24120</v>
      </c>
      <c r="G164" s="47"/>
      <c r="H164" s="47"/>
      <c r="I164" s="47">
        <f t="shared" si="27"/>
        <v>24120</v>
      </c>
      <c r="J164" s="47">
        <f t="shared" si="28"/>
        <v>0</v>
      </c>
      <c r="K164" s="47">
        <f t="shared" si="22"/>
        <v>0</v>
      </c>
      <c r="L164" s="50">
        <f>IF(K164&gt;0,K164*SALICYLIC [3]ACID!$K$15,0)</f>
        <v>0</v>
      </c>
      <c r="M164" s="47">
        <f t="shared" si="23"/>
        <v>24120</v>
      </c>
      <c r="N164" s="47">
        <f t="shared" si="29"/>
        <v>6540</v>
      </c>
      <c r="O164" s="47">
        <f>(1+JLAUNDRY!$K$16)^-A164</f>
        <v>1</v>
      </c>
      <c r="P164" s="51">
        <f t="shared" si="30"/>
        <v>24120</v>
      </c>
      <c r="Q164" s="55">
        <f t="shared" si="31"/>
        <v>6540</v>
      </c>
    </row>
    <row r="165" spans="1:17">
      <c r="A165" s="42">
        <v>8</v>
      </c>
      <c r="B165" s="47">
        <f t="shared" si="24"/>
        <v>360</v>
      </c>
      <c r="C165" s="47">
        <f t="shared" si="32"/>
        <v>150</v>
      </c>
      <c r="D165" s="47">
        <f t="shared" si="25"/>
        <v>54000</v>
      </c>
      <c r="E165" s="47">
        <f>JLAUNDRY!$D$22</f>
        <v>29880</v>
      </c>
      <c r="F165" s="47">
        <f t="shared" si="26"/>
        <v>24120</v>
      </c>
      <c r="G165" s="47"/>
      <c r="H165" s="47"/>
      <c r="I165" s="47">
        <f t="shared" si="27"/>
        <v>24120</v>
      </c>
      <c r="J165" s="47">
        <f t="shared" si="28"/>
        <v>0</v>
      </c>
      <c r="K165" s="47">
        <f t="shared" ref="K165:K177" si="33">I165</f>
        <v>24120</v>
      </c>
      <c r="L165" s="50">
        <f>IF(K165&gt;0,K165*JLAUNDRY!$K$15,0)</f>
        <v>2412</v>
      </c>
      <c r="M165" s="47">
        <f t="shared" si="23"/>
        <v>21708</v>
      </c>
      <c r="N165" s="47">
        <f t="shared" si="29"/>
        <v>28248</v>
      </c>
      <c r="O165" s="47">
        <f>(1+JLAUNDRY!$K$16)^-A165</f>
        <v>1</v>
      </c>
      <c r="P165" s="51">
        <f t="shared" si="30"/>
        <v>21708</v>
      </c>
      <c r="Q165" s="55">
        <f t="shared" si="31"/>
        <v>28248</v>
      </c>
    </row>
    <row r="166" spans="1:17">
      <c r="A166" s="46">
        <v>9</v>
      </c>
      <c r="B166" s="47">
        <f t="shared" si="24"/>
        <v>360</v>
      </c>
      <c r="C166" s="47">
        <f t="shared" si="32"/>
        <v>150</v>
      </c>
      <c r="D166" s="47">
        <f t="shared" si="25"/>
        <v>54000</v>
      </c>
      <c r="E166" s="47">
        <f>JLAUNDRY!$D$22</f>
        <v>29880</v>
      </c>
      <c r="F166" s="47">
        <f t="shared" si="26"/>
        <v>24120</v>
      </c>
      <c r="G166" s="47"/>
      <c r="H166" s="47"/>
      <c r="I166" s="47">
        <f t="shared" si="27"/>
        <v>24120</v>
      </c>
      <c r="J166" s="47">
        <f t="shared" si="28"/>
        <v>0</v>
      </c>
      <c r="K166" s="47">
        <f t="shared" si="33"/>
        <v>24120</v>
      </c>
      <c r="L166" s="50">
        <f>IF(K166&gt;0,K166*JLAUNDRY!$K$15,0)</f>
        <v>2412</v>
      </c>
      <c r="M166" s="47">
        <f t="shared" si="23"/>
        <v>21708</v>
      </c>
      <c r="N166" s="47">
        <f t="shared" si="29"/>
        <v>49956</v>
      </c>
      <c r="O166" s="47">
        <f>(1+JLAUNDRY!$K$16)^-A166</f>
        <v>1</v>
      </c>
      <c r="P166" s="51">
        <f t="shared" si="30"/>
        <v>21708</v>
      </c>
      <c r="Q166" s="55">
        <f t="shared" si="31"/>
        <v>49956</v>
      </c>
    </row>
    <row r="167" spans="1:17">
      <c r="A167" s="42">
        <v>10</v>
      </c>
      <c r="B167" s="47">
        <f t="shared" si="24"/>
        <v>360</v>
      </c>
      <c r="C167" s="47">
        <f t="shared" si="32"/>
        <v>150</v>
      </c>
      <c r="D167" s="47">
        <f t="shared" si="25"/>
        <v>54000</v>
      </c>
      <c r="E167" s="47">
        <f>JLAUNDRY!$D$22</f>
        <v>29880</v>
      </c>
      <c r="F167" s="47">
        <f t="shared" si="26"/>
        <v>24120</v>
      </c>
      <c r="G167" s="47"/>
      <c r="H167" s="47"/>
      <c r="I167" s="47">
        <f t="shared" si="27"/>
        <v>24120</v>
      </c>
      <c r="J167" s="47">
        <f t="shared" si="28"/>
        <v>0</v>
      </c>
      <c r="K167" s="47">
        <f t="shared" si="33"/>
        <v>24120</v>
      </c>
      <c r="L167" s="50">
        <f>IF(K167&gt;0,K167*JLAUNDRY!$K$15,0)</f>
        <v>2412</v>
      </c>
      <c r="M167" s="47">
        <f t="shared" si="23"/>
        <v>21708</v>
      </c>
      <c r="N167" s="47">
        <f t="shared" si="29"/>
        <v>71664</v>
      </c>
      <c r="O167" s="47">
        <f>(1+JLAUNDRY!$K$16)^-A167</f>
        <v>1</v>
      </c>
      <c r="P167" s="51">
        <f t="shared" si="30"/>
        <v>21708</v>
      </c>
      <c r="Q167" s="55">
        <f t="shared" si="31"/>
        <v>71664</v>
      </c>
    </row>
    <row r="168" spans="1:17">
      <c r="A168" s="46">
        <v>11</v>
      </c>
      <c r="B168" s="47">
        <f t="shared" si="24"/>
        <v>360</v>
      </c>
      <c r="C168" s="47">
        <f t="shared" si="32"/>
        <v>150</v>
      </c>
      <c r="D168" s="47">
        <f t="shared" si="25"/>
        <v>54000</v>
      </c>
      <c r="E168" s="47">
        <f>JLAUNDRY!$D$22</f>
        <v>29880</v>
      </c>
      <c r="F168" s="47">
        <f t="shared" si="26"/>
        <v>24120</v>
      </c>
      <c r="G168" s="47"/>
      <c r="H168" s="47"/>
      <c r="I168" s="47">
        <f t="shared" si="27"/>
        <v>24120</v>
      </c>
      <c r="J168" s="47">
        <f t="shared" si="28"/>
        <v>0</v>
      </c>
      <c r="K168" s="47">
        <f t="shared" si="33"/>
        <v>24120</v>
      </c>
      <c r="L168" s="50">
        <f>IF(K168&gt;0,K168*JLAUNDRY!$K$15,0)</f>
        <v>2412</v>
      </c>
      <c r="M168" s="47">
        <f t="shared" si="23"/>
        <v>21708</v>
      </c>
      <c r="N168" s="47">
        <f t="shared" si="29"/>
        <v>93372</v>
      </c>
      <c r="O168" s="47">
        <f>(1+JLAUNDRY!$K$16)^-A168</f>
        <v>1</v>
      </c>
      <c r="P168" s="51">
        <f t="shared" si="30"/>
        <v>21708</v>
      </c>
      <c r="Q168" s="55">
        <f t="shared" si="31"/>
        <v>93372</v>
      </c>
    </row>
    <row r="169" spans="1:17">
      <c r="A169" s="42">
        <v>12</v>
      </c>
      <c r="B169" s="47">
        <f t="shared" si="24"/>
        <v>360</v>
      </c>
      <c r="C169" s="47">
        <f t="shared" si="32"/>
        <v>150</v>
      </c>
      <c r="D169" s="47">
        <f t="shared" si="25"/>
        <v>54000</v>
      </c>
      <c r="E169" s="47">
        <f>JLAUNDRY!$D$22</f>
        <v>29880</v>
      </c>
      <c r="F169" s="47">
        <f t="shared" si="26"/>
        <v>24120</v>
      </c>
      <c r="G169" s="47"/>
      <c r="H169" s="47"/>
      <c r="I169" s="47">
        <f t="shared" si="27"/>
        <v>24120</v>
      </c>
      <c r="J169" s="47">
        <f t="shared" si="28"/>
        <v>0</v>
      </c>
      <c r="K169" s="47">
        <f t="shared" si="33"/>
        <v>24120</v>
      </c>
      <c r="L169" s="50">
        <f>IF(K169&gt;0,K169*JLAUNDRY!$K$15,0)</f>
        <v>2412</v>
      </c>
      <c r="M169" s="47">
        <f t="shared" si="23"/>
        <v>21708</v>
      </c>
      <c r="N169" s="47">
        <f t="shared" si="29"/>
        <v>115080</v>
      </c>
      <c r="O169" s="47">
        <f>(1+JLAUNDRY!$K$16)^-A169</f>
        <v>1</v>
      </c>
      <c r="P169" s="51">
        <f t="shared" si="30"/>
        <v>21708</v>
      </c>
      <c r="Q169" s="55">
        <f t="shared" si="31"/>
        <v>115080</v>
      </c>
    </row>
    <row r="170" spans="1:17">
      <c r="A170" s="46">
        <v>13</v>
      </c>
      <c r="B170" s="47">
        <f t="shared" si="24"/>
        <v>360</v>
      </c>
      <c r="C170" s="47">
        <f t="shared" si="32"/>
        <v>150</v>
      </c>
      <c r="D170" s="47">
        <f t="shared" si="25"/>
        <v>54000</v>
      </c>
      <c r="E170" s="47">
        <f>JLAUNDRY!$D$22</f>
        <v>29880</v>
      </c>
      <c r="F170" s="47">
        <f t="shared" si="26"/>
        <v>24120</v>
      </c>
      <c r="G170" s="47"/>
      <c r="H170" s="47"/>
      <c r="I170" s="47">
        <f t="shared" si="27"/>
        <v>24120</v>
      </c>
      <c r="J170" s="47">
        <f t="shared" si="28"/>
        <v>0</v>
      </c>
      <c r="K170" s="47">
        <f t="shared" si="33"/>
        <v>24120</v>
      </c>
      <c r="L170" s="50">
        <f>IF(K170&gt;0,K170*JLAUNDRY!$K$15,0)</f>
        <v>2412</v>
      </c>
      <c r="M170" s="47">
        <f t="shared" si="23"/>
        <v>21708</v>
      </c>
      <c r="N170" s="47">
        <f t="shared" si="29"/>
        <v>136788</v>
      </c>
      <c r="O170" s="47">
        <f>(1+JLAUNDRY!$K$16)^-A170</f>
        <v>1</v>
      </c>
      <c r="P170" s="51">
        <f t="shared" si="30"/>
        <v>21708</v>
      </c>
      <c r="Q170" s="55">
        <f t="shared" si="31"/>
        <v>136788</v>
      </c>
    </row>
    <row r="171" spans="1:17">
      <c r="A171" s="42">
        <v>14</v>
      </c>
      <c r="B171" s="47">
        <f t="shared" si="24"/>
        <v>360</v>
      </c>
      <c r="C171" s="47">
        <f t="shared" si="32"/>
        <v>150</v>
      </c>
      <c r="D171" s="47">
        <f t="shared" si="25"/>
        <v>54000</v>
      </c>
      <c r="E171" s="47">
        <f>JLAUNDRY!$D$22</f>
        <v>29880</v>
      </c>
      <c r="F171" s="47">
        <f t="shared" si="26"/>
        <v>24120</v>
      </c>
      <c r="G171" s="47"/>
      <c r="H171" s="47"/>
      <c r="I171" s="47">
        <f t="shared" si="27"/>
        <v>24120</v>
      </c>
      <c r="J171" s="47">
        <f t="shared" si="28"/>
        <v>0</v>
      </c>
      <c r="K171" s="47">
        <f t="shared" si="33"/>
        <v>24120</v>
      </c>
      <c r="L171" s="50">
        <f>IF(K171&gt;0,K171*JLAUNDRY!$K$15,0)</f>
        <v>2412</v>
      </c>
      <c r="M171" s="47">
        <f t="shared" si="23"/>
        <v>21708</v>
      </c>
      <c r="N171" s="47">
        <f t="shared" si="29"/>
        <v>158496</v>
      </c>
      <c r="O171" s="47">
        <f>(1+JLAUNDRY!$K$16)^-A171</f>
        <v>1</v>
      </c>
      <c r="P171" s="51">
        <f t="shared" si="30"/>
        <v>21708</v>
      </c>
      <c r="Q171" s="55">
        <f t="shared" si="31"/>
        <v>158496</v>
      </c>
    </row>
    <row r="172" spans="1:17">
      <c r="A172" s="46">
        <v>15</v>
      </c>
      <c r="B172" s="47">
        <f t="shared" si="24"/>
        <v>360</v>
      </c>
      <c r="C172" s="47">
        <f t="shared" si="32"/>
        <v>150</v>
      </c>
      <c r="D172" s="47">
        <f t="shared" si="25"/>
        <v>54000</v>
      </c>
      <c r="E172" s="47">
        <f>JLAUNDRY!$D$22</f>
        <v>29880</v>
      </c>
      <c r="F172" s="47">
        <f t="shared" si="26"/>
        <v>24120</v>
      </c>
      <c r="G172" s="47"/>
      <c r="H172" s="47"/>
      <c r="I172" s="47">
        <f t="shared" si="27"/>
        <v>24120</v>
      </c>
      <c r="J172" s="47">
        <f t="shared" si="28"/>
        <v>0</v>
      </c>
      <c r="K172" s="53">
        <f t="shared" si="33"/>
        <v>24120</v>
      </c>
      <c r="L172" s="50">
        <f>IF(K172&gt;0,K172*JLAUNDRY!$K$15,0)</f>
        <v>2412</v>
      </c>
      <c r="M172" s="47">
        <f t="shared" si="23"/>
        <v>21708</v>
      </c>
      <c r="N172" s="47">
        <f t="shared" si="29"/>
        <v>180204</v>
      </c>
      <c r="O172" s="47">
        <f>(1+JLAUNDRY!$K$16)^-A172</f>
        <v>1</v>
      </c>
      <c r="P172" s="51">
        <f t="shared" si="30"/>
        <v>21708</v>
      </c>
      <c r="Q172" s="55">
        <f t="shared" si="31"/>
        <v>180204</v>
      </c>
    </row>
    <row r="173" spans="1:17">
      <c r="A173" s="42">
        <v>16</v>
      </c>
      <c r="B173" s="47">
        <f t="shared" si="24"/>
        <v>360</v>
      </c>
      <c r="C173" s="47">
        <f t="shared" si="32"/>
        <v>150</v>
      </c>
      <c r="D173" s="47">
        <f t="shared" si="25"/>
        <v>54000</v>
      </c>
      <c r="E173" s="47">
        <f>JLAUNDRY!$D$22</f>
        <v>29880</v>
      </c>
      <c r="F173" s="47">
        <f t="shared" si="26"/>
        <v>24120</v>
      </c>
      <c r="G173" s="47"/>
      <c r="H173" s="47"/>
      <c r="I173" s="47">
        <f t="shared" si="27"/>
        <v>24120</v>
      </c>
      <c r="J173" s="47">
        <f t="shared" si="28"/>
        <v>0</v>
      </c>
      <c r="K173" s="47">
        <f t="shared" si="33"/>
        <v>24120</v>
      </c>
      <c r="L173" s="50">
        <f>IF(K173&gt;0,K173*JLAUNDRY!$K$15,0)</f>
        <v>2412</v>
      </c>
      <c r="M173" s="47">
        <f t="shared" si="23"/>
        <v>21708</v>
      </c>
      <c r="N173" s="47">
        <f t="shared" si="29"/>
        <v>201912</v>
      </c>
      <c r="O173" s="47">
        <f>(1+JLAUNDRY!$K$16)^-A173</f>
        <v>1</v>
      </c>
      <c r="P173" s="51">
        <f t="shared" si="30"/>
        <v>21708</v>
      </c>
      <c r="Q173" s="55">
        <f t="shared" si="31"/>
        <v>201912</v>
      </c>
    </row>
    <row r="174" spans="1:17">
      <c r="A174" s="46">
        <v>17</v>
      </c>
      <c r="B174" s="47">
        <f t="shared" si="24"/>
        <v>360</v>
      </c>
      <c r="C174" s="47">
        <f t="shared" si="32"/>
        <v>150</v>
      </c>
      <c r="D174" s="47">
        <f t="shared" si="25"/>
        <v>54000</v>
      </c>
      <c r="E174" s="47">
        <f>JLAUNDRY!$D$22</f>
        <v>29880</v>
      </c>
      <c r="F174" s="47">
        <f t="shared" si="26"/>
        <v>24120</v>
      </c>
      <c r="G174" s="47"/>
      <c r="H174" s="47"/>
      <c r="I174" s="47">
        <f t="shared" si="27"/>
        <v>24120</v>
      </c>
      <c r="J174" s="47">
        <f t="shared" si="28"/>
        <v>0</v>
      </c>
      <c r="K174" s="47">
        <f t="shared" si="33"/>
        <v>24120</v>
      </c>
      <c r="L174" s="50">
        <f>IF(K174&gt;0,K174*JLAUNDRY!$K$15,0)</f>
        <v>2412</v>
      </c>
      <c r="M174" s="47">
        <f t="shared" si="23"/>
        <v>21708</v>
      </c>
      <c r="N174" s="47">
        <f t="shared" si="29"/>
        <v>223620</v>
      </c>
      <c r="O174" s="47">
        <f>(1+JLAUNDRY!$K$16)^-A174</f>
        <v>1</v>
      </c>
      <c r="P174" s="51">
        <f t="shared" si="30"/>
        <v>21708</v>
      </c>
      <c r="Q174" s="55">
        <f t="shared" si="31"/>
        <v>223620</v>
      </c>
    </row>
    <row r="175" spans="1:17">
      <c r="A175" s="42">
        <v>18</v>
      </c>
      <c r="B175" s="47">
        <f t="shared" si="24"/>
        <v>360</v>
      </c>
      <c r="C175" s="47">
        <f t="shared" si="32"/>
        <v>150</v>
      </c>
      <c r="D175" s="47">
        <f t="shared" si="25"/>
        <v>54000</v>
      </c>
      <c r="E175" s="47">
        <f>JLAUNDRY!$D$22</f>
        <v>29880</v>
      </c>
      <c r="F175" s="47">
        <f t="shared" si="26"/>
        <v>24120</v>
      </c>
      <c r="G175" s="47"/>
      <c r="H175" s="47"/>
      <c r="I175" s="47">
        <f t="shared" si="27"/>
        <v>24120</v>
      </c>
      <c r="J175" s="47">
        <f t="shared" si="28"/>
        <v>0</v>
      </c>
      <c r="K175" s="47">
        <f t="shared" si="33"/>
        <v>24120</v>
      </c>
      <c r="L175" s="50">
        <f>IF(K175&gt;0,K175*JLAUNDRY!$K$15,0)</f>
        <v>2412</v>
      </c>
      <c r="M175" s="47">
        <f t="shared" si="23"/>
        <v>21708</v>
      </c>
      <c r="N175" s="47">
        <f t="shared" si="29"/>
        <v>245328</v>
      </c>
      <c r="O175" s="47">
        <f>(1+JLAUNDRY!$K$16)^-A175</f>
        <v>1</v>
      </c>
      <c r="P175" s="51">
        <f t="shared" si="30"/>
        <v>21708</v>
      </c>
      <c r="Q175" s="55">
        <f t="shared" si="31"/>
        <v>245328</v>
      </c>
    </row>
    <row r="176" spans="1:17">
      <c r="A176" s="46">
        <v>19</v>
      </c>
      <c r="B176" s="47">
        <f t="shared" si="24"/>
        <v>360</v>
      </c>
      <c r="C176" s="47">
        <f t="shared" si="32"/>
        <v>150</v>
      </c>
      <c r="D176" s="47">
        <f t="shared" si="25"/>
        <v>54000</v>
      </c>
      <c r="E176" s="47">
        <f>JLAUNDRY!$D$22</f>
        <v>29880</v>
      </c>
      <c r="F176" s="47">
        <f t="shared" si="26"/>
        <v>24120</v>
      </c>
      <c r="G176" s="47"/>
      <c r="H176" s="47"/>
      <c r="I176" s="47">
        <f t="shared" si="27"/>
        <v>24120</v>
      </c>
      <c r="J176" s="47">
        <f t="shared" si="28"/>
        <v>0</v>
      </c>
      <c r="K176" s="47">
        <f t="shared" si="33"/>
        <v>24120</v>
      </c>
      <c r="L176" s="50">
        <f>IF(K176&gt;0,K176*JLAUNDRY!$K$15,0)</f>
        <v>2412</v>
      </c>
      <c r="M176" s="47">
        <f t="shared" si="23"/>
        <v>21708</v>
      </c>
      <c r="N176" s="47">
        <f t="shared" si="29"/>
        <v>267036</v>
      </c>
      <c r="O176" s="47">
        <f>(1+JLAUNDRY!$K$16)^-A176</f>
        <v>1</v>
      </c>
      <c r="P176" s="51">
        <f t="shared" si="30"/>
        <v>21708</v>
      </c>
      <c r="Q176" s="55">
        <f t="shared" si="31"/>
        <v>267036</v>
      </c>
    </row>
    <row r="177" spans="1:17">
      <c r="A177" s="42">
        <v>20</v>
      </c>
      <c r="B177" s="47">
        <f t="shared" si="24"/>
        <v>360</v>
      </c>
      <c r="C177" s="47">
        <f t="shared" si="32"/>
        <v>150</v>
      </c>
      <c r="D177" s="47">
        <f t="shared" si="25"/>
        <v>54000</v>
      </c>
      <c r="E177" s="47">
        <f>JLAUNDRY!$D$22</f>
        <v>29880</v>
      </c>
      <c r="F177" s="47">
        <f t="shared" si="26"/>
        <v>24120</v>
      </c>
      <c r="G177" s="47"/>
      <c r="H177" s="47"/>
      <c r="I177" s="47">
        <f t="shared" si="27"/>
        <v>24120</v>
      </c>
      <c r="J177" s="47">
        <f t="shared" si="28"/>
        <v>0</v>
      </c>
      <c r="K177" s="47">
        <f t="shared" si="33"/>
        <v>24120</v>
      </c>
      <c r="L177" s="50">
        <f>IF(K177&gt;0,K177*JLAUNDRY!$K$15,0)</f>
        <v>2412</v>
      </c>
      <c r="M177" s="47">
        <f t="shared" si="23"/>
        <v>21708</v>
      </c>
      <c r="N177" s="47">
        <f t="shared" si="29"/>
        <v>288744</v>
      </c>
      <c r="O177" s="47">
        <f>(1+JLAUNDRY!$K$16)^-A177</f>
        <v>1</v>
      </c>
      <c r="P177" s="51">
        <f t="shared" si="30"/>
        <v>21708</v>
      </c>
      <c r="Q177" s="55">
        <f t="shared" si="31"/>
        <v>288744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288744</v>
      </c>
      <c r="Q178" s="55"/>
    </row>
  </sheetData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8"/>
  <sheetViews>
    <sheetView zoomScale="53" zoomScaleNormal="53" topLeftCell="A58" workbookViewId="0">
      <selection activeCell="E60" sqref="E60"/>
    </sheetView>
  </sheetViews>
  <sheetFormatPr defaultColWidth="9.14285714285714" defaultRowHeight="15"/>
  <cols>
    <col min="1" max="1" width="9.28571428571429" customWidth="1"/>
    <col min="2" max="2" width="16.3809523809524" customWidth="1"/>
    <col min="3" max="3" width="12.1809523809524" customWidth="1"/>
    <col min="4" max="5" width="14"/>
    <col min="6" max="6" width="15.1428571428571" customWidth="1"/>
    <col min="7" max="8" width="14"/>
    <col min="9" max="9" width="12.5714285714286" customWidth="1"/>
    <col min="10" max="10" width="11.8571428571429" customWidth="1"/>
    <col min="11" max="11" width="10.4285714285714" customWidth="1"/>
    <col min="12" max="12" width="14"/>
    <col min="13" max="18" width="12.8571428571429"/>
    <col min="19" max="19" width="11.7142857142857"/>
    <col min="20" max="20" width="12.8571428571429"/>
    <col min="21" max="21" width="11.7142857142857"/>
    <col min="22" max="22" width="12.8571428571429"/>
    <col min="23" max="23" width="13.9809523809524" customWidth="1"/>
    <col min="24" max="27" width="14"/>
    <col min="28" max="30" width="12.8571428571429"/>
    <col min="31" max="31" width="14"/>
    <col min="32" max="36" width="12.8571428571429"/>
    <col min="37" max="38" width="11.7142857142857"/>
    <col min="39" max="39" width="12.8571428571429"/>
    <col min="40" max="40" width="11.7142857142857"/>
    <col min="41" max="41" width="12.8571428571429"/>
    <col min="42" max="42" width="14"/>
  </cols>
  <sheetData>
    <row r="1" ht="47.25" spans="1:5">
      <c r="A1" s="1" t="s">
        <v>51</v>
      </c>
      <c r="E1" s="2"/>
    </row>
    <row r="2" spans="1:24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 spans="1:24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 spans="1:24">
      <c r="A4" s="36" t="s">
        <v>52</v>
      </c>
      <c r="B4" s="307">
        <f>FORECAST(0,D6:E6,D7:E7)</f>
        <v>0.353842766228082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 spans="1:24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 spans="1:24">
      <c r="A6" s="31"/>
      <c r="B6" s="67" t="s">
        <v>53</v>
      </c>
      <c r="C6" s="33">
        <f>'MINERAL CARBONATION'!K16</f>
        <v>0.1</v>
      </c>
      <c r="D6" s="33">
        <f>D11</f>
        <v>0.15</v>
      </c>
      <c r="E6" s="33">
        <f>$D$18</f>
        <v>0.3</v>
      </c>
      <c r="F6" s="33">
        <f>D25</f>
        <v>0.45</v>
      </c>
      <c r="G6" s="31"/>
      <c r="H6" s="35" t="s">
        <v>54</v>
      </c>
      <c r="I6" s="64">
        <f>C7</f>
        <v>5.02282052676524</v>
      </c>
      <c r="J6" s="64">
        <f>D7</f>
        <v>3.0490798405623</v>
      </c>
      <c r="K6" s="64">
        <f>E7</f>
        <v>0.80538002944123</v>
      </c>
      <c r="L6" s="64">
        <f>F7</f>
        <v>0.202505870608466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 ht="30" spans="1:24">
      <c r="A7" s="31"/>
      <c r="B7" s="35" t="s">
        <v>54</v>
      </c>
      <c r="C7" s="64">
        <f>'MINERAL CARBONATION 2'!Q24</f>
        <v>5.02282052676524</v>
      </c>
      <c r="D7" s="64">
        <f>W15</f>
        <v>3.0490798405623</v>
      </c>
      <c r="E7" s="64">
        <f>W22</f>
        <v>0.80538002944123</v>
      </c>
      <c r="F7" s="64">
        <f>W29</f>
        <v>0.202505870608466</v>
      </c>
      <c r="G7" s="31"/>
      <c r="H7" s="67" t="s">
        <v>24</v>
      </c>
      <c r="I7" s="33">
        <f>C6</f>
        <v>0.1</v>
      </c>
      <c r="J7" s="33">
        <f>D6</f>
        <v>0.15</v>
      </c>
      <c r="K7" s="33">
        <f>E6</f>
        <v>0.3</v>
      </c>
      <c r="L7" s="33">
        <f>F6</f>
        <v>0.45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 spans="1:24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24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 spans="1:24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24">
      <c r="A11" s="11"/>
      <c r="B11" s="308" t="s">
        <v>55</v>
      </c>
      <c r="C11" s="35"/>
      <c r="D11" s="35">
        <f>'MINERAL CARBONATION'!K16+5%</f>
        <v>0.15</v>
      </c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314"/>
      <c r="S11" s="234"/>
      <c r="T11" s="234"/>
      <c r="U11" s="234"/>
      <c r="V11" s="234"/>
      <c r="W11" s="235" t="s">
        <v>56</v>
      </c>
      <c r="X11" s="31"/>
    </row>
    <row r="12" spans="1:24">
      <c r="A12" s="11" t="s">
        <v>34</v>
      </c>
      <c r="B12" s="31">
        <v>0</v>
      </c>
      <c r="C12" s="31">
        <v>1</v>
      </c>
      <c r="D12" s="31">
        <v>2</v>
      </c>
      <c r="E12" s="31">
        <v>3</v>
      </c>
      <c r="F12" s="31">
        <v>4</v>
      </c>
      <c r="G12" s="31">
        <v>5</v>
      </c>
      <c r="H12" s="31">
        <v>6</v>
      </c>
      <c r="I12" s="31">
        <v>7</v>
      </c>
      <c r="J12" s="31">
        <v>8</v>
      </c>
      <c r="K12" s="31">
        <v>9</v>
      </c>
      <c r="L12" s="31">
        <v>10</v>
      </c>
      <c r="M12" s="31">
        <v>11</v>
      </c>
      <c r="N12" s="31">
        <v>12</v>
      </c>
      <c r="O12" s="31">
        <v>13</v>
      </c>
      <c r="P12" s="31">
        <v>14</v>
      </c>
      <c r="Q12" s="31">
        <v>15</v>
      </c>
      <c r="R12" s="31">
        <v>16</v>
      </c>
      <c r="S12" s="31">
        <v>17</v>
      </c>
      <c r="T12" s="31">
        <v>18</v>
      </c>
      <c r="U12" s="31">
        <v>19</v>
      </c>
      <c r="V12" s="31">
        <v>20</v>
      </c>
      <c r="W12" s="315"/>
      <c r="X12" s="31"/>
    </row>
    <row r="13" ht="45" spans="1:24">
      <c r="A13" s="11" t="s">
        <v>57</v>
      </c>
      <c r="B13" s="309">
        <f>'MINERAL CARBONATION 2'!M4</f>
        <v>0</v>
      </c>
      <c r="C13" s="309">
        <f>'MINERAL CARBONATION 2'!M5</f>
        <v>-0.2</v>
      </c>
      <c r="D13" s="309">
        <f>'MINERAL CARBONATION 2'!M6</f>
        <v>-0.2</v>
      </c>
      <c r="E13" s="309">
        <f>'MINERAL CARBONATION 2'!M7</f>
        <v>-0.2</v>
      </c>
      <c r="F13" s="309">
        <f>'MINERAL CARBONATION 2'!M8</f>
        <v>-0.2</v>
      </c>
      <c r="G13" s="309">
        <f>'MINERAL CARBONATION 2'!M9</f>
        <v>1.2</v>
      </c>
      <c r="H13" s="309">
        <f>'MINERAL CARBONATION 2'!M10</f>
        <v>1.04</v>
      </c>
      <c r="I13" s="309">
        <f>'MINERAL CARBONATION 2'!M11</f>
        <v>1.04</v>
      </c>
      <c r="J13" s="309">
        <f>'MINERAL CARBONATION 2'!M12</f>
        <v>1.04</v>
      </c>
      <c r="K13" s="309">
        <f>'MINERAL CARBONATION 2'!M13</f>
        <v>1.04</v>
      </c>
      <c r="L13" s="309">
        <f>'MINERAL CARBONATION 2'!M14</f>
        <v>1.04</v>
      </c>
      <c r="M13" s="309">
        <f>'MINERAL CARBONATION 2'!M15</f>
        <v>1.04</v>
      </c>
      <c r="N13" s="309">
        <f>'MINERAL CARBONATION 2'!M16</f>
        <v>1.04</v>
      </c>
      <c r="O13" s="309">
        <f>'MINERAL CARBONATION 2'!M17</f>
        <v>1.04</v>
      </c>
      <c r="P13" s="309">
        <f>'MINERAL CARBONATION 2'!M18</f>
        <v>1.04</v>
      </c>
      <c r="Q13" s="309">
        <f>'MINERAL CARBONATION 2'!M19</f>
        <v>1.04</v>
      </c>
      <c r="R13" s="309">
        <f>'MINERAL CARBONATION 2'!M20</f>
        <v>1.04</v>
      </c>
      <c r="S13" s="309">
        <f>'MINERAL CARBONATION 2'!M21</f>
        <v>1.04</v>
      </c>
      <c r="T13" s="309">
        <f>'MINERAL CARBONATION 2'!M22</f>
        <v>1.04</v>
      </c>
      <c r="U13" s="309">
        <f>'MINERAL CARBONATION 2'!M23</f>
        <v>1.04</v>
      </c>
      <c r="V13" s="309">
        <f>'MINERAL CARBONATION 2'!M24</f>
        <v>1.04</v>
      </c>
      <c r="W13" s="316"/>
      <c r="X13" s="31"/>
    </row>
    <row r="14" ht="30" spans="1:24">
      <c r="A14" s="11" t="s">
        <v>58</v>
      </c>
      <c r="B14" s="309">
        <f>(1+$D$11)^-B12</f>
        <v>1</v>
      </c>
      <c r="C14" s="309">
        <f>(1+$D$11)^-C12</f>
        <v>0.869565217391304</v>
      </c>
      <c r="D14" s="309">
        <f>(1+$D$11)^-D12</f>
        <v>0.756143667296787</v>
      </c>
      <c r="E14" s="309">
        <f>(1+$D$11)^-E12</f>
        <v>0.657516232431988</v>
      </c>
      <c r="F14" s="309">
        <f>(1+$D$11)^-F12</f>
        <v>0.571753245593033</v>
      </c>
      <c r="G14" s="309">
        <f>(1+$D$11)^-G12</f>
        <v>0.49717673529829</v>
      </c>
      <c r="H14" s="309">
        <f>(1+$D$11)^-H12</f>
        <v>0.432327595911557</v>
      </c>
      <c r="I14" s="309">
        <f>(1+$D$11)^-I12</f>
        <v>0.375937039923093</v>
      </c>
      <c r="J14" s="309">
        <f>(1+$D$11)^-J12</f>
        <v>0.326901773846168</v>
      </c>
      <c r="K14" s="309">
        <f>(1+$D$11)^-K12</f>
        <v>0.284262412040146</v>
      </c>
      <c r="L14" s="309">
        <f>(1+$D$11)^-L12</f>
        <v>0.247184706121866</v>
      </c>
      <c r="M14" s="309">
        <f>(1+$D$11)^-M12</f>
        <v>0.214943222714666</v>
      </c>
      <c r="N14" s="309">
        <f>(1+$D$11)^-N12</f>
        <v>0.186907150186666</v>
      </c>
      <c r="O14" s="309">
        <f>(1+$D$11)^-O12</f>
        <v>0.162527956684057</v>
      </c>
      <c r="P14" s="309">
        <f>(1+$D$11)^-P12</f>
        <v>0.141328657986137</v>
      </c>
      <c r="Q14" s="309">
        <f>(1+$D$11)^-Q12</f>
        <v>0.122894485205336</v>
      </c>
      <c r="R14" s="309">
        <f>(1+$D$11)^-R12</f>
        <v>0.106864769743771</v>
      </c>
      <c r="S14" s="309">
        <f>(1+$D$11)^-S12</f>
        <v>0.0929258867337138</v>
      </c>
      <c r="T14" s="309">
        <f>(1+$D$11)^-T12</f>
        <v>0.0808051188988816</v>
      </c>
      <c r="U14" s="309">
        <f>(1+$D$11)^-U12</f>
        <v>0.0702653207816362</v>
      </c>
      <c r="V14" s="309">
        <f>(1+$D$11)^-V12</f>
        <v>0.0611002789405532</v>
      </c>
      <c r="W14" s="315"/>
      <c r="X14" s="31"/>
    </row>
    <row r="15" ht="30" spans="1:24">
      <c r="A15" s="11" t="s">
        <v>59</v>
      </c>
      <c r="B15" s="310">
        <f t="shared" ref="B15:Q15" si="0">B13*B14</f>
        <v>0</v>
      </c>
      <c r="C15" s="310">
        <f t="shared" si="0"/>
        <v>-0.173913043478261</v>
      </c>
      <c r="D15" s="310">
        <f t="shared" si="0"/>
        <v>-0.151228733459357</v>
      </c>
      <c r="E15" s="310">
        <f t="shared" si="0"/>
        <v>-0.131503246486398</v>
      </c>
      <c r="F15" s="310">
        <f t="shared" si="0"/>
        <v>-0.114350649118607</v>
      </c>
      <c r="G15" s="310">
        <f t="shared" si="0"/>
        <v>0.596612082357948</v>
      </c>
      <c r="H15" s="310">
        <f t="shared" si="0"/>
        <v>0.449620699748019</v>
      </c>
      <c r="I15" s="310">
        <f t="shared" si="0"/>
        <v>0.390974521520017</v>
      </c>
      <c r="J15" s="310">
        <f t="shared" si="0"/>
        <v>0.339977844800015</v>
      </c>
      <c r="K15" s="310">
        <f t="shared" si="0"/>
        <v>0.295632908521752</v>
      </c>
      <c r="L15" s="310">
        <f t="shared" si="0"/>
        <v>0.257072094366741</v>
      </c>
      <c r="M15" s="310">
        <f t="shared" si="0"/>
        <v>0.223540951623253</v>
      </c>
      <c r="N15" s="310">
        <f t="shared" si="0"/>
        <v>0.194383436194133</v>
      </c>
      <c r="O15" s="310">
        <f t="shared" ref="O15:V15" si="1">N13*O14</f>
        <v>0.169029074951419</v>
      </c>
      <c r="P15" s="310">
        <f t="shared" si="1"/>
        <v>0.146981804305582</v>
      </c>
      <c r="Q15" s="310">
        <f t="shared" si="1"/>
        <v>0.127810264613549</v>
      </c>
      <c r="R15" s="310">
        <f t="shared" si="1"/>
        <v>0.111139360533522</v>
      </c>
      <c r="S15" s="310">
        <f t="shared" si="1"/>
        <v>0.0966429222030624</v>
      </c>
      <c r="T15" s="310">
        <f t="shared" si="1"/>
        <v>0.0840373236548369</v>
      </c>
      <c r="U15" s="310">
        <f t="shared" si="1"/>
        <v>0.0730759336129017</v>
      </c>
      <c r="V15" s="310">
        <f t="shared" si="1"/>
        <v>0.0635442900981753</v>
      </c>
      <c r="W15" s="317">
        <f>SUM(B15:V15)</f>
        <v>3.0490798405623</v>
      </c>
      <c r="X15" s="31"/>
    </row>
    <row r="16" spans="1:24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 spans="1:24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24">
      <c r="A18" s="188"/>
      <c r="B18" s="308" t="s">
        <v>55</v>
      </c>
      <c r="C18" s="35"/>
      <c r="D18" s="35">
        <f>D11+15%</f>
        <v>0.3</v>
      </c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314"/>
      <c r="S18" s="234"/>
      <c r="T18" s="234"/>
      <c r="U18" s="234"/>
      <c r="V18" s="234"/>
      <c r="W18" s="235" t="s">
        <v>56</v>
      </c>
      <c r="X18" s="187"/>
    </row>
    <row r="19" spans="1:24">
      <c r="A19" s="186" t="s">
        <v>34</v>
      </c>
      <c r="B19" s="31">
        <v>0</v>
      </c>
      <c r="C19" s="31">
        <v>1</v>
      </c>
      <c r="D19" s="31">
        <v>2</v>
      </c>
      <c r="E19" s="31">
        <v>3</v>
      </c>
      <c r="F19" s="31">
        <v>4</v>
      </c>
      <c r="G19" s="31">
        <v>5</v>
      </c>
      <c r="H19" s="31">
        <v>6</v>
      </c>
      <c r="I19" s="31">
        <v>7</v>
      </c>
      <c r="J19" s="31">
        <v>8</v>
      </c>
      <c r="K19" s="31">
        <v>9</v>
      </c>
      <c r="L19" s="31">
        <v>10</v>
      </c>
      <c r="M19" s="31">
        <v>11</v>
      </c>
      <c r="N19" s="31">
        <v>12</v>
      </c>
      <c r="O19" s="31">
        <v>13</v>
      </c>
      <c r="P19" s="31">
        <v>14</v>
      </c>
      <c r="Q19" s="31">
        <v>15</v>
      </c>
      <c r="R19" s="31">
        <v>16</v>
      </c>
      <c r="S19" s="31">
        <v>17</v>
      </c>
      <c r="T19" s="31">
        <v>18</v>
      </c>
      <c r="U19" s="31">
        <v>19</v>
      </c>
      <c r="V19" s="31">
        <v>20</v>
      </c>
      <c r="W19" s="315"/>
      <c r="X19" s="31"/>
    </row>
    <row r="20" ht="45" spans="1:24">
      <c r="A20" s="186" t="s">
        <v>57</v>
      </c>
      <c r="B20" s="309">
        <f t="shared" ref="B20:Q20" si="2">B13</f>
        <v>0</v>
      </c>
      <c r="C20" s="309">
        <f t="shared" si="2"/>
        <v>-0.2</v>
      </c>
      <c r="D20" s="309">
        <f t="shared" si="2"/>
        <v>-0.2</v>
      </c>
      <c r="E20" s="309">
        <f t="shared" si="2"/>
        <v>-0.2</v>
      </c>
      <c r="F20" s="309">
        <f t="shared" si="2"/>
        <v>-0.2</v>
      </c>
      <c r="G20" s="309">
        <f t="shared" si="2"/>
        <v>1.2</v>
      </c>
      <c r="H20" s="309">
        <f t="shared" si="2"/>
        <v>1.04</v>
      </c>
      <c r="I20" s="309">
        <f t="shared" si="2"/>
        <v>1.04</v>
      </c>
      <c r="J20" s="309">
        <f t="shared" si="2"/>
        <v>1.04</v>
      </c>
      <c r="K20" s="309">
        <f t="shared" si="2"/>
        <v>1.04</v>
      </c>
      <c r="L20" s="309">
        <f t="shared" si="2"/>
        <v>1.04</v>
      </c>
      <c r="M20" s="309">
        <f t="shared" si="2"/>
        <v>1.04</v>
      </c>
      <c r="N20" s="309">
        <f t="shared" si="2"/>
        <v>1.04</v>
      </c>
      <c r="O20" s="309">
        <f>N13</f>
        <v>1.04</v>
      </c>
      <c r="P20" s="309">
        <f>O13</f>
        <v>1.04</v>
      </c>
      <c r="Q20" s="309">
        <f>P13</f>
        <v>1.04</v>
      </c>
      <c r="R20" s="309">
        <f>R13</f>
        <v>1.04</v>
      </c>
      <c r="S20" s="309">
        <f>S13</f>
        <v>1.04</v>
      </c>
      <c r="T20" s="309">
        <f>T13</f>
        <v>1.04</v>
      </c>
      <c r="U20" s="309">
        <f>U13</f>
        <v>1.04</v>
      </c>
      <c r="V20" s="309">
        <f>V13</f>
        <v>1.04</v>
      </c>
      <c r="W20" s="315"/>
      <c r="X20" s="31"/>
    </row>
    <row r="21" ht="30" spans="1:24">
      <c r="A21" s="186" t="s">
        <v>58</v>
      </c>
      <c r="B21" s="309">
        <f>(1+$D$18)^-B19</f>
        <v>1</v>
      </c>
      <c r="C21" s="309">
        <f>(1+$D$18)^-C19</f>
        <v>0.769230769230769</v>
      </c>
      <c r="D21" s="309">
        <f>(1+$D$18)^-D19</f>
        <v>0.591715976331361</v>
      </c>
      <c r="E21" s="309">
        <f>(1+$D$18)^-E19</f>
        <v>0.455166135639508</v>
      </c>
      <c r="F21" s="309">
        <f>(1+$D$18)^-F19</f>
        <v>0.350127796645776</v>
      </c>
      <c r="G21" s="309">
        <f>(1+$D$18)^-G19</f>
        <v>0.269329074342904</v>
      </c>
      <c r="H21" s="309">
        <f>(1+$D$18)^-H19</f>
        <v>0.207176211033003</v>
      </c>
      <c r="I21" s="309">
        <f>(1+$D$18)^-I19</f>
        <v>0.159366316179233</v>
      </c>
      <c r="J21" s="309">
        <f>(1+$D$18)^-J19</f>
        <v>0.122589473984026</v>
      </c>
      <c r="K21" s="309">
        <f>(1+$D$18)^-K19</f>
        <v>0.0942995953723274</v>
      </c>
      <c r="L21" s="309">
        <f>(1+$D$18)^-L19</f>
        <v>0.0725381502864057</v>
      </c>
      <c r="M21" s="309">
        <f>(1+$D$18)^-M19</f>
        <v>0.055798577143389</v>
      </c>
      <c r="N21" s="313">
        <f>(1+$D$18)^-N19</f>
        <v>0.0429219824179915</v>
      </c>
      <c r="O21" s="309">
        <f>(1+$D$18)^-O19</f>
        <v>0.0330169095523012</v>
      </c>
      <c r="P21" s="309">
        <f>(1+$D$18)^-P19</f>
        <v>0.0253976227325394</v>
      </c>
      <c r="Q21" s="309">
        <f>(1+$D$18)^-Q19</f>
        <v>0.0195366328711841</v>
      </c>
      <c r="R21" s="309">
        <f>(1+$D$18)^-R19</f>
        <v>0.0150281791316801</v>
      </c>
      <c r="S21" s="309">
        <f>(1+$D$18)^-S19</f>
        <v>0.0115601377936001</v>
      </c>
      <c r="T21" s="309">
        <f>(1+$D$18)^-T19</f>
        <v>0.00889241368738467</v>
      </c>
      <c r="U21" s="309">
        <f>(1+$D$18)^-U19</f>
        <v>0.00684031822106513</v>
      </c>
      <c r="V21" s="309">
        <f>(1+$D$18)^-V19</f>
        <v>0.00526178324697318</v>
      </c>
      <c r="W21" s="315"/>
      <c r="X21" s="31"/>
    </row>
    <row r="22" ht="30" spans="1:24">
      <c r="A22" s="186" t="s">
        <v>59</v>
      </c>
      <c r="B22" s="310">
        <f t="shared" ref="B22:V22" si="3">B20*B21</f>
        <v>0</v>
      </c>
      <c r="C22" s="310">
        <f t="shared" si="3"/>
        <v>-0.153846153846154</v>
      </c>
      <c r="D22" s="310">
        <f t="shared" si="3"/>
        <v>-0.118343195266272</v>
      </c>
      <c r="E22" s="310">
        <f t="shared" si="3"/>
        <v>-0.0910332271279016</v>
      </c>
      <c r="F22" s="310">
        <f t="shared" si="3"/>
        <v>-0.0700255593291552</v>
      </c>
      <c r="G22" s="310">
        <f t="shared" si="3"/>
        <v>0.323194889211485</v>
      </c>
      <c r="H22" s="310">
        <f t="shared" si="3"/>
        <v>0.215463259474323</v>
      </c>
      <c r="I22" s="310">
        <f t="shared" si="3"/>
        <v>0.165740968826402</v>
      </c>
      <c r="J22" s="310">
        <f t="shared" si="3"/>
        <v>0.127493052943387</v>
      </c>
      <c r="K22" s="310">
        <f t="shared" si="3"/>
        <v>0.0980715791872205</v>
      </c>
      <c r="L22" s="310">
        <f t="shared" si="3"/>
        <v>0.0754396762978619</v>
      </c>
      <c r="M22" s="310">
        <f t="shared" si="3"/>
        <v>0.0580305202291246</v>
      </c>
      <c r="N22" s="310">
        <f t="shared" si="3"/>
        <v>0.0446388617147112</v>
      </c>
      <c r="O22" s="310">
        <f t="shared" si="3"/>
        <v>0.0343375859343933</v>
      </c>
      <c r="P22" s="310">
        <f t="shared" si="3"/>
        <v>0.026413527641841</v>
      </c>
      <c r="Q22" s="310">
        <f t="shared" si="3"/>
        <v>0.0203180981860315</v>
      </c>
      <c r="R22" s="310">
        <f t="shared" si="3"/>
        <v>0.0156293062969473</v>
      </c>
      <c r="S22" s="310">
        <f t="shared" si="3"/>
        <v>0.0120225433053441</v>
      </c>
      <c r="T22" s="310">
        <f t="shared" si="3"/>
        <v>0.00924811023488006</v>
      </c>
      <c r="U22" s="310">
        <f t="shared" si="3"/>
        <v>0.00711393094990774</v>
      </c>
      <c r="V22" s="310">
        <f t="shared" si="3"/>
        <v>0.00547225457685211</v>
      </c>
      <c r="W22" s="317">
        <f>SUM(B22:V22)</f>
        <v>0.80538002944123</v>
      </c>
      <c r="X22" s="31"/>
    </row>
    <row r="23" spans="1:24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spans="1: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 spans="1:24">
      <c r="A25" s="188"/>
      <c r="B25" s="308" t="s">
        <v>55</v>
      </c>
      <c r="C25" s="35"/>
      <c r="D25" s="35">
        <f>D18+15%</f>
        <v>0.45</v>
      </c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314"/>
      <c r="S25" s="234"/>
      <c r="T25" s="234"/>
      <c r="U25" s="234"/>
      <c r="V25" s="234"/>
      <c r="W25" s="235" t="s">
        <v>56</v>
      </c>
      <c r="X25" s="31"/>
    </row>
    <row r="26" spans="1:24">
      <c r="A26" s="186" t="s">
        <v>34</v>
      </c>
      <c r="B26" s="31">
        <v>0</v>
      </c>
      <c r="C26" s="31">
        <v>1</v>
      </c>
      <c r="D26" s="31">
        <v>2</v>
      </c>
      <c r="E26" s="31">
        <v>3</v>
      </c>
      <c r="F26" s="31">
        <v>4</v>
      </c>
      <c r="G26" s="31">
        <v>5</v>
      </c>
      <c r="H26" s="31">
        <v>6</v>
      </c>
      <c r="I26" s="31">
        <v>7</v>
      </c>
      <c r="J26" s="31">
        <v>8</v>
      </c>
      <c r="K26" s="31">
        <v>9</v>
      </c>
      <c r="L26" s="31">
        <v>10</v>
      </c>
      <c r="M26" s="31">
        <v>11</v>
      </c>
      <c r="N26" s="31">
        <v>12</v>
      </c>
      <c r="O26" s="31">
        <v>13</v>
      </c>
      <c r="P26" s="31">
        <v>14</v>
      </c>
      <c r="Q26" s="31">
        <v>15</v>
      </c>
      <c r="R26" s="31">
        <v>16</v>
      </c>
      <c r="S26" s="31">
        <v>17</v>
      </c>
      <c r="T26" s="31">
        <v>18</v>
      </c>
      <c r="U26" s="31">
        <v>19</v>
      </c>
      <c r="V26" s="31">
        <v>20</v>
      </c>
      <c r="W26" s="315"/>
      <c r="X26" s="31"/>
    </row>
    <row r="27" ht="45" spans="1:24">
      <c r="A27" s="186" t="s">
        <v>57</v>
      </c>
      <c r="B27" s="309">
        <f t="shared" ref="B27:N27" si="4">B20</f>
        <v>0</v>
      </c>
      <c r="C27" s="309">
        <f t="shared" si="4"/>
        <v>-0.2</v>
      </c>
      <c r="D27" s="309">
        <f t="shared" si="4"/>
        <v>-0.2</v>
      </c>
      <c r="E27" s="309">
        <f t="shared" si="4"/>
        <v>-0.2</v>
      </c>
      <c r="F27" s="309">
        <f t="shared" si="4"/>
        <v>-0.2</v>
      </c>
      <c r="G27" s="309">
        <f t="shared" si="4"/>
        <v>1.2</v>
      </c>
      <c r="H27" s="309">
        <f t="shared" si="4"/>
        <v>1.04</v>
      </c>
      <c r="I27" s="309">
        <f t="shared" si="4"/>
        <v>1.04</v>
      </c>
      <c r="J27" s="309">
        <f t="shared" si="4"/>
        <v>1.04</v>
      </c>
      <c r="K27" s="309">
        <f t="shared" si="4"/>
        <v>1.04</v>
      </c>
      <c r="L27" s="309">
        <f t="shared" si="4"/>
        <v>1.04</v>
      </c>
      <c r="M27" s="309">
        <f t="shared" si="4"/>
        <v>1.04</v>
      </c>
      <c r="N27" s="309">
        <f t="shared" si="4"/>
        <v>1.04</v>
      </c>
      <c r="O27" s="309">
        <f t="shared" ref="O27:Q27" si="5">N20</f>
        <v>1.04</v>
      </c>
      <c r="P27" s="309">
        <f t="shared" si="5"/>
        <v>1.04</v>
      </c>
      <c r="Q27" s="309">
        <f t="shared" si="5"/>
        <v>1.04</v>
      </c>
      <c r="R27" s="309">
        <f t="shared" ref="R27:V27" si="6">R20</f>
        <v>1.04</v>
      </c>
      <c r="S27" s="309">
        <f t="shared" si="6"/>
        <v>1.04</v>
      </c>
      <c r="T27" s="309">
        <f t="shared" si="6"/>
        <v>1.04</v>
      </c>
      <c r="U27" s="309">
        <f t="shared" si="6"/>
        <v>1.04</v>
      </c>
      <c r="V27" s="309">
        <f t="shared" si="6"/>
        <v>1.04</v>
      </c>
      <c r="W27" s="315"/>
      <c r="X27" s="31"/>
    </row>
    <row r="28" ht="30" spans="1:24">
      <c r="A28" s="186" t="s">
        <v>58</v>
      </c>
      <c r="B28" s="309">
        <f>(1+$D$18)^-B26</f>
        <v>1</v>
      </c>
      <c r="C28" s="309">
        <f>(1+$D$25)^-C26</f>
        <v>0.689655172413793</v>
      </c>
      <c r="D28" s="309">
        <f t="shared" ref="D28:V28" si="7">(1+$D$25)^-D26</f>
        <v>0.475624256837099</v>
      </c>
      <c r="E28" s="309">
        <f t="shared" si="7"/>
        <v>0.328016728853171</v>
      </c>
      <c r="F28" s="309">
        <f t="shared" si="7"/>
        <v>0.226218433691842</v>
      </c>
      <c r="G28" s="309">
        <f t="shared" si="7"/>
        <v>0.156012712890926</v>
      </c>
      <c r="H28" s="309">
        <f t="shared" si="7"/>
        <v>0.107594974407535</v>
      </c>
      <c r="I28" s="309">
        <f t="shared" si="7"/>
        <v>0.0742034306258862</v>
      </c>
      <c r="J28" s="309">
        <f t="shared" si="7"/>
        <v>0.0511747797419905</v>
      </c>
      <c r="K28" s="309">
        <f t="shared" si="7"/>
        <v>0.0352929515462003</v>
      </c>
      <c r="L28" s="309">
        <f t="shared" si="7"/>
        <v>0.0243399665835864</v>
      </c>
      <c r="M28" s="309">
        <f t="shared" si="7"/>
        <v>0.0167861838507493</v>
      </c>
      <c r="N28" s="309">
        <f t="shared" si="7"/>
        <v>0.0115766785177581</v>
      </c>
      <c r="O28" s="309">
        <f t="shared" si="7"/>
        <v>0.00798391621914352</v>
      </c>
      <c r="P28" s="309">
        <f t="shared" si="7"/>
        <v>0.0055061491166507</v>
      </c>
      <c r="Q28" s="309">
        <f t="shared" si="7"/>
        <v>0.00379734421837979</v>
      </c>
      <c r="R28" s="309">
        <f t="shared" si="7"/>
        <v>0.00261885808164124</v>
      </c>
      <c r="S28" s="309">
        <f t="shared" si="7"/>
        <v>0.00180610902182154</v>
      </c>
      <c r="T28" s="309">
        <f t="shared" si="7"/>
        <v>0.00124559242884244</v>
      </c>
      <c r="U28" s="309">
        <f t="shared" si="7"/>
        <v>0.00085902926127065</v>
      </c>
      <c r="V28" s="309">
        <f t="shared" si="7"/>
        <v>0.000592433973290104</v>
      </c>
      <c r="W28" s="315"/>
      <c r="X28" s="31"/>
    </row>
    <row r="29" ht="30" spans="1:24">
      <c r="A29" s="186" t="s">
        <v>59</v>
      </c>
      <c r="B29" s="310">
        <f t="shared" ref="B29:V29" si="8">B27*B28</f>
        <v>0</v>
      </c>
      <c r="C29" s="310">
        <f t="shared" si="8"/>
        <v>-0.137931034482759</v>
      </c>
      <c r="D29" s="310">
        <f t="shared" si="8"/>
        <v>-0.0951248513674198</v>
      </c>
      <c r="E29" s="310">
        <f t="shared" si="8"/>
        <v>-0.0656033457706342</v>
      </c>
      <c r="F29" s="310">
        <f t="shared" si="8"/>
        <v>-0.0452436867383684</v>
      </c>
      <c r="G29" s="310">
        <f t="shared" si="8"/>
        <v>0.187215255469111</v>
      </c>
      <c r="H29" s="310">
        <f t="shared" si="8"/>
        <v>0.111898773383836</v>
      </c>
      <c r="I29" s="310">
        <f t="shared" si="8"/>
        <v>0.0771715678509216</v>
      </c>
      <c r="J29" s="310">
        <f t="shared" si="8"/>
        <v>0.0532217709316701</v>
      </c>
      <c r="K29" s="310">
        <f t="shared" si="8"/>
        <v>0.0367046696080483</v>
      </c>
      <c r="L29" s="310">
        <f t="shared" si="8"/>
        <v>0.0253135652469299</v>
      </c>
      <c r="M29" s="310">
        <f t="shared" si="8"/>
        <v>0.0174576312047793</v>
      </c>
      <c r="N29" s="310">
        <f t="shared" si="8"/>
        <v>0.0120397456584684</v>
      </c>
      <c r="O29" s="310">
        <f t="shared" si="8"/>
        <v>0.00830327286790926</v>
      </c>
      <c r="P29" s="310">
        <f t="shared" si="8"/>
        <v>0.00572639508131673</v>
      </c>
      <c r="Q29" s="310">
        <f t="shared" si="8"/>
        <v>0.00394923798711498</v>
      </c>
      <c r="R29" s="310">
        <f t="shared" si="8"/>
        <v>0.00272361240490689</v>
      </c>
      <c r="S29" s="310">
        <f t="shared" si="8"/>
        <v>0.0018783533826944</v>
      </c>
      <c r="T29" s="310">
        <f t="shared" si="8"/>
        <v>0.00129541612599614</v>
      </c>
      <c r="U29" s="310">
        <f t="shared" si="8"/>
        <v>0.000893390431721476</v>
      </c>
      <c r="V29" s="310">
        <f t="shared" si="8"/>
        <v>0.000616131332221708</v>
      </c>
      <c r="W29" s="317">
        <f>SUM(B29:V29)</f>
        <v>0.202505870608466</v>
      </c>
      <c r="X29" s="31"/>
    </row>
    <row r="30" spans="1:24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 spans="1:24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 spans="1:24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 spans="1:24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 spans="1:2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  <row r="35" spans="1:24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</row>
    <row r="36" spans="1:24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</row>
    <row r="37" spans="1:24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</row>
    <row r="38" spans="1:24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24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</row>
    <row r="40" spans="1:24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</row>
    <row r="41" spans="1:24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</row>
    <row r="42" spans="1:24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</row>
    <row r="43" spans="1:24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</row>
    <row r="44" spans="1:2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</row>
    <row r="45" spans="1:24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24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24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24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ht="15.75" spans="1:24">
      <c r="A51" s="31"/>
      <c r="B51" s="31"/>
      <c r="C51" s="31"/>
      <c r="D51" s="31"/>
      <c r="E51" s="31"/>
      <c r="F51" s="31"/>
      <c r="G51" s="76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</row>
    <row r="53" spans="1:24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>
      <c r="A54" s="36" t="s">
        <v>60</v>
      </c>
      <c r="B54" s="36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</row>
    <row r="56" spans="1:24">
      <c r="A56" s="31"/>
      <c r="B56" s="213" t="s">
        <v>61</v>
      </c>
      <c r="C56" s="213"/>
      <c r="D56" s="311">
        <f>FORECAST(0,I61:J61,I60:J60)</f>
        <v>4.69176365384615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</row>
    <row r="57" spans="1:24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</row>
    <row r="58" spans="1:24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</row>
    <row r="59" spans="1:24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</row>
    <row r="60" ht="45" spans="1:24">
      <c r="A60" s="31"/>
      <c r="B60" s="186" t="s">
        <v>62</v>
      </c>
      <c r="C60" s="187">
        <f>'MINERAL CARBONATION 2'!Q4</f>
        <v>0</v>
      </c>
      <c r="D60" s="187">
        <f>'MINERAL CARBONATION 2'!Q5</f>
        <v>-0.181818181818182</v>
      </c>
      <c r="E60" s="187">
        <f>'MINERAL CARBONATION 2'!Q6</f>
        <v>-0.347107438016529</v>
      </c>
      <c r="F60" s="187">
        <f>'MINERAL CARBONATION 2'!Q7</f>
        <v>-0.497370398196844</v>
      </c>
      <c r="G60" s="187">
        <f>'MINERAL CARBONATION 2'!Q8</f>
        <v>-0.633973089269858</v>
      </c>
      <c r="H60" s="187">
        <f>'MINERAL CARBONATION 2'!Q9</f>
        <v>0.111132498401128</v>
      </c>
      <c r="I60" s="187">
        <f>'MINERAL CARBONATION 2'!Q10</f>
        <v>0.698185385657056</v>
      </c>
      <c r="J60" s="187">
        <f>'MINERAL CARBONATION 2'!Q11</f>
        <v>1.23186982861699</v>
      </c>
      <c r="K60" s="187">
        <f>'MINERAL CARBONATION 2'!Q12</f>
        <v>1.71703750403511</v>
      </c>
      <c r="L60" s="187">
        <f>'MINERAL CARBONATION 2'!Q13</f>
        <v>2.1580990271425</v>
      </c>
      <c r="M60" s="187">
        <f>'MINERAL CARBONATION 2'!Q14</f>
        <v>2.55906404814921</v>
      </c>
      <c r="N60" s="187">
        <f>'MINERAL CARBONATION 2'!Q15</f>
        <v>2.92357770360986</v>
      </c>
      <c r="O60" s="187">
        <f>'MINERAL CARBONATION 2'!Q16</f>
        <v>3.25495375402863</v>
      </c>
      <c r="P60" s="187">
        <f>'MINERAL CARBONATION 2'!Q17</f>
        <v>3.55620470895478</v>
      </c>
      <c r="Q60" s="187">
        <f>'MINERAL CARBONATION 2'!Q18</f>
        <v>3.83006921343311</v>
      </c>
      <c r="R60" s="187">
        <f>'MINERAL CARBONATION 2'!Q19</f>
        <v>4.07903694477704</v>
      </c>
      <c r="S60" s="187">
        <f>'MINERAL CARBONATION 2'!Q20</f>
        <v>4.30537124599879</v>
      </c>
      <c r="T60" s="187">
        <f>'MINERAL CARBONATION 2'!Q21</f>
        <v>4.51112970165493</v>
      </c>
      <c r="U60" s="187">
        <f>'MINERAL CARBONATION 2'!Q22</f>
        <v>4.69818284316051</v>
      </c>
      <c r="V60" s="187">
        <f>'MINERAL CARBONATION 2'!Q23</f>
        <v>4.86823115362013</v>
      </c>
      <c r="W60" s="187">
        <f>'MINERAL CARBONATION 2'!Q24</f>
        <v>5.02282052676524</v>
      </c>
      <c r="X60" s="31"/>
    </row>
    <row r="61" spans="1:24">
      <c r="A61" s="31"/>
      <c r="B61" s="188" t="s">
        <v>34</v>
      </c>
      <c r="C61" s="188">
        <v>0</v>
      </c>
      <c r="D61" s="188">
        <v>1</v>
      </c>
      <c r="E61" s="188">
        <v>2</v>
      </c>
      <c r="F61" s="188">
        <v>3</v>
      </c>
      <c r="G61" s="188">
        <v>4</v>
      </c>
      <c r="H61" s="188">
        <v>5</v>
      </c>
      <c r="I61" s="188">
        <v>6</v>
      </c>
      <c r="J61" s="188">
        <v>7</v>
      </c>
      <c r="K61" s="188">
        <v>8</v>
      </c>
      <c r="L61" s="188">
        <v>9</v>
      </c>
      <c r="M61" s="188">
        <v>10</v>
      </c>
      <c r="N61" s="188">
        <v>11</v>
      </c>
      <c r="O61" s="188">
        <v>12</v>
      </c>
      <c r="P61" s="188">
        <v>13</v>
      </c>
      <c r="Q61" s="188">
        <v>14</v>
      </c>
      <c r="R61" s="188">
        <v>15</v>
      </c>
      <c r="S61" s="188">
        <v>16</v>
      </c>
      <c r="T61" s="188">
        <v>17</v>
      </c>
      <c r="U61" s="188">
        <v>18</v>
      </c>
      <c r="V61" s="188">
        <v>19</v>
      </c>
      <c r="W61" s="188">
        <v>20</v>
      </c>
      <c r="X61" s="31"/>
    </row>
    <row r="62" ht="45" spans="1:24">
      <c r="A62" s="31"/>
      <c r="B62" s="186" t="s">
        <v>62</v>
      </c>
      <c r="C62" s="312">
        <f t="shared" ref="C62:W62" si="9">C60</f>
        <v>0</v>
      </c>
      <c r="D62" s="312">
        <f>$D$60</f>
        <v>-0.181818181818182</v>
      </c>
      <c r="E62" s="312">
        <f t="shared" si="9"/>
        <v>-0.347107438016529</v>
      </c>
      <c r="F62" s="312">
        <f t="shared" si="9"/>
        <v>-0.497370398196844</v>
      </c>
      <c r="G62" s="312">
        <f t="shared" si="9"/>
        <v>-0.633973089269858</v>
      </c>
      <c r="H62" s="312">
        <f t="shared" si="9"/>
        <v>0.111132498401128</v>
      </c>
      <c r="I62" s="312">
        <f t="shared" si="9"/>
        <v>0.698185385657056</v>
      </c>
      <c r="J62" s="312">
        <f t="shared" si="9"/>
        <v>1.23186982861699</v>
      </c>
      <c r="K62" s="312">
        <f t="shared" si="9"/>
        <v>1.71703750403511</v>
      </c>
      <c r="L62" s="312">
        <f t="shared" si="9"/>
        <v>2.1580990271425</v>
      </c>
      <c r="M62" s="312">
        <f t="shared" si="9"/>
        <v>2.55906404814921</v>
      </c>
      <c r="N62" s="312">
        <f t="shared" si="9"/>
        <v>2.92357770360986</v>
      </c>
      <c r="O62" s="312">
        <f t="shared" si="9"/>
        <v>3.25495375402863</v>
      </c>
      <c r="P62" s="312">
        <f t="shared" si="9"/>
        <v>3.55620470895478</v>
      </c>
      <c r="Q62" s="312">
        <f t="shared" si="9"/>
        <v>3.83006921343311</v>
      </c>
      <c r="R62" s="312">
        <f t="shared" si="9"/>
        <v>4.07903694477704</v>
      </c>
      <c r="S62" s="312">
        <f t="shared" si="9"/>
        <v>4.30537124599879</v>
      </c>
      <c r="T62" s="312">
        <f t="shared" si="9"/>
        <v>4.51112970165493</v>
      </c>
      <c r="U62" s="312">
        <f t="shared" si="9"/>
        <v>4.69818284316051</v>
      </c>
      <c r="V62" s="312">
        <f t="shared" si="9"/>
        <v>4.86823115362013</v>
      </c>
      <c r="W62" s="312">
        <f t="shared" si="9"/>
        <v>5.02282052676524</v>
      </c>
      <c r="X62" s="31"/>
    </row>
    <row r="63" spans="1:24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</row>
    <row r="64" spans="1:2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</row>
    <row r="65" spans="1:24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</row>
    <row r="66" spans="1:24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</row>
    <row r="67" spans="1:24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</row>
    <row r="68" spans="1:24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</row>
    <row r="69" spans="1:24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</row>
    <row r="70" spans="1:24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</row>
    <row r="71" spans="1:24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</row>
    <row r="72" spans="1:24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1:24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</row>
    <row r="74" spans="1:2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</row>
    <row r="75" spans="1:24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</row>
    <row r="76" spans="1:24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</row>
    <row r="77" spans="1:24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</row>
    <row r="78" spans="1:24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</row>
    <row r="79" spans="1:24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</row>
    <row r="80" spans="1:24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</row>
    <row r="81" spans="1:24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</row>
    <row r="82" spans="1:24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</row>
    <row r="83" spans="1:24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</row>
    <row r="84" spans="1:2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</row>
    <row r="85" spans="1:24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</row>
    <row r="86" spans="1:24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</row>
    <row r="87" spans="1:24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</row>
    <row r="88" spans="1:24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</row>
    <row r="89" spans="1:24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</row>
    <row r="90" spans="1:24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</row>
    <row r="91" spans="1:24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</row>
    <row r="92" spans="1:24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</row>
    <row r="93" spans="1:24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</row>
    <row r="94" spans="1:2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</row>
    <row r="95" spans="1:24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</row>
    <row r="96" spans="1:24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</row>
    <row r="97" spans="1:24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</row>
    <row r="98" spans="1:24">
      <c r="A98" s="36" t="s">
        <v>63</v>
      </c>
      <c r="B98" s="36"/>
      <c r="C98" s="36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</row>
    <row r="99" spans="1:24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</row>
    <row r="100" spans="1:24">
      <c r="A100" s="31"/>
      <c r="B100" s="32" t="s">
        <v>64</v>
      </c>
      <c r="C100" s="32" t="s">
        <v>65</v>
      </c>
      <c r="D100" s="33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</row>
    <row r="101" spans="1:24">
      <c r="A101" s="31"/>
      <c r="B101" s="33" t="s">
        <v>66</v>
      </c>
      <c r="C101" s="33" t="s">
        <v>67</v>
      </c>
      <c r="D101" s="33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</row>
    <row r="102" spans="1:24">
      <c r="A102" s="31"/>
      <c r="B102" s="33" t="s">
        <v>68</v>
      </c>
      <c r="C102" s="33"/>
      <c r="D102" s="33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</row>
    <row r="103" spans="1:24">
      <c r="A103" s="31"/>
      <c r="B103" s="33" t="s">
        <v>69</v>
      </c>
      <c r="C103" s="33">
        <v>0</v>
      </c>
      <c r="D103" s="33" t="s">
        <v>70</v>
      </c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</row>
    <row r="104" spans="1:24">
      <c r="A104" s="31"/>
      <c r="B104" s="33" t="s">
        <v>71</v>
      </c>
      <c r="C104" s="34">
        <f>'MINERAL CARBONATION'!K16</f>
        <v>0.1</v>
      </c>
      <c r="D104" s="33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</row>
    <row r="105" spans="1:24">
      <c r="A105" s="31"/>
      <c r="B105" s="33" t="s">
        <v>72</v>
      </c>
      <c r="C105" s="33">
        <f>'MINERAL CARBONATION'!F8</f>
        <v>6</v>
      </c>
      <c r="D105" s="33" t="s">
        <v>73</v>
      </c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</row>
    <row r="106" spans="1:24">
      <c r="A106" s="31"/>
      <c r="B106" s="33" t="s">
        <v>74</v>
      </c>
      <c r="C106" s="33">
        <f>C7</f>
        <v>5.02282052676524</v>
      </c>
      <c r="D106" s="33" t="s">
        <v>73</v>
      </c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</row>
    <row r="107" spans="1:24">
      <c r="A107" s="31"/>
      <c r="B107" s="33" t="s">
        <v>66</v>
      </c>
      <c r="C107" s="33">
        <f>'MINERAL CARBONATION'!F8</f>
        <v>6</v>
      </c>
      <c r="D107" s="33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</row>
    <row r="108" spans="1:24">
      <c r="A108" s="31"/>
      <c r="B108" s="35" t="s">
        <v>64</v>
      </c>
      <c r="C108" s="35">
        <f>C106/C107</f>
        <v>0.837136754460874</v>
      </c>
      <c r="D108" s="35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</row>
    <row r="109" spans="1:24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</row>
    <row r="110" spans="1:24">
      <c r="A110" s="36" t="s">
        <v>75</v>
      </c>
      <c r="B110" s="36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</row>
    <row r="111" spans="1:24">
      <c r="A111" s="31"/>
      <c r="B111" s="32" t="s">
        <v>76</v>
      </c>
      <c r="C111" s="32" t="s">
        <v>77</v>
      </c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</row>
    <row r="112" spans="1:24">
      <c r="A112" s="31"/>
      <c r="B112" s="33" t="s">
        <v>68</v>
      </c>
      <c r="C112" s="33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</row>
    <row r="113" spans="1:24">
      <c r="A113" s="31"/>
      <c r="B113" s="33" t="s">
        <v>64</v>
      </c>
      <c r="C113" s="33">
        <f>C108</f>
        <v>0.837136754460874</v>
      </c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</row>
    <row r="114" spans="1:24">
      <c r="A114" s="31"/>
      <c r="B114" s="37" t="s">
        <v>76</v>
      </c>
      <c r="C114" s="37">
        <f>1+C113</f>
        <v>1.83713675446087</v>
      </c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</row>
    <row r="115" spans="1:24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</row>
    <row r="116" spans="1:24">
      <c r="A116" s="36" t="s">
        <v>78</v>
      </c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</row>
    <row r="117" spans="1:24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</row>
    <row r="118" spans="1:24">
      <c r="A118" s="31"/>
      <c r="B118" s="32" t="s">
        <v>74</v>
      </c>
      <c r="C118" s="39" t="s">
        <v>79</v>
      </c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</row>
    <row r="119" spans="1:24">
      <c r="A119" s="31"/>
      <c r="B119" s="33" t="s">
        <v>80</v>
      </c>
      <c r="C119" s="33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</row>
    <row r="120" spans="1:24">
      <c r="A120" s="31"/>
      <c r="B120" s="33" t="s">
        <v>81</v>
      </c>
      <c r="C120" s="33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</row>
    <row r="121" spans="1:24">
      <c r="A121" s="31"/>
      <c r="B121" s="35" t="s">
        <v>82</v>
      </c>
      <c r="C121" s="35">
        <f>C7</f>
        <v>5.02282052676524</v>
      </c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</row>
    <row r="122" spans="1:24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</row>
    <row r="123" spans="1:24">
      <c r="A123" s="36" t="s">
        <v>83</v>
      </c>
      <c r="B123" s="36"/>
      <c r="C123" s="31">
        <f>FORECAST(0,C125:D125,C126:D126)</f>
        <v>76.7593113444953</v>
      </c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</row>
    <row r="124" spans="1: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</row>
    <row r="125" spans="1:24">
      <c r="A125" s="31" t="s">
        <v>84</v>
      </c>
      <c r="B125" s="33">
        <f>120</f>
        <v>120</v>
      </c>
      <c r="C125" s="33">
        <f>'MINERAL CARBONATION'!M6</f>
        <v>100</v>
      </c>
      <c r="D125" s="33">
        <f>B131</f>
        <v>80</v>
      </c>
      <c r="E125" s="33">
        <f>B155</f>
        <v>60</v>
      </c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</row>
    <row r="126" spans="1:24">
      <c r="A126" s="31" t="s">
        <v>54</v>
      </c>
      <c r="B126" s="33">
        <f>7.758102</f>
        <v>7.758102</v>
      </c>
      <c r="C126" s="33">
        <f>'MINERAL CARBONATION'!D22</f>
        <v>5.02282052676524</v>
      </c>
      <c r="D126" s="33">
        <f>Q153</f>
        <v>0.700383613454975</v>
      </c>
      <c r="E126" s="33">
        <f>Q177</f>
        <v>-3.99789733655508</v>
      </c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</row>
    <row r="127" spans="1:24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</row>
    <row r="128" spans="1:24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</row>
    <row r="129" spans="1:24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</row>
    <row r="130" spans="1:24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</row>
    <row r="131" spans="1:2">
      <c r="A131" t="s">
        <v>85</v>
      </c>
      <c r="B131">
        <f>'MINERAL CARBONATION'!M6-20</f>
        <v>80</v>
      </c>
    </row>
    <row r="132" ht="33.75" spans="1:17">
      <c r="A132" s="40" t="s">
        <v>34</v>
      </c>
      <c r="B132" s="41" t="s">
        <v>35</v>
      </c>
      <c r="C132" s="41" t="s">
        <v>36</v>
      </c>
      <c r="D132" s="41" t="s">
        <v>86</v>
      </c>
      <c r="E132" s="41" t="s">
        <v>87</v>
      </c>
      <c r="F132" s="41" t="s">
        <v>88</v>
      </c>
      <c r="G132" s="41" t="s">
        <v>40</v>
      </c>
      <c r="H132" s="41" t="s">
        <v>89</v>
      </c>
      <c r="I132" s="41" t="s">
        <v>90</v>
      </c>
      <c r="J132" s="41" t="s">
        <v>91</v>
      </c>
      <c r="K132" s="48" t="s">
        <v>92</v>
      </c>
      <c r="L132" s="49" t="s">
        <v>93</v>
      </c>
      <c r="M132" s="49" t="s">
        <v>94</v>
      </c>
      <c r="N132" s="49" t="s">
        <v>95</v>
      </c>
      <c r="O132" s="49" t="s">
        <v>48</v>
      </c>
      <c r="P132" s="49" t="s">
        <v>96</v>
      </c>
      <c r="Q132" s="49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'MINERAL CARBONATION'!F8</f>
        <v>6</v>
      </c>
      <c r="H133" s="44"/>
      <c r="I133" s="44"/>
      <c r="J133" s="44"/>
      <c r="K133" s="47">
        <f t="shared" ref="K133:K138" si="10">J133</f>
        <v>0</v>
      </c>
      <c r="L133" s="50">
        <f>IF(K133&gt;0,K133*'MINERAL CARBONATION'!$K$15,0)</f>
        <v>0</v>
      </c>
      <c r="M133" s="47">
        <f t="shared" ref="M133:M153" si="11">I133-L133</f>
        <v>0</v>
      </c>
      <c r="N133" s="47">
        <v>0</v>
      </c>
      <c r="O133" s="47">
        <f>(1+'MINERAL CARBONATION'!$K$16)^-A133</f>
        <v>1</v>
      </c>
      <c r="P133" s="51">
        <f>N133*O133</f>
        <v>0</v>
      </c>
      <c r="Q133" s="329">
        <f>P133</f>
        <v>0</v>
      </c>
    </row>
    <row r="134" spans="1:17">
      <c r="A134" s="46">
        <v>1</v>
      </c>
      <c r="B134" s="47">
        <f>'MINERAL CARBONATION'!$M$7/(4/3)</f>
        <v>30000</v>
      </c>
      <c r="C134" s="47">
        <f>B131</f>
        <v>80</v>
      </c>
      <c r="D134" s="47">
        <f>B134*C134/10^6</f>
        <v>2.4</v>
      </c>
      <c r="E134" s="47">
        <f>'MINERAL CARBONATION'!$F$17</f>
        <v>1.7</v>
      </c>
      <c r="F134" s="47">
        <f t="shared" ref="F134:F153" si="12">D134-E134</f>
        <v>0.7</v>
      </c>
      <c r="G134" s="47"/>
      <c r="H134" s="47">
        <f>'MINERAL CARBONATION'!$F$8/'MINERAL CARBONATION'!$K$12</f>
        <v>1.5</v>
      </c>
      <c r="I134" s="47">
        <f t="shared" ref="I134:I153" si="13">F134-H134</f>
        <v>-0.8</v>
      </c>
      <c r="J134" s="47">
        <f>I134</f>
        <v>-0.8</v>
      </c>
      <c r="K134" s="47">
        <f t="shared" si="10"/>
        <v>-0.8</v>
      </c>
      <c r="L134" s="50">
        <f>IF(K134&gt;0,K134*'MINERAL CARBONATION'!$K$15,0)</f>
        <v>0</v>
      </c>
      <c r="M134" s="47">
        <f t="shared" si="11"/>
        <v>-0.8</v>
      </c>
      <c r="N134" s="47">
        <f t="shared" ref="N134:N153" si="14">N133+M134</f>
        <v>-0.8</v>
      </c>
      <c r="O134" s="47">
        <f>(1+'MINERAL CARBONATION'!$K$16)^-A134</f>
        <v>0.909090909090909</v>
      </c>
      <c r="P134" s="51">
        <f t="shared" ref="P134:P153" si="15">M134*O134</f>
        <v>-0.727272727272727</v>
      </c>
      <c r="Q134" s="330">
        <f t="shared" ref="Q134:Q153" si="16">Q133+P134</f>
        <v>-0.727272727272727</v>
      </c>
    </row>
    <row r="135" spans="1:17">
      <c r="A135" s="42">
        <v>2</v>
      </c>
      <c r="B135" s="47">
        <f>'MINERAL CARBONATION'!$M$7/(4/3)</f>
        <v>30000</v>
      </c>
      <c r="C135" s="47">
        <f t="shared" ref="C135:C153" si="17">$C$134</f>
        <v>80</v>
      </c>
      <c r="D135" s="47">
        <f t="shared" ref="D135:D153" si="18">B135*C135/10^6</f>
        <v>2.4</v>
      </c>
      <c r="E135" s="47">
        <f>'MINERAL CARBONATION'!$F$17</f>
        <v>1.7</v>
      </c>
      <c r="F135" s="47">
        <f t="shared" si="12"/>
        <v>0.7</v>
      </c>
      <c r="G135" s="47"/>
      <c r="H135" s="47">
        <f>'MINERAL CARBONATION'!$F$8/'MINERAL CARBONATION'!$K$12</f>
        <v>1.5</v>
      </c>
      <c r="I135" s="47">
        <f t="shared" si="13"/>
        <v>-0.8</v>
      </c>
      <c r="J135" s="47">
        <f t="shared" ref="J135:J144" si="19">J134+I135</f>
        <v>-1.6</v>
      </c>
      <c r="K135" s="47">
        <f t="shared" si="10"/>
        <v>-1.6</v>
      </c>
      <c r="L135" s="50">
        <f>IF(K135&gt;0,K135*'MINERAL CARBONATION'!$K$15,0)</f>
        <v>0</v>
      </c>
      <c r="M135" s="47">
        <f t="shared" si="11"/>
        <v>-0.8</v>
      </c>
      <c r="N135" s="47">
        <f t="shared" si="14"/>
        <v>-1.6</v>
      </c>
      <c r="O135" s="47">
        <f>(1+'MINERAL CARBONATION'!$K$16)^-A135</f>
        <v>0.826446280991735</v>
      </c>
      <c r="P135" s="51">
        <f t="shared" si="15"/>
        <v>-0.661157024793388</v>
      </c>
      <c r="Q135" s="330">
        <f t="shared" si="16"/>
        <v>-1.38842975206612</v>
      </c>
    </row>
    <row r="136" spans="1:17">
      <c r="A136" s="46">
        <v>3</v>
      </c>
      <c r="B136" s="47">
        <f>'MINERAL CARBONATION'!$M$7/(4/3)</f>
        <v>30000</v>
      </c>
      <c r="C136" s="47">
        <f t="shared" si="17"/>
        <v>80</v>
      </c>
      <c r="D136" s="47">
        <f t="shared" si="18"/>
        <v>2.4</v>
      </c>
      <c r="E136" s="47">
        <f>'MINERAL CARBONATION'!$F$17</f>
        <v>1.7</v>
      </c>
      <c r="F136" s="47">
        <f t="shared" si="12"/>
        <v>0.7</v>
      </c>
      <c r="G136" s="47"/>
      <c r="H136" s="47">
        <f>'MINERAL CARBONATION'!$F$8/'MINERAL CARBONATION'!$K$12</f>
        <v>1.5</v>
      </c>
      <c r="I136" s="47">
        <f t="shared" si="13"/>
        <v>-0.8</v>
      </c>
      <c r="J136" s="47">
        <f t="shared" si="19"/>
        <v>-2.4</v>
      </c>
      <c r="K136" s="47">
        <f t="shared" si="10"/>
        <v>-2.4</v>
      </c>
      <c r="L136" s="50">
        <f>IF(K136&gt;0,K136*'MINERAL CARBONATION'!$K$15,0)</f>
        <v>0</v>
      </c>
      <c r="M136" s="47">
        <f t="shared" si="11"/>
        <v>-0.8</v>
      </c>
      <c r="N136" s="47">
        <f t="shared" si="14"/>
        <v>-2.4</v>
      </c>
      <c r="O136" s="47">
        <f>(1+'MINERAL CARBONATION'!$K$16)^-A136</f>
        <v>0.751314800901578</v>
      </c>
      <c r="P136" s="51">
        <f t="shared" si="15"/>
        <v>-0.601051840721262</v>
      </c>
      <c r="Q136" s="330">
        <f t="shared" si="16"/>
        <v>-1.98948159278738</v>
      </c>
    </row>
    <row r="137" spans="1:17">
      <c r="A137" s="42">
        <v>4</v>
      </c>
      <c r="B137" s="47">
        <f>'MINERAL CARBONATION'!$M$7/(4/3)</f>
        <v>30000</v>
      </c>
      <c r="C137" s="47">
        <f t="shared" si="17"/>
        <v>80</v>
      </c>
      <c r="D137" s="47">
        <f t="shared" si="18"/>
        <v>2.4</v>
      </c>
      <c r="E137" s="47">
        <f>'MINERAL CARBONATION'!$F$17</f>
        <v>1.7</v>
      </c>
      <c r="F137" s="47">
        <f t="shared" si="12"/>
        <v>0.7</v>
      </c>
      <c r="G137" s="47"/>
      <c r="H137" s="47">
        <f>'MINERAL CARBONATION'!$F$8/'MINERAL CARBONATION'!$K$12</f>
        <v>1.5</v>
      </c>
      <c r="I137" s="47">
        <f t="shared" si="13"/>
        <v>-0.8</v>
      </c>
      <c r="J137" s="47">
        <f t="shared" si="19"/>
        <v>-3.2</v>
      </c>
      <c r="K137" s="47">
        <f t="shared" si="10"/>
        <v>-3.2</v>
      </c>
      <c r="L137" s="50">
        <f>IF(K137&gt;0,K137*'MINERAL CARBONATION'!$K$15,0)</f>
        <v>0</v>
      </c>
      <c r="M137" s="47">
        <f t="shared" si="11"/>
        <v>-0.8</v>
      </c>
      <c r="N137" s="47">
        <f t="shared" si="14"/>
        <v>-3.2</v>
      </c>
      <c r="O137" s="47">
        <f>(1+'MINERAL CARBONATION'!$K$16)^-A137</f>
        <v>0.683013455365071</v>
      </c>
      <c r="P137" s="51">
        <f t="shared" si="15"/>
        <v>-0.546410764292057</v>
      </c>
      <c r="Q137" s="330">
        <f t="shared" si="16"/>
        <v>-2.53589235707943</v>
      </c>
    </row>
    <row r="138" spans="1:17">
      <c r="A138" s="46">
        <v>5</v>
      </c>
      <c r="B138" s="47">
        <f>'MINERAL CARBONATION'!$M$7/(4/3)</f>
        <v>30000</v>
      </c>
      <c r="C138" s="47">
        <f t="shared" si="17"/>
        <v>80</v>
      </c>
      <c r="D138" s="47">
        <f t="shared" si="18"/>
        <v>2.4</v>
      </c>
      <c r="E138" s="47">
        <f>'MINERAL CARBONATION'!$F$17</f>
        <v>1.7</v>
      </c>
      <c r="F138" s="47">
        <f t="shared" si="12"/>
        <v>0.7</v>
      </c>
      <c r="G138" s="47"/>
      <c r="H138" s="47"/>
      <c r="I138" s="47">
        <f t="shared" si="13"/>
        <v>0.7</v>
      </c>
      <c r="J138" s="47">
        <f t="shared" si="19"/>
        <v>-2.5</v>
      </c>
      <c r="K138" s="47">
        <f t="shared" si="10"/>
        <v>-2.5</v>
      </c>
      <c r="L138" s="50">
        <f>IF(K138&gt;0,K138*'MINERAL CARBONATION'!$K$15,0)</f>
        <v>0</v>
      </c>
      <c r="M138" s="47">
        <f t="shared" si="11"/>
        <v>0.7</v>
      </c>
      <c r="N138" s="47">
        <f t="shared" si="14"/>
        <v>-2.5</v>
      </c>
      <c r="O138" s="47">
        <f>(1+'MINERAL CARBONATION'!$K$16)^-A138</f>
        <v>0.620921323059155</v>
      </c>
      <c r="P138" s="51">
        <f t="shared" si="15"/>
        <v>0.434644926141408</v>
      </c>
      <c r="Q138" s="330">
        <f t="shared" si="16"/>
        <v>-2.10124743093803</v>
      </c>
    </row>
    <row r="139" spans="1:17">
      <c r="A139" s="42">
        <v>6</v>
      </c>
      <c r="B139" s="47">
        <f>'MINERAL CARBONATION'!$M$7/(4/3)</f>
        <v>30000</v>
      </c>
      <c r="C139" s="47">
        <f t="shared" si="17"/>
        <v>80</v>
      </c>
      <c r="D139" s="47">
        <f t="shared" si="18"/>
        <v>2.4</v>
      </c>
      <c r="E139" s="47">
        <f>'MINERAL CARBONATION'!$F$17</f>
        <v>1.7</v>
      </c>
      <c r="F139" s="47">
        <f t="shared" si="12"/>
        <v>0.7</v>
      </c>
      <c r="G139" s="47"/>
      <c r="H139" s="47"/>
      <c r="I139" s="47">
        <f t="shared" si="13"/>
        <v>0.7</v>
      </c>
      <c r="J139" s="47">
        <f t="shared" si="19"/>
        <v>-1.8</v>
      </c>
      <c r="K139" s="47">
        <f t="shared" ref="K139:K144" si="20">J139</f>
        <v>-1.8</v>
      </c>
      <c r="L139" s="50">
        <f>IF(K139&gt;0,K139*'MINERAL CARBONATION'!$K$15,0)</f>
        <v>0</v>
      </c>
      <c r="M139" s="47">
        <f t="shared" si="11"/>
        <v>0.7</v>
      </c>
      <c r="N139" s="47">
        <f t="shared" si="14"/>
        <v>-1.8</v>
      </c>
      <c r="O139" s="47">
        <f>(1+'MINERAL CARBONATION'!$K$16)^-A139</f>
        <v>0.564473930053777</v>
      </c>
      <c r="P139" s="51">
        <f t="shared" si="15"/>
        <v>0.395131751037644</v>
      </c>
      <c r="Q139" s="330">
        <f t="shared" si="16"/>
        <v>-1.70611567990038</v>
      </c>
    </row>
    <row r="140" spans="1:17">
      <c r="A140" s="46">
        <v>7</v>
      </c>
      <c r="B140" s="47">
        <f>'MINERAL CARBONATION'!$M$7/(4/3)</f>
        <v>30000</v>
      </c>
      <c r="C140" s="47">
        <f t="shared" si="17"/>
        <v>80</v>
      </c>
      <c r="D140" s="47">
        <f t="shared" si="18"/>
        <v>2.4</v>
      </c>
      <c r="E140" s="47">
        <f>'MINERAL CARBONATION'!$F$17</f>
        <v>1.7</v>
      </c>
      <c r="F140" s="47">
        <f t="shared" si="12"/>
        <v>0.7</v>
      </c>
      <c r="G140" s="47"/>
      <c r="H140" s="47"/>
      <c r="I140" s="47">
        <f t="shared" si="13"/>
        <v>0.7</v>
      </c>
      <c r="J140" s="47">
        <f t="shared" si="19"/>
        <v>-1.1</v>
      </c>
      <c r="K140" s="47">
        <f t="shared" si="20"/>
        <v>-1.1</v>
      </c>
      <c r="L140" s="50">
        <f>IF(K140&gt;0,K140*'MINERAL CARBONATION'!$K$15,0)</f>
        <v>0</v>
      </c>
      <c r="M140" s="47">
        <f t="shared" si="11"/>
        <v>0.7</v>
      </c>
      <c r="N140" s="47">
        <f t="shared" si="14"/>
        <v>-1.1</v>
      </c>
      <c r="O140" s="47">
        <f>(1+'MINERAL CARBONATION'!$K$16)^-A140</f>
        <v>0.513158118230706</v>
      </c>
      <c r="P140" s="51">
        <f t="shared" si="15"/>
        <v>0.359210682761494</v>
      </c>
      <c r="Q140" s="330">
        <f t="shared" si="16"/>
        <v>-1.34690499713889</v>
      </c>
    </row>
    <row r="141" spans="1:17">
      <c r="A141" s="42">
        <v>8</v>
      </c>
      <c r="B141" s="47">
        <f>'MINERAL CARBONATION'!$M$7/(4/3)</f>
        <v>30000</v>
      </c>
      <c r="C141" s="47">
        <f t="shared" si="17"/>
        <v>80</v>
      </c>
      <c r="D141" s="47">
        <f t="shared" si="18"/>
        <v>2.4</v>
      </c>
      <c r="E141" s="47">
        <f>'MINERAL CARBONATION'!$F$17</f>
        <v>1.7</v>
      </c>
      <c r="F141" s="47">
        <f t="shared" si="12"/>
        <v>0.7</v>
      </c>
      <c r="G141" s="47"/>
      <c r="H141" s="47"/>
      <c r="I141" s="47">
        <f t="shared" si="13"/>
        <v>0.7</v>
      </c>
      <c r="J141" s="47">
        <f t="shared" si="19"/>
        <v>-0.4</v>
      </c>
      <c r="K141" s="47">
        <f t="shared" si="20"/>
        <v>-0.4</v>
      </c>
      <c r="L141" s="50">
        <f>IF(K141&gt;0,K141*'MINERAL CARBONATION'!$K$15,0)</f>
        <v>0</v>
      </c>
      <c r="M141" s="47">
        <f t="shared" si="11"/>
        <v>0.7</v>
      </c>
      <c r="N141" s="47">
        <f t="shared" si="14"/>
        <v>-0.4</v>
      </c>
      <c r="O141" s="47">
        <f>(1+'MINERAL CARBONATION'!$K$16)^-A141</f>
        <v>0.466507380209733</v>
      </c>
      <c r="P141" s="51">
        <f t="shared" si="15"/>
        <v>0.326555166146813</v>
      </c>
      <c r="Q141" s="330">
        <f t="shared" si="16"/>
        <v>-1.02034983099207</v>
      </c>
    </row>
    <row r="142" spans="1:17">
      <c r="A142" s="46">
        <v>9</v>
      </c>
      <c r="B142" s="47">
        <f>'MINERAL CARBONATION'!$M$7/(4/3)</f>
        <v>30000</v>
      </c>
      <c r="C142" s="47">
        <f t="shared" si="17"/>
        <v>80</v>
      </c>
      <c r="D142" s="47">
        <f t="shared" si="18"/>
        <v>2.4</v>
      </c>
      <c r="E142" s="47">
        <f>'MINERAL CARBONATION'!$F$17</f>
        <v>1.7</v>
      </c>
      <c r="F142" s="47">
        <f t="shared" si="12"/>
        <v>0.7</v>
      </c>
      <c r="G142" s="47"/>
      <c r="H142" s="47"/>
      <c r="I142" s="47">
        <f t="shared" si="13"/>
        <v>0.7</v>
      </c>
      <c r="J142" s="47">
        <f t="shared" si="19"/>
        <v>0.3</v>
      </c>
      <c r="K142" s="47">
        <f t="shared" si="20"/>
        <v>0.3</v>
      </c>
      <c r="L142" s="50">
        <f>IF(K142&gt;0,K142*'MINERAL CARBONATION'!$K$15,0)</f>
        <v>0.06</v>
      </c>
      <c r="M142" s="47">
        <f t="shared" si="11"/>
        <v>0.64</v>
      </c>
      <c r="N142" s="47">
        <f t="shared" si="14"/>
        <v>0.24</v>
      </c>
      <c r="O142" s="47">
        <f>(1+'MINERAL CARBONATION'!$K$16)^-A142</f>
        <v>0.424097618372485</v>
      </c>
      <c r="P142" s="51">
        <f t="shared" si="15"/>
        <v>0.27142247575839</v>
      </c>
      <c r="Q142" s="330">
        <f t="shared" si="16"/>
        <v>-0.748927355233684</v>
      </c>
    </row>
    <row r="143" spans="1:17">
      <c r="A143" s="42">
        <v>10</v>
      </c>
      <c r="B143" s="47">
        <f>'MINERAL CARBONATION'!$M$7/(4/3)</f>
        <v>30000</v>
      </c>
      <c r="C143" s="47">
        <f t="shared" si="17"/>
        <v>80</v>
      </c>
      <c r="D143" s="47">
        <f t="shared" si="18"/>
        <v>2.4</v>
      </c>
      <c r="E143" s="47">
        <f>'MINERAL CARBONATION'!$F$17</f>
        <v>1.7</v>
      </c>
      <c r="F143" s="47">
        <f t="shared" si="12"/>
        <v>0.7</v>
      </c>
      <c r="G143" s="47"/>
      <c r="H143" s="47"/>
      <c r="I143" s="47">
        <f t="shared" si="13"/>
        <v>0.7</v>
      </c>
      <c r="J143" s="47">
        <f t="shared" si="19"/>
        <v>1</v>
      </c>
      <c r="K143" s="47">
        <f t="shared" si="20"/>
        <v>1</v>
      </c>
      <c r="L143" s="50">
        <f>IF(K143&gt;0,K143*'MINERAL CARBONATION'!$K$15,0)</f>
        <v>0.2</v>
      </c>
      <c r="M143" s="47">
        <f t="shared" si="11"/>
        <v>0.5</v>
      </c>
      <c r="N143" s="47">
        <f t="shared" si="14"/>
        <v>0.74</v>
      </c>
      <c r="O143" s="47">
        <f>(1+'MINERAL CARBONATION'!$K$16)^-A143</f>
        <v>0.385543289429531</v>
      </c>
      <c r="P143" s="51">
        <f t="shared" si="15"/>
        <v>0.192771644714765</v>
      </c>
      <c r="Q143" s="330">
        <f t="shared" si="16"/>
        <v>-0.556155710518919</v>
      </c>
    </row>
    <row r="144" spans="1:17">
      <c r="A144" s="46">
        <v>11</v>
      </c>
      <c r="B144" s="47">
        <f>'MINERAL CARBONATION'!$M$7/(4/3)</f>
        <v>30000</v>
      </c>
      <c r="C144" s="47">
        <f t="shared" si="17"/>
        <v>80</v>
      </c>
      <c r="D144" s="47">
        <f t="shared" si="18"/>
        <v>2.4</v>
      </c>
      <c r="E144" s="47">
        <f>'MINERAL CARBONATION'!$F$17</f>
        <v>1.7</v>
      </c>
      <c r="F144" s="47">
        <f t="shared" si="12"/>
        <v>0.7</v>
      </c>
      <c r="G144" s="47"/>
      <c r="H144" s="47"/>
      <c r="I144" s="47">
        <f t="shared" si="13"/>
        <v>0.7</v>
      </c>
      <c r="J144" s="47">
        <f t="shared" si="19"/>
        <v>1.7</v>
      </c>
      <c r="K144" s="47">
        <f t="shared" si="20"/>
        <v>1.7</v>
      </c>
      <c r="L144" s="50">
        <f>IF(K144&gt;0,K144*'MINERAL CARBONATION'!$K$15,0)</f>
        <v>0.34</v>
      </c>
      <c r="M144" s="47">
        <f t="shared" si="11"/>
        <v>0.36</v>
      </c>
      <c r="N144" s="47">
        <f t="shared" si="14"/>
        <v>1.1</v>
      </c>
      <c r="O144" s="47">
        <f>(1+'MINERAL CARBONATION'!$K$16)^-A144</f>
        <v>0.350493899481392</v>
      </c>
      <c r="P144" s="51">
        <f t="shared" si="15"/>
        <v>0.126177803813301</v>
      </c>
      <c r="Q144" s="330">
        <f t="shared" si="16"/>
        <v>-0.429977906705617</v>
      </c>
    </row>
    <row r="145" spans="1:17">
      <c r="A145" s="42">
        <v>12</v>
      </c>
      <c r="B145" s="47">
        <f>'MINERAL CARBONATION'!$M$7/(4/3)</f>
        <v>30000</v>
      </c>
      <c r="C145" s="47">
        <f t="shared" si="17"/>
        <v>80</v>
      </c>
      <c r="D145" s="47">
        <f t="shared" si="18"/>
        <v>2.4</v>
      </c>
      <c r="E145" s="47">
        <f>'MINERAL CARBONATION'!$F$17</f>
        <v>1.7</v>
      </c>
      <c r="F145" s="47">
        <f t="shared" si="12"/>
        <v>0.7</v>
      </c>
      <c r="G145" s="47"/>
      <c r="H145" s="47"/>
      <c r="I145" s="47">
        <f t="shared" si="13"/>
        <v>0.7</v>
      </c>
      <c r="J145" s="47"/>
      <c r="K145" s="47">
        <f t="shared" ref="K139:K153" si="21">I145</f>
        <v>0.7</v>
      </c>
      <c r="L145" s="50">
        <f>IF(K145&gt;0,K145*'MINERAL CARBONATION'!$K$15,0)</f>
        <v>0.14</v>
      </c>
      <c r="M145" s="47">
        <f t="shared" si="11"/>
        <v>0.56</v>
      </c>
      <c r="N145" s="47">
        <f t="shared" si="14"/>
        <v>1.66</v>
      </c>
      <c r="O145" s="47">
        <f>(1+'MINERAL CARBONATION'!$K$16)^-A145</f>
        <v>0.318630817710357</v>
      </c>
      <c r="P145" s="51">
        <f t="shared" si="15"/>
        <v>0.1784332579178</v>
      </c>
      <c r="Q145" s="330">
        <f t="shared" si="16"/>
        <v>-0.251544648787818</v>
      </c>
    </row>
    <row r="146" spans="1:17">
      <c r="A146" s="46">
        <v>13</v>
      </c>
      <c r="B146" s="47">
        <f>'MINERAL CARBONATION'!$M$7/(4/3)</f>
        <v>30000</v>
      </c>
      <c r="C146" s="47">
        <f t="shared" si="17"/>
        <v>80</v>
      </c>
      <c r="D146" s="47">
        <f t="shared" si="18"/>
        <v>2.4</v>
      </c>
      <c r="E146" s="47">
        <f>'MINERAL CARBONATION'!$F$17</f>
        <v>1.7</v>
      </c>
      <c r="F146" s="47">
        <f t="shared" si="12"/>
        <v>0.7</v>
      </c>
      <c r="G146" s="47"/>
      <c r="H146" s="47"/>
      <c r="I146" s="47">
        <f t="shared" si="13"/>
        <v>0.7</v>
      </c>
      <c r="J146" s="47"/>
      <c r="K146" s="47">
        <f t="shared" si="21"/>
        <v>0.7</v>
      </c>
      <c r="L146" s="50">
        <f>IF(K146&gt;0,K146*'MINERAL CARBONATION'!$K$15,0)</f>
        <v>0.14</v>
      </c>
      <c r="M146" s="47">
        <f t="shared" si="11"/>
        <v>0.56</v>
      </c>
      <c r="N146" s="47">
        <f t="shared" si="14"/>
        <v>2.22</v>
      </c>
      <c r="O146" s="47">
        <f>(1+'MINERAL CARBONATION'!$K$16)^-A146</f>
        <v>0.289664379736688</v>
      </c>
      <c r="P146" s="51">
        <f t="shared" si="15"/>
        <v>0.162212052652545</v>
      </c>
      <c r="Q146" s="330">
        <f t="shared" si="16"/>
        <v>-0.0893325961352723</v>
      </c>
    </row>
    <row r="147" spans="1:17">
      <c r="A147" s="42">
        <v>14</v>
      </c>
      <c r="B147" s="47">
        <f>'MINERAL CARBONATION'!$M$7/(4/3)</f>
        <v>30000</v>
      </c>
      <c r="C147" s="47">
        <f t="shared" si="17"/>
        <v>80</v>
      </c>
      <c r="D147" s="47">
        <f t="shared" si="18"/>
        <v>2.4</v>
      </c>
      <c r="E147" s="47">
        <f>'MINERAL CARBONATION'!$F$17</f>
        <v>1.7</v>
      </c>
      <c r="F147" s="47">
        <f t="shared" si="12"/>
        <v>0.7</v>
      </c>
      <c r="G147" s="47"/>
      <c r="H147" s="47"/>
      <c r="I147" s="47">
        <f t="shared" si="13"/>
        <v>0.7</v>
      </c>
      <c r="J147" s="47"/>
      <c r="K147" s="47">
        <f t="shared" si="21"/>
        <v>0.7</v>
      </c>
      <c r="L147" s="50">
        <f>IF(K147&gt;0,K147*'MINERAL CARBONATION'!$K$15,0)</f>
        <v>0.14</v>
      </c>
      <c r="M147" s="47">
        <f t="shared" si="11"/>
        <v>0.56</v>
      </c>
      <c r="N147" s="47">
        <f t="shared" si="14"/>
        <v>2.78</v>
      </c>
      <c r="O147" s="47">
        <f>(1+'MINERAL CARBONATION'!$K$16)^-A147</f>
        <v>0.26333125430608</v>
      </c>
      <c r="P147" s="51">
        <f t="shared" si="15"/>
        <v>0.147465502411405</v>
      </c>
      <c r="Q147" s="330">
        <f t="shared" si="16"/>
        <v>0.0581329062761325</v>
      </c>
    </row>
    <row r="148" spans="1:17">
      <c r="A148" s="46">
        <v>15</v>
      </c>
      <c r="B148" s="47">
        <f>'MINERAL CARBONATION'!$M$7/(4/3)</f>
        <v>30000</v>
      </c>
      <c r="C148" s="47">
        <f t="shared" si="17"/>
        <v>80</v>
      </c>
      <c r="D148" s="47">
        <f t="shared" si="18"/>
        <v>2.4</v>
      </c>
      <c r="E148" s="47">
        <f>'MINERAL CARBONATION'!$F$17</f>
        <v>1.7</v>
      </c>
      <c r="F148" s="47">
        <f t="shared" si="12"/>
        <v>0.7</v>
      </c>
      <c r="G148" s="47"/>
      <c r="H148" s="47"/>
      <c r="I148" s="47">
        <f t="shared" si="13"/>
        <v>0.7</v>
      </c>
      <c r="J148" s="47"/>
      <c r="K148" s="47">
        <f t="shared" si="21"/>
        <v>0.7</v>
      </c>
      <c r="L148" s="50">
        <f>IF(K148&gt;0,K148*'MINERAL CARBONATION'!$K$15,0)</f>
        <v>0.14</v>
      </c>
      <c r="M148" s="47">
        <f t="shared" si="11"/>
        <v>0.56</v>
      </c>
      <c r="N148" s="47">
        <f t="shared" si="14"/>
        <v>3.34</v>
      </c>
      <c r="O148" s="47">
        <f>(1+'MINERAL CARBONATION'!$K$16)^-A148</f>
        <v>0.239392049369163</v>
      </c>
      <c r="P148" s="51">
        <f t="shared" si="15"/>
        <v>0.134059547646731</v>
      </c>
      <c r="Q148" s="330">
        <f t="shared" si="16"/>
        <v>0.192192453922864</v>
      </c>
    </row>
    <row r="149" spans="1:17">
      <c r="A149" s="42">
        <v>16</v>
      </c>
      <c r="B149" s="47">
        <f>'MINERAL CARBONATION'!$M$7/(4/3)</f>
        <v>30000</v>
      </c>
      <c r="C149" s="47">
        <f t="shared" si="17"/>
        <v>80</v>
      </c>
      <c r="D149" s="47">
        <f t="shared" si="18"/>
        <v>2.4</v>
      </c>
      <c r="E149" s="47">
        <f>'MINERAL CARBONATION'!$F$17</f>
        <v>1.7</v>
      </c>
      <c r="F149" s="47">
        <f t="shared" si="12"/>
        <v>0.7</v>
      </c>
      <c r="G149" s="47"/>
      <c r="H149" s="47"/>
      <c r="I149" s="47">
        <f t="shared" si="13"/>
        <v>0.7</v>
      </c>
      <c r="J149" s="47"/>
      <c r="K149" s="47">
        <f t="shared" si="21"/>
        <v>0.7</v>
      </c>
      <c r="L149" s="50">
        <f>IF(K149&gt;0,K149*'MINERAL CARBONATION'!$K$15,0)</f>
        <v>0.14</v>
      </c>
      <c r="M149" s="47">
        <f t="shared" si="11"/>
        <v>0.56</v>
      </c>
      <c r="N149" s="47">
        <f t="shared" si="14"/>
        <v>3.9</v>
      </c>
      <c r="O149" s="47">
        <f>(1+'MINERAL CARBONATION'!$K$16)^-A149</f>
        <v>0.217629135790149</v>
      </c>
      <c r="P149" s="51">
        <f t="shared" si="15"/>
        <v>0.121872316042483</v>
      </c>
      <c r="Q149" s="330">
        <f t="shared" si="16"/>
        <v>0.314064769965347</v>
      </c>
    </row>
    <row r="150" spans="1:17">
      <c r="A150" s="46">
        <v>17</v>
      </c>
      <c r="B150" s="47">
        <f>'MINERAL CARBONATION'!$M$7/(4/3)</f>
        <v>30000</v>
      </c>
      <c r="C150" s="47">
        <f t="shared" si="17"/>
        <v>80</v>
      </c>
      <c r="D150" s="47">
        <f t="shared" si="18"/>
        <v>2.4</v>
      </c>
      <c r="E150" s="47">
        <f>'MINERAL CARBONATION'!$F$17</f>
        <v>1.7</v>
      </c>
      <c r="F150" s="47">
        <f t="shared" si="12"/>
        <v>0.7</v>
      </c>
      <c r="G150" s="47"/>
      <c r="H150" s="47"/>
      <c r="I150" s="47">
        <f t="shared" si="13"/>
        <v>0.7</v>
      </c>
      <c r="J150" s="47"/>
      <c r="K150" s="47">
        <f t="shared" si="21"/>
        <v>0.7</v>
      </c>
      <c r="L150" s="50">
        <f>IF(K150&gt;0,K150*'MINERAL CARBONATION'!$K$15,0)</f>
        <v>0.14</v>
      </c>
      <c r="M150" s="47">
        <f t="shared" si="11"/>
        <v>0.56</v>
      </c>
      <c r="N150" s="47">
        <f t="shared" si="14"/>
        <v>4.46</v>
      </c>
      <c r="O150" s="47">
        <f>(1+'MINERAL CARBONATION'!$K$16)^-A150</f>
        <v>0.197844668900135</v>
      </c>
      <c r="P150" s="51">
        <f t="shared" si="15"/>
        <v>0.110793014584076</v>
      </c>
      <c r="Q150" s="330">
        <f t="shared" si="16"/>
        <v>0.424857784549423</v>
      </c>
    </row>
    <row r="151" spans="1:17">
      <c r="A151" s="42">
        <v>18</v>
      </c>
      <c r="B151" s="47">
        <f>'MINERAL CARBONATION'!$M$7/(4/3)</f>
        <v>30000</v>
      </c>
      <c r="C151" s="47">
        <f t="shared" si="17"/>
        <v>80</v>
      </c>
      <c r="D151" s="47">
        <f t="shared" si="18"/>
        <v>2.4</v>
      </c>
      <c r="E151" s="47">
        <f>'MINERAL CARBONATION'!$F$17</f>
        <v>1.7</v>
      </c>
      <c r="F151" s="47">
        <f t="shared" si="12"/>
        <v>0.7</v>
      </c>
      <c r="G151" s="47"/>
      <c r="H151" s="47"/>
      <c r="I151" s="47">
        <f t="shared" si="13"/>
        <v>0.7</v>
      </c>
      <c r="J151" s="47"/>
      <c r="K151" s="47">
        <f t="shared" si="21"/>
        <v>0.7</v>
      </c>
      <c r="L151" s="50">
        <f>IF(K151&gt;0,K151*'MINERAL CARBONATION'!$K$15,0)</f>
        <v>0.14</v>
      </c>
      <c r="M151" s="47">
        <f t="shared" si="11"/>
        <v>0.56</v>
      </c>
      <c r="N151" s="47">
        <f t="shared" si="14"/>
        <v>5.02</v>
      </c>
      <c r="O151" s="47">
        <f>(1+'MINERAL CARBONATION'!$K$16)^-A151</f>
        <v>0.179858789909214</v>
      </c>
      <c r="P151" s="51">
        <f t="shared" si="15"/>
        <v>0.10072092234916</v>
      </c>
      <c r="Q151" s="330">
        <f t="shared" si="16"/>
        <v>0.525578706898583</v>
      </c>
    </row>
    <row r="152" spans="1:17">
      <c r="A152" s="46">
        <v>19</v>
      </c>
      <c r="B152" s="47">
        <f>'MINERAL CARBONATION'!$M$7/(4/3)</f>
        <v>30000</v>
      </c>
      <c r="C152" s="47">
        <f t="shared" si="17"/>
        <v>80</v>
      </c>
      <c r="D152" s="47">
        <f t="shared" si="18"/>
        <v>2.4</v>
      </c>
      <c r="E152" s="47">
        <f>'MINERAL CARBONATION'!$F$17</f>
        <v>1.7</v>
      </c>
      <c r="F152" s="47">
        <f t="shared" si="12"/>
        <v>0.7</v>
      </c>
      <c r="G152" s="47"/>
      <c r="H152" s="47"/>
      <c r="I152" s="47">
        <f t="shared" si="13"/>
        <v>0.7</v>
      </c>
      <c r="J152" s="47"/>
      <c r="K152" s="47">
        <f t="shared" si="21"/>
        <v>0.7</v>
      </c>
      <c r="L152" s="50">
        <f>IF(K152&gt;0,K152*'MINERAL CARBONATION'!$K$15,0)</f>
        <v>0.14</v>
      </c>
      <c r="M152" s="47">
        <f t="shared" si="11"/>
        <v>0.56</v>
      </c>
      <c r="N152" s="47">
        <f t="shared" si="14"/>
        <v>5.58</v>
      </c>
      <c r="O152" s="47">
        <f>(1+'MINERAL CARBONATION'!$K$16)^-A152</f>
        <v>0.163507990826558</v>
      </c>
      <c r="P152" s="51">
        <f t="shared" si="15"/>
        <v>0.0915644748628725</v>
      </c>
      <c r="Q152" s="330">
        <f t="shared" si="16"/>
        <v>0.617143181761455</v>
      </c>
    </row>
    <row r="153" spans="1:17">
      <c r="A153" s="42">
        <v>20</v>
      </c>
      <c r="B153" s="47">
        <f>'MINERAL CARBONATION'!$M$7/(4/3)</f>
        <v>30000</v>
      </c>
      <c r="C153" s="47">
        <f t="shared" si="17"/>
        <v>80</v>
      </c>
      <c r="D153" s="47">
        <f t="shared" si="18"/>
        <v>2.4</v>
      </c>
      <c r="E153" s="47">
        <f>'MINERAL CARBONATION'!$F$17</f>
        <v>1.7</v>
      </c>
      <c r="F153" s="47">
        <f t="shared" si="12"/>
        <v>0.7</v>
      </c>
      <c r="G153" s="47"/>
      <c r="H153" s="47"/>
      <c r="I153" s="47">
        <f t="shared" si="13"/>
        <v>0.7</v>
      </c>
      <c r="J153" s="47"/>
      <c r="K153" s="47">
        <f t="shared" si="21"/>
        <v>0.7</v>
      </c>
      <c r="L153" s="50">
        <f>IF(K153&gt;0,K153*'MINERAL CARBONATION'!$K$15,0)</f>
        <v>0.14</v>
      </c>
      <c r="M153" s="47">
        <f t="shared" si="11"/>
        <v>0.56</v>
      </c>
      <c r="N153" s="47">
        <f t="shared" si="14"/>
        <v>6.14</v>
      </c>
      <c r="O153" s="47">
        <f>(1+'MINERAL CARBONATION'!$K$16)^-A153</f>
        <v>0.148643628024143</v>
      </c>
      <c r="P153" s="51">
        <f t="shared" si="15"/>
        <v>0.0832404316935201</v>
      </c>
      <c r="Q153" s="330">
        <f t="shared" si="16"/>
        <v>0.700383613454975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0.700383613454975</v>
      </c>
      <c r="Q154" s="51"/>
    </row>
    <row r="155" spans="1:17">
      <c r="A155" t="s">
        <v>85</v>
      </c>
      <c r="B155">
        <f>'MINERAL CARBONATION'!M6-40</f>
        <v>60</v>
      </c>
      <c r="Q155" s="57"/>
    </row>
    <row r="156" ht="33.75" spans="1:17">
      <c r="A156" s="40" t="s">
        <v>34</v>
      </c>
      <c r="B156" s="41" t="s">
        <v>35</v>
      </c>
      <c r="C156" s="41" t="s">
        <v>36</v>
      </c>
      <c r="D156" s="41" t="s">
        <v>86</v>
      </c>
      <c r="E156" s="41" t="s">
        <v>87</v>
      </c>
      <c r="F156" s="41" t="s">
        <v>88</v>
      </c>
      <c r="G156" s="41" t="s">
        <v>40</v>
      </c>
      <c r="H156" s="41" t="s">
        <v>89</v>
      </c>
      <c r="I156" s="41" t="s">
        <v>90</v>
      </c>
      <c r="J156" s="41" t="s">
        <v>91</v>
      </c>
      <c r="K156" s="48" t="s">
        <v>92</v>
      </c>
      <c r="L156" s="49" t="s">
        <v>93</v>
      </c>
      <c r="M156" s="49" t="s">
        <v>94</v>
      </c>
      <c r="N156" s="49" t="s">
        <v>95</v>
      </c>
      <c r="O156" s="49" t="s">
        <v>48</v>
      </c>
      <c r="P156" s="49" t="s">
        <v>96</v>
      </c>
      <c r="Q156" s="331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'MINERAL CARBONATION'!F8</f>
        <v>6</v>
      </c>
      <c r="H157" s="44"/>
      <c r="I157" s="44"/>
      <c r="J157" s="44"/>
      <c r="K157" s="47">
        <f t="shared" ref="K157:K162" si="22">J157</f>
        <v>0</v>
      </c>
      <c r="L157" s="50">
        <f>IF(K157&gt;0,K157*'MINERAL CARBONATION'!$K$15,0)</f>
        <v>0</v>
      </c>
      <c r="M157" s="47">
        <f t="shared" ref="M157:M177" si="23">I157-L157</f>
        <v>0</v>
      </c>
      <c r="N157" s="47">
        <v>0</v>
      </c>
      <c r="O157" s="47">
        <f>(1+'MINERAL CARBONATION'!$K$16)^-A157</f>
        <v>1</v>
      </c>
      <c r="P157" s="51">
        <f>N157*O157</f>
        <v>0</v>
      </c>
      <c r="Q157" s="329">
        <f>P157</f>
        <v>0</v>
      </c>
    </row>
    <row r="158" spans="1:17">
      <c r="A158" s="46">
        <v>1</v>
      </c>
      <c r="B158" s="47">
        <f>'MINERAL CARBONATION'!$M$7/(4/3)</f>
        <v>30000</v>
      </c>
      <c r="C158" s="47">
        <f>B155</f>
        <v>60</v>
      </c>
      <c r="D158" s="47">
        <f>B158*C158/10^6</f>
        <v>1.8</v>
      </c>
      <c r="E158" s="47">
        <f>'MINERAL CARBONATION'!$F$17</f>
        <v>1.7</v>
      </c>
      <c r="F158" s="47">
        <f t="shared" ref="F158:F177" si="24">D158-E158</f>
        <v>0.1</v>
      </c>
      <c r="G158" s="47"/>
      <c r="H158" s="47">
        <f>'MINERAL CARBONATION'!$F$8/'MINERAL CARBONATION'!$K$12</f>
        <v>1.5</v>
      </c>
      <c r="I158" s="47">
        <f t="shared" ref="I158:I177" si="25">F158-H158</f>
        <v>-1.4</v>
      </c>
      <c r="J158" s="47">
        <f>I158</f>
        <v>-1.4</v>
      </c>
      <c r="K158" s="47">
        <f t="shared" si="22"/>
        <v>-1.4</v>
      </c>
      <c r="L158" s="50">
        <f>IF(K158&gt;0,K158*'MINERAL CARBONATION'!$K$15,0)</f>
        <v>0</v>
      </c>
      <c r="M158" s="47">
        <f t="shared" si="23"/>
        <v>-1.4</v>
      </c>
      <c r="N158" s="47">
        <f t="shared" ref="N158:N177" si="26">N157+M158</f>
        <v>-1.4</v>
      </c>
      <c r="O158" s="47">
        <f>(1+'MINERAL CARBONATION'!$K$16)^-A158</f>
        <v>0.909090909090909</v>
      </c>
      <c r="P158" s="51">
        <f t="shared" ref="P158:P177" si="27">M158*O158</f>
        <v>-1.27272727272727</v>
      </c>
      <c r="Q158" s="330">
        <f t="shared" ref="Q158:Q177" si="28">Q157+P158</f>
        <v>-1.27272727272727</v>
      </c>
    </row>
    <row r="159" spans="1:17">
      <c r="A159" s="42">
        <v>2</v>
      </c>
      <c r="B159" s="47">
        <f>'MINERAL CARBONATION'!$M$7/(4/3)</f>
        <v>30000</v>
      </c>
      <c r="C159" s="47">
        <f t="shared" ref="C159:C177" si="29">$C$158</f>
        <v>60</v>
      </c>
      <c r="D159" s="47">
        <f t="shared" ref="D159:D177" si="30">B159*C159/10^6</f>
        <v>1.8</v>
      </c>
      <c r="E159" s="47">
        <f>'MINERAL CARBONATION'!$F$17</f>
        <v>1.7</v>
      </c>
      <c r="F159" s="47">
        <f t="shared" si="24"/>
        <v>0.1</v>
      </c>
      <c r="G159" s="47"/>
      <c r="H159" s="47">
        <f>'MINERAL CARBONATION'!$F$8/'MINERAL CARBONATION'!$K$12</f>
        <v>1.5</v>
      </c>
      <c r="I159" s="47">
        <f t="shared" si="25"/>
        <v>-1.4</v>
      </c>
      <c r="J159" s="47">
        <f t="shared" ref="J159:J162" si="31">J158+I159</f>
        <v>-2.8</v>
      </c>
      <c r="K159" s="47">
        <f t="shared" si="22"/>
        <v>-2.8</v>
      </c>
      <c r="L159" s="50">
        <f>IF(K159&gt;0,K159*'MINERAL CARBONATION'!$K$15,0)</f>
        <v>0</v>
      </c>
      <c r="M159" s="47">
        <f t="shared" si="23"/>
        <v>-1.4</v>
      </c>
      <c r="N159" s="47">
        <f t="shared" si="26"/>
        <v>-2.8</v>
      </c>
      <c r="O159" s="47">
        <f>(1+'MINERAL CARBONATION'!$K$16)^-A159</f>
        <v>0.826446280991735</v>
      </c>
      <c r="P159" s="51">
        <f t="shared" si="27"/>
        <v>-1.15702479338843</v>
      </c>
      <c r="Q159" s="330">
        <f t="shared" si="28"/>
        <v>-2.4297520661157</v>
      </c>
    </row>
    <row r="160" spans="1:17">
      <c r="A160" s="46">
        <v>3</v>
      </c>
      <c r="B160" s="47">
        <f>'MINERAL CARBONATION'!$M$7/(4/3)</f>
        <v>30000</v>
      </c>
      <c r="C160" s="47">
        <f t="shared" si="29"/>
        <v>60</v>
      </c>
      <c r="D160" s="47">
        <f t="shared" si="30"/>
        <v>1.8</v>
      </c>
      <c r="E160" s="47">
        <f>'MINERAL CARBONATION'!$F$17</f>
        <v>1.7</v>
      </c>
      <c r="F160" s="47">
        <f t="shared" si="24"/>
        <v>0.1</v>
      </c>
      <c r="G160" s="47"/>
      <c r="H160" s="47">
        <f>'MINERAL CARBONATION'!$F$8/'MINERAL CARBONATION'!$K$12</f>
        <v>1.5</v>
      </c>
      <c r="I160" s="47">
        <f t="shared" si="25"/>
        <v>-1.4</v>
      </c>
      <c r="J160" s="47">
        <f t="shared" si="31"/>
        <v>-4.2</v>
      </c>
      <c r="K160" s="47">
        <f t="shared" si="22"/>
        <v>-4.2</v>
      </c>
      <c r="L160" s="50">
        <f>IF(K160&gt;0,K160*'MINERAL CARBONATION'!$K$15,0)</f>
        <v>0</v>
      </c>
      <c r="M160" s="47">
        <f t="shared" si="23"/>
        <v>-1.4</v>
      </c>
      <c r="N160" s="47">
        <f t="shared" si="26"/>
        <v>-4.2</v>
      </c>
      <c r="O160" s="47">
        <f>(1+'MINERAL CARBONATION'!$K$16)^-A160</f>
        <v>0.751314800901578</v>
      </c>
      <c r="P160" s="51">
        <f t="shared" si="27"/>
        <v>-1.05184072126221</v>
      </c>
      <c r="Q160" s="330">
        <f t="shared" si="28"/>
        <v>-3.48159278737791</v>
      </c>
    </row>
    <row r="161" spans="1:17">
      <c r="A161" s="42">
        <v>4</v>
      </c>
      <c r="B161" s="47">
        <f>'MINERAL CARBONATION'!$M$7/(4/3)</f>
        <v>30000</v>
      </c>
      <c r="C161" s="47">
        <f t="shared" si="29"/>
        <v>60</v>
      </c>
      <c r="D161" s="47">
        <f t="shared" si="30"/>
        <v>1.8</v>
      </c>
      <c r="E161" s="47">
        <f>'MINERAL CARBONATION'!$F$17</f>
        <v>1.7</v>
      </c>
      <c r="F161" s="47">
        <f t="shared" si="24"/>
        <v>0.1</v>
      </c>
      <c r="G161" s="47"/>
      <c r="H161" s="47">
        <f>'MINERAL CARBONATION'!$F$8/'MINERAL CARBONATION'!$K$12</f>
        <v>1.5</v>
      </c>
      <c r="I161" s="47">
        <f t="shared" si="25"/>
        <v>-1.4</v>
      </c>
      <c r="J161" s="47">
        <f t="shared" si="31"/>
        <v>-5.6</v>
      </c>
      <c r="K161" s="47">
        <f t="shared" si="22"/>
        <v>-5.6</v>
      </c>
      <c r="L161" s="50">
        <f>IF(K161&gt;0,K161*'MINERAL CARBONATION'!$K$15,0)</f>
        <v>0</v>
      </c>
      <c r="M161" s="47">
        <f t="shared" si="23"/>
        <v>-1.4</v>
      </c>
      <c r="N161" s="47">
        <f t="shared" si="26"/>
        <v>-5.6</v>
      </c>
      <c r="O161" s="47">
        <f>(1+'MINERAL CARBONATION'!$K$16)^-A161</f>
        <v>0.683013455365071</v>
      </c>
      <c r="P161" s="51">
        <f t="shared" si="27"/>
        <v>-0.956218837511099</v>
      </c>
      <c r="Q161" s="330">
        <f t="shared" si="28"/>
        <v>-4.43781162488901</v>
      </c>
    </row>
    <row r="162" spans="1:17">
      <c r="A162" s="46">
        <v>5</v>
      </c>
      <c r="B162" s="47">
        <f>'MINERAL CARBONATION'!$M$7/(4/3)</f>
        <v>30000</v>
      </c>
      <c r="C162" s="47">
        <f t="shared" si="29"/>
        <v>60</v>
      </c>
      <c r="D162" s="47">
        <f t="shared" si="30"/>
        <v>1.8</v>
      </c>
      <c r="E162" s="47">
        <f>'MINERAL CARBONATION'!$F$17</f>
        <v>1.7</v>
      </c>
      <c r="F162" s="47">
        <f t="shared" si="24"/>
        <v>0.1</v>
      </c>
      <c r="G162" s="47"/>
      <c r="H162" s="47"/>
      <c r="I162" s="47">
        <f t="shared" si="25"/>
        <v>0.1</v>
      </c>
      <c r="J162" s="47">
        <f t="shared" si="31"/>
        <v>-5.5</v>
      </c>
      <c r="K162" s="47">
        <f t="shared" si="22"/>
        <v>-5.5</v>
      </c>
      <c r="L162" s="50">
        <f>IF(K162&gt;0,K162*'MINERAL CARBONATION'!$K$15,0)</f>
        <v>0</v>
      </c>
      <c r="M162" s="47">
        <f t="shared" si="23"/>
        <v>0.1</v>
      </c>
      <c r="N162" s="47">
        <f t="shared" si="26"/>
        <v>-5.5</v>
      </c>
      <c r="O162" s="47">
        <f>(1+'MINERAL CARBONATION'!$K$16)^-A162</f>
        <v>0.620921323059155</v>
      </c>
      <c r="P162" s="51">
        <f t="shared" si="27"/>
        <v>0.0620921323059156</v>
      </c>
      <c r="Q162" s="330">
        <f t="shared" si="28"/>
        <v>-4.37571949258309</v>
      </c>
    </row>
    <row r="163" spans="1:17">
      <c r="A163" s="42">
        <v>6</v>
      </c>
      <c r="B163" s="47">
        <f>'MINERAL CARBONATION'!$M$7/(4/3)</f>
        <v>30000</v>
      </c>
      <c r="C163" s="47">
        <f t="shared" si="29"/>
        <v>60</v>
      </c>
      <c r="D163" s="47">
        <f t="shared" si="30"/>
        <v>1.8</v>
      </c>
      <c r="E163" s="47">
        <f>'MINERAL CARBONATION'!$F$17</f>
        <v>1.7</v>
      </c>
      <c r="F163" s="47">
        <f t="shared" si="24"/>
        <v>0.1</v>
      </c>
      <c r="G163" s="47"/>
      <c r="H163" s="47"/>
      <c r="I163" s="47">
        <f t="shared" si="25"/>
        <v>0.1</v>
      </c>
      <c r="J163" s="47">
        <f t="shared" ref="J163:J178" si="32">J162+I163</f>
        <v>-5.4</v>
      </c>
      <c r="K163" s="47">
        <f t="shared" ref="K163:K177" si="33">I163</f>
        <v>0.1</v>
      </c>
      <c r="L163" s="50">
        <f>IF(K163&gt;0,K163*'MINERAL CARBONATION'!$K$15,0)</f>
        <v>0.02</v>
      </c>
      <c r="M163" s="47">
        <f t="shared" si="23"/>
        <v>0.0800000000000001</v>
      </c>
      <c r="N163" s="47">
        <f t="shared" si="26"/>
        <v>-5.42</v>
      </c>
      <c r="O163" s="47">
        <f>(1+'MINERAL CARBONATION'!$K$16)^-A163</f>
        <v>0.564473930053777</v>
      </c>
      <c r="P163" s="51">
        <f t="shared" si="27"/>
        <v>0.0451579144043022</v>
      </c>
      <c r="Q163" s="330">
        <f t="shared" si="28"/>
        <v>-4.33056157817879</v>
      </c>
    </row>
    <row r="164" spans="1:17">
      <c r="A164" s="46">
        <v>7</v>
      </c>
      <c r="B164" s="47">
        <f>'MINERAL CARBONATION'!$M$7/(4/3)</f>
        <v>30000</v>
      </c>
      <c r="C164" s="47">
        <f t="shared" si="29"/>
        <v>60</v>
      </c>
      <c r="D164" s="47">
        <f t="shared" si="30"/>
        <v>1.8</v>
      </c>
      <c r="E164" s="47">
        <f>'MINERAL CARBONATION'!$F$17</f>
        <v>1.7</v>
      </c>
      <c r="F164" s="47">
        <f t="shared" si="24"/>
        <v>0.1</v>
      </c>
      <c r="G164" s="47"/>
      <c r="H164" s="47"/>
      <c r="I164" s="47">
        <f t="shared" si="25"/>
        <v>0.1</v>
      </c>
      <c r="J164" s="47">
        <f t="shared" si="32"/>
        <v>-5.3</v>
      </c>
      <c r="K164" s="47">
        <f t="shared" si="33"/>
        <v>0.1</v>
      </c>
      <c r="L164" s="50">
        <f>IF(K164&gt;0,K164*'MINERAL CARBONATION'!$K$15,0)</f>
        <v>0.02</v>
      </c>
      <c r="M164" s="47">
        <f t="shared" si="23"/>
        <v>0.0800000000000001</v>
      </c>
      <c r="N164" s="47">
        <f t="shared" si="26"/>
        <v>-5.34</v>
      </c>
      <c r="O164" s="47">
        <f>(1+'MINERAL CARBONATION'!$K$16)^-A164</f>
        <v>0.513158118230706</v>
      </c>
      <c r="P164" s="51">
        <f t="shared" si="27"/>
        <v>0.0410526494584565</v>
      </c>
      <c r="Q164" s="330">
        <f t="shared" si="28"/>
        <v>-4.28950892872034</v>
      </c>
    </row>
    <row r="165" spans="1:17">
      <c r="A165" s="42">
        <v>8</v>
      </c>
      <c r="B165" s="47">
        <f>'MINERAL CARBONATION'!$M$7/(4/3)</f>
        <v>30000</v>
      </c>
      <c r="C165" s="47">
        <f t="shared" si="29"/>
        <v>60</v>
      </c>
      <c r="D165" s="47">
        <f t="shared" si="30"/>
        <v>1.8</v>
      </c>
      <c r="E165" s="47">
        <f>'MINERAL CARBONATION'!$F$17</f>
        <v>1.7</v>
      </c>
      <c r="F165" s="47">
        <f t="shared" si="24"/>
        <v>0.1</v>
      </c>
      <c r="G165" s="47"/>
      <c r="H165" s="47"/>
      <c r="I165" s="47">
        <f t="shared" si="25"/>
        <v>0.1</v>
      </c>
      <c r="J165" s="47">
        <f t="shared" si="32"/>
        <v>-5.2</v>
      </c>
      <c r="K165" s="47">
        <f t="shared" si="33"/>
        <v>0.1</v>
      </c>
      <c r="L165" s="50">
        <f>IF(K165&gt;0,K165*'MINERAL CARBONATION'!$K$15,0)</f>
        <v>0.02</v>
      </c>
      <c r="M165" s="47">
        <f t="shared" si="23"/>
        <v>0.0800000000000001</v>
      </c>
      <c r="N165" s="47">
        <f t="shared" si="26"/>
        <v>-5.26</v>
      </c>
      <c r="O165" s="47">
        <f>(1+'MINERAL CARBONATION'!$K$16)^-A165</f>
        <v>0.466507380209733</v>
      </c>
      <c r="P165" s="51">
        <f t="shared" si="27"/>
        <v>0.0373205904167787</v>
      </c>
      <c r="Q165" s="330">
        <f t="shared" si="28"/>
        <v>-4.25218833830356</v>
      </c>
    </row>
    <row r="166" spans="1:17">
      <c r="A166" s="46">
        <v>9</v>
      </c>
      <c r="B166" s="47">
        <f>'MINERAL CARBONATION'!$M$7/(4/3)</f>
        <v>30000</v>
      </c>
      <c r="C166" s="47">
        <f t="shared" si="29"/>
        <v>60</v>
      </c>
      <c r="D166" s="47">
        <f t="shared" si="30"/>
        <v>1.8</v>
      </c>
      <c r="E166" s="47">
        <f>'MINERAL CARBONATION'!$F$17</f>
        <v>1.7</v>
      </c>
      <c r="F166" s="47">
        <f t="shared" si="24"/>
        <v>0.1</v>
      </c>
      <c r="G166" s="47"/>
      <c r="H166" s="47"/>
      <c r="I166" s="47">
        <f t="shared" si="25"/>
        <v>0.1</v>
      </c>
      <c r="J166" s="47">
        <f t="shared" si="32"/>
        <v>-5.1</v>
      </c>
      <c r="K166" s="47">
        <f t="shared" si="33"/>
        <v>0.1</v>
      </c>
      <c r="L166" s="50">
        <f>IF(K166&gt;0,K166*'MINERAL CARBONATION'!$K$15,0)</f>
        <v>0.02</v>
      </c>
      <c r="M166" s="47">
        <f t="shared" si="23"/>
        <v>0.0800000000000001</v>
      </c>
      <c r="N166" s="47">
        <f t="shared" si="26"/>
        <v>-5.18</v>
      </c>
      <c r="O166" s="47">
        <f>(1+'MINERAL CARBONATION'!$K$16)^-A166</f>
        <v>0.424097618372485</v>
      </c>
      <c r="P166" s="51">
        <f t="shared" si="27"/>
        <v>0.0339278094697988</v>
      </c>
      <c r="Q166" s="330">
        <f t="shared" si="28"/>
        <v>-4.21826052883376</v>
      </c>
    </row>
    <row r="167" spans="1:17">
      <c r="A167" s="42">
        <v>10</v>
      </c>
      <c r="B167" s="47">
        <f>'MINERAL CARBONATION'!$M$7/(4/3)</f>
        <v>30000</v>
      </c>
      <c r="C167" s="47">
        <f t="shared" si="29"/>
        <v>60</v>
      </c>
      <c r="D167" s="47">
        <f t="shared" si="30"/>
        <v>1.8</v>
      </c>
      <c r="E167" s="47">
        <f>'MINERAL CARBONATION'!$F$17</f>
        <v>1.7</v>
      </c>
      <c r="F167" s="47">
        <f t="shared" si="24"/>
        <v>0.1</v>
      </c>
      <c r="G167" s="47"/>
      <c r="H167" s="47"/>
      <c r="I167" s="47">
        <f t="shared" si="25"/>
        <v>0.1</v>
      </c>
      <c r="J167" s="47">
        <f t="shared" si="32"/>
        <v>-5</v>
      </c>
      <c r="K167" s="47">
        <f t="shared" si="33"/>
        <v>0.1</v>
      </c>
      <c r="L167" s="50">
        <f>IF(K167&gt;0,K167*'MINERAL CARBONATION'!$K$15,0)</f>
        <v>0.02</v>
      </c>
      <c r="M167" s="47">
        <f t="shared" si="23"/>
        <v>0.0800000000000001</v>
      </c>
      <c r="N167" s="47">
        <f t="shared" si="26"/>
        <v>-5.1</v>
      </c>
      <c r="O167" s="47">
        <f>(1+'MINERAL CARBONATION'!$K$16)^-A167</f>
        <v>0.385543289429531</v>
      </c>
      <c r="P167" s="51">
        <f t="shared" si="27"/>
        <v>0.0308434631543625</v>
      </c>
      <c r="Q167" s="330">
        <f t="shared" si="28"/>
        <v>-4.1874170656794</v>
      </c>
    </row>
    <row r="168" spans="1:17">
      <c r="A168" s="46">
        <v>11</v>
      </c>
      <c r="B168" s="47">
        <f>'MINERAL CARBONATION'!$M$7/(4/3)</f>
        <v>30000</v>
      </c>
      <c r="C168" s="47">
        <f t="shared" si="29"/>
        <v>60</v>
      </c>
      <c r="D168" s="47">
        <f t="shared" si="30"/>
        <v>1.8</v>
      </c>
      <c r="E168" s="47">
        <f>'MINERAL CARBONATION'!$F$17</f>
        <v>1.7</v>
      </c>
      <c r="F168" s="47">
        <f t="shared" si="24"/>
        <v>0.1</v>
      </c>
      <c r="G168" s="47"/>
      <c r="H168" s="47"/>
      <c r="I168" s="47">
        <f t="shared" si="25"/>
        <v>0.1</v>
      </c>
      <c r="J168" s="47">
        <f t="shared" si="32"/>
        <v>-4.9</v>
      </c>
      <c r="K168" s="47">
        <f t="shared" si="33"/>
        <v>0.1</v>
      </c>
      <c r="L168" s="50">
        <f>IF(K168&gt;0,K168*'MINERAL CARBONATION'!$K$15,0)</f>
        <v>0.02</v>
      </c>
      <c r="M168" s="47">
        <f t="shared" si="23"/>
        <v>0.0800000000000001</v>
      </c>
      <c r="N168" s="47">
        <f t="shared" si="26"/>
        <v>-5.02</v>
      </c>
      <c r="O168" s="47">
        <f>(1+'MINERAL CARBONATION'!$K$16)^-A168</f>
        <v>0.350493899481392</v>
      </c>
      <c r="P168" s="51">
        <f t="shared" si="27"/>
        <v>0.0280395119585114</v>
      </c>
      <c r="Q168" s="330">
        <f t="shared" si="28"/>
        <v>-4.15937755372088</v>
      </c>
    </row>
    <row r="169" spans="1:17">
      <c r="A169" s="42">
        <v>12</v>
      </c>
      <c r="B169" s="47">
        <f>'MINERAL CARBONATION'!$M$7/(4/3)</f>
        <v>30000</v>
      </c>
      <c r="C169" s="47">
        <f t="shared" si="29"/>
        <v>60</v>
      </c>
      <c r="D169" s="47">
        <f t="shared" si="30"/>
        <v>1.8</v>
      </c>
      <c r="E169" s="47">
        <f>'MINERAL CARBONATION'!$F$17</f>
        <v>1.7</v>
      </c>
      <c r="F169" s="47">
        <f t="shared" si="24"/>
        <v>0.1</v>
      </c>
      <c r="G169" s="47"/>
      <c r="H169" s="47"/>
      <c r="I169" s="47">
        <f t="shared" si="25"/>
        <v>0.1</v>
      </c>
      <c r="J169" s="47">
        <f t="shared" si="32"/>
        <v>-4.8</v>
      </c>
      <c r="K169" s="47">
        <f t="shared" si="33"/>
        <v>0.1</v>
      </c>
      <c r="L169" s="50">
        <f>IF(K169&gt;0,K169*'MINERAL CARBONATION'!$K$15,0)</f>
        <v>0.02</v>
      </c>
      <c r="M169" s="47">
        <f t="shared" si="23"/>
        <v>0.0800000000000001</v>
      </c>
      <c r="N169" s="47">
        <f t="shared" si="26"/>
        <v>-4.94</v>
      </c>
      <c r="O169" s="47">
        <f>(1+'MINERAL CARBONATION'!$K$16)^-A169</f>
        <v>0.318630817710357</v>
      </c>
      <c r="P169" s="51">
        <f t="shared" si="27"/>
        <v>0.0254904654168286</v>
      </c>
      <c r="Q169" s="330">
        <f t="shared" si="28"/>
        <v>-4.13388708830406</v>
      </c>
    </row>
    <row r="170" spans="1:17">
      <c r="A170" s="46">
        <v>13</v>
      </c>
      <c r="B170" s="47">
        <f>'MINERAL CARBONATION'!$M$7/(4/3)</f>
        <v>30000</v>
      </c>
      <c r="C170" s="47">
        <f t="shared" si="29"/>
        <v>60</v>
      </c>
      <c r="D170" s="47">
        <f t="shared" si="30"/>
        <v>1.8</v>
      </c>
      <c r="E170" s="47">
        <f>'MINERAL CARBONATION'!$F$17</f>
        <v>1.7</v>
      </c>
      <c r="F170" s="47">
        <f t="shared" si="24"/>
        <v>0.1</v>
      </c>
      <c r="G170" s="47"/>
      <c r="H170" s="47"/>
      <c r="I170" s="47">
        <f t="shared" si="25"/>
        <v>0.1</v>
      </c>
      <c r="J170" s="47">
        <f t="shared" si="32"/>
        <v>-4.7</v>
      </c>
      <c r="K170" s="47">
        <f t="shared" si="33"/>
        <v>0.1</v>
      </c>
      <c r="L170" s="50">
        <f>IF(K170&gt;0,K170*'MINERAL CARBONATION'!$K$15,0)</f>
        <v>0.02</v>
      </c>
      <c r="M170" s="47">
        <f t="shared" si="23"/>
        <v>0.0800000000000001</v>
      </c>
      <c r="N170" s="47">
        <f t="shared" si="26"/>
        <v>-4.86</v>
      </c>
      <c r="O170" s="47">
        <f>(1+'MINERAL CARBONATION'!$K$16)^-A170</f>
        <v>0.289664379736688</v>
      </c>
      <c r="P170" s="51">
        <f t="shared" si="27"/>
        <v>0.0231731503789351</v>
      </c>
      <c r="Q170" s="330">
        <f t="shared" si="28"/>
        <v>-4.11071393792512</v>
      </c>
    </row>
    <row r="171" spans="1:17">
      <c r="A171" s="42">
        <v>14</v>
      </c>
      <c r="B171" s="47">
        <f>'MINERAL CARBONATION'!$M$7/(4/3)</f>
        <v>30000</v>
      </c>
      <c r="C171" s="47">
        <f t="shared" si="29"/>
        <v>60</v>
      </c>
      <c r="D171" s="47">
        <f t="shared" si="30"/>
        <v>1.8</v>
      </c>
      <c r="E171" s="47">
        <f>'MINERAL CARBONATION'!$F$17</f>
        <v>1.7</v>
      </c>
      <c r="F171" s="47">
        <f t="shared" si="24"/>
        <v>0.1</v>
      </c>
      <c r="G171" s="47"/>
      <c r="H171" s="47"/>
      <c r="I171" s="47">
        <f t="shared" si="25"/>
        <v>0.1</v>
      </c>
      <c r="J171" s="47">
        <f t="shared" si="32"/>
        <v>-4.6</v>
      </c>
      <c r="K171" s="47">
        <f t="shared" si="33"/>
        <v>0.1</v>
      </c>
      <c r="L171" s="50">
        <f>IF(K171&gt;0,K171*'MINERAL CARBONATION'!$K$15,0)</f>
        <v>0.02</v>
      </c>
      <c r="M171" s="47">
        <f t="shared" si="23"/>
        <v>0.0800000000000001</v>
      </c>
      <c r="N171" s="47">
        <f t="shared" si="26"/>
        <v>-4.78</v>
      </c>
      <c r="O171" s="47">
        <f>(1+'MINERAL CARBONATION'!$K$16)^-A171</f>
        <v>0.26333125430608</v>
      </c>
      <c r="P171" s="51">
        <f t="shared" si="27"/>
        <v>0.0210665003444864</v>
      </c>
      <c r="Q171" s="330">
        <f t="shared" si="28"/>
        <v>-4.08964743758063</v>
      </c>
    </row>
    <row r="172" spans="1:17">
      <c r="A172" s="46">
        <v>15</v>
      </c>
      <c r="B172" s="47">
        <f>'MINERAL CARBONATION'!$M$7/(4/3)</f>
        <v>30000</v>
      </c>
      <c r="C172" s="47">
        <f t="shared" si="29"/>
        <v>60</v>
      </c>
      <c r="D172" s="47">
        <f t="shared" si="30"/>
        <v>1.8</v>
      </c>
      <c r="E172" s="47">
        <f>'MINERAL CARBONATION'!$F$17</f>
        <v>1.7</v>
      </c>
      <c r="F172" s="47">
        <f t="shared" si="24"/>
        <v>0.1</v>
      </c>
      <c r="G172" s="47"/>
      <c r="H172" s="47"/>
      <c r="I172" s="47">
        <f t="shared" si="25"/>
        <v>0.1</v>
      </c>
      <c r="J172" s="47">
        <f t="shared" si="32"/>
        <v>-4.5</v>
      </c>
      <c r="K172" s="53">
        <f t="shared" si="33"/>
        <v>0.1</v>
      </c>
      <c r="L172" s="50">
        <f>IF(K172&gt;0,K172*'MINERAL CARBONATION'!$K$15,0)</f>
        <v>0.02</v>
      </c>
      <c r="M172" s="47">
        <f t="shared" si="23"/>
        <v>0.0800000000000001</v>
      </c>
      <c r="N172" s="47">
        <f t="shared" si="26"/>
        <v>-4.7</v>
      </c>
      <c r="O172" s="47">
        <f>(1+'MINERAL CARBONATION'!$K$16)^-A172</f>
        <v>0.239392049369163</v>
      </c>
      <c r="P172" s="51">
        <f t="shared" si="27"/>
        <v>0.0191513639495331</v>
      </c>
      <c r="Q172" s="330">
        <f t="shared" si="28"/>
        <v>-4.0704960736311</v>
      </c>
    </row>
    <row r="173" spans="1:17">
      <c r="A173" s="42">
        <v>16</v>
      </c>
      <c r="B173" s="47">
        <f>'MINERAL CARBONATION'!$M$7/(4/3)</f>
        <v>30000</v>
      </c>
      <c r="C173" s="47">
        <f t="shared" si="29"/>
        <v>60</v>
      </c>
      <c r="D173" s="47">
        <f t="shared" si="30"/>
        <v>1.8</v>
      </c>
      <c r="E173" s="47">
        <f>'MINERAL CARBONATION'!$F$17</f>
        <v>1.7</v>
      </c>
      <c r="F173" s="47">
        <f t="shared" si="24"/>
        <v>0.1</v>
      </c>
      <c r="G173" s="47"/>
      <c r="H173" s="47"/>
      <c r="I173" s="47">
        <f t="shared" si="25"/>
        <v>0.1</v>
      </c>
      <c r="J173" s="47">
        <f t="shared" si="32"/>
        <v>-4.4</v>
      </c>
      <c r="K173" s="47">
        <f t="shared" si="33"/>
        <v>0.1</v>
      </c>
      <c r="L173" s="50">
        <f>IF(K173&gt;0,K173*'MINERAL CARBONATION'!$K$15,0)</f>
        <v>0.02</v>
      </c>
      <c r="M173" s="47">
        <f t="shared" si="23"/>
        <v>0.0800000000000001</v>
      </c>
      <c r="N173" s="47">
        <f t="shared" si="26"/>
        <v>-4.62</v>
      </c>
      <c r="O173" s="47">
        <f>(1+'MINERAL CARBONATION'!$K$16)^-A173</f>
        <v>0.217629135790149</v>
      </c>
      <c r="P173" s="51">
        <f t="shared" si="27"/>
        <v>0.0174103308632119</v>
      </c>
      <c r="Q173" s="330">
        <f t="shared" si="28"/>
        <v>-4.05308574276789</v>
      </c>
    </row>
    <row r="174" spans="1:17">
      <c r="A174" s="46">
        <v>17</v>
      </c>
      <c r="B174" s="47">
        <f>'MINERAL CARBONATION'!$M$7/(4/3)</f>
        <v>30000</v>
      </c>
      <c r="C174" s="47">
        <f t="shared" si="29"/>
        <v>60</v>
      </c>
      <c r="D174" s="47">
        <f t="shared" si="30"/>
        <v>1.8</v>
      </c>
      <c r="E174" s="47">
        <f>'MINERAL CARBONATION'!$F$17</f>
        <v>1.7</v>
      </c>
      <c r="F174" s="47">
        <f t="shared" si="24"/>
        <v>0.1</v>
      </c>
      <c r="G174" s="47"/>
      <c r="H174" s="47"/>
      <c r="I174" s="47">
        <f t="shared" si="25"/>
        <v>0.1</v>
      </c>
      <c r="J174" s="47">
        <f t="shared" si="32"/>
        <v>-4.3</v>
      </c>
      <c r="K174" s="47">
        <f t="shared" si="33"/>
        <v>0.1</v>
      </c>
      <c r="L174" s="50">
        <f>IF(K174&gt;0,K174*'MINERAL CARBONATION'!$K$15,0)</f>
        <v>0.02</v>
      </c>
      <c r="M174" s="47">
        <f t="shared" si="23"/>
        <v>0.0800000000000001</v>
      </c>
      <c r="N174" s="47">
        <f t="shared" si="26"/>
        <v>-4.54</v>
      </c>
      <c r="O174" s="47">
        <f>(1+'MINERAL CARBONATION'!$K$16)^-A174</f>
        <v>0.197844668900135</v>
      </c>
      <c r="P174" s="51">
        <f t="shared" si="27"/>
        <v>0.0158275735120108</v>
      </c>
      <c r="Q174" s="330">
        <f t="shared" si="28"/>
        <v>-4.03725816925588</v>
      </c>
    </row>
    <row r="175" spans="1:17">
      <c r="A175" s="42">
        <v>18</v>
      </c>
      <c r="B175" s="47">
        <f>'MINERAL CARBONATION'!$M$7/(4/3)</f>
        <v>30000</v>
      </c>
      <c r="C175" s="47">
        <f t="shared" si="29"/>
        <v>60</v>
      </c>
      <c r="D175" s="47">
        <f t="shared" si="30"/>
        <v>1.8</v>
      </c>
      <c r="E175" s="47">
        <f>'MINERAL CARBONATION'!$F$17</f>
        <v>1.7</v>
      </c>
      <c r="F175" s="47">
        <f t="shared" si="24"/>
        <v>0.1</v>
      </c>
      <c r="G175" s="47"/>
      <c r="H175" s="47"/>
      <c r="I175" s="47">
        <f t="shared" si="25"/>
        <v>0.1</v>
      </c>
      <c r="J175" s="47">
        <f t="shared" si="32"/>
        <v>-4.2</v>
      </c>
      <c r="K175" s="47">
        <f t="shared" si="33"/>
        <v>0.1</v>
      </c>
      <c r="L175" s="50">
        <f>IF(K175&gt;0,K175*'MINERAL CARBONATION'!$K$15,0)</f>
        <v>0.02</v>
      </c>
      <c r="M175" s="47">
        <f t="shared" si="23"/>
        <v>0.0800000000000001</v>
      </c>
      <c r="N175" s="47">
        <f t="shared" si="26"/>
        <v>-4.46</v>
      </c>
      <c r="O175" s="47">
        <f>(1+'MINERAL CARBONATION'!$K$16)^-A175</f>
        <v>0.179858789909214</v>
      </c>
      <c r="P175" s="51">
        <f t="shared" si="27"/>
        <v>0.0143887031927371</v>
      </c>
      <c r="Q175" s="330">
        <f t="shared" si="28"/>
        <v>-4.02286946606314</v>
      </c>
    </row>
    <row r="176" spans="1:17">
      <c r="A176" s="46">
        <v>19</v>
      </c>
      <c r="B176" s="47">
        <f>'MINERAL CARBONATION'!$M$7/(4/3)</f>
        <v>30000</v>
      </c>
      <c r="C176" s="47">
        <f t="shared" si="29"/>
        <v>60</v>
      </c>
      <c r="D176" s="47">
        <f t="shared" si="30"/>
        <v>1.8</v>
      </c>
      <c r="E176" s="47">
        <f>'MINERAL CARBONATION'!$F$17</f>
        <v>1.7</v>
      </c>
      <c r="F176" s="47">
        <f t="shared" si="24"/>
        <v>0.1</v>
      </c>
      <c r="G176" s="47"/>
      <c r="H176" s="47"/>
      <c r="I176" s="47">
        <f t="shared" si="25"/>
        <v>0.1</v>
      </c>
      <c r="J176" s="47">
        <f t="shared" si="32"/>
        <v>-4.1</v>
      </c>
      <c r="K176" s="47">
        <f t="shared" si="33"/>
        <v>0.1</v>
      </c>
      <c r="L176" s="50">
        <f>IF(K176&gt;0,K176*'MINERAL CARBONATION'!$K$15,0)</f>
        <v>0.02</v>
      </c>
      <c r="M176" s="47">
        <f t="shared" si="23"/>
        <v>0.0800000000000001</v>
      </c>
      <c r="N176" s="47">
        <f t="shared" si="26"/>
        <v>-4.38</v>
      </c>
      <c r="O176" s="47">
        <f>(1+'MINERAL CARBONATION'!$K$16)^-A176</f>
        <v>0.163507990826558</v>
      </c>
      <c r="P176" s="51">
        <f t="shared" si="27"/>
        <v>0.0130806392661247</v>
      </c>
      <c r="Q176" s="330">
        <f t="shared" si="28"/>
        <v>-4.00978882679702</v>
      </c>
    </row>
    <row r="177" spans="1:17">
      <c r="A177" s="42">
        <v>20</v>
      </c>
      <c r="B177" s="47">
        <f>'MINERAL CARBONATION'!$M$7/(4/3)</f>
        <v>30000</v>
      </c>
      <c r="C177" s="47">
        <f t="shared" si="29"/>
        <v>60</v>
      </c>
      <c r="D177" s="47">
        <f t="shared" si="30"/>
        <v>1.8</v>
      </c>
      <c r="E177" s="47">
        <f>'MINERAL CARBONATION'!$F$17</f>
        <v>1.7</v>
      </c>
      <c r="F177" s="47">
        <f t="shared" si="24"/>
        <v>0.1</v>
      </c>
      <c r="G177" s="47"/>
      <c r="H177" s="47"/>
      <c r="I177" s="47">
        <f t="shared" si="25"/>
        <v>0.1</v>
      </c>
      <c r="J177" s="47">
        <f t="shared" si="32"/>
        <v>-4.00000000000001</v>
      </c>
      <c r="K177" s="47">
        <f t="shared" si="33"/>
        <v>0.1</v>
      </c>
      <c r="L177" s="50">
        <f>IF(K177&gt;0,K177*'MINERAL CARBONATION'!$K$15,0)</f>
        <v>0.02</v>
      </c>
      <c r="M177" s="47">
        <f t="shared" si="23"/>
        <v>0.0800000000000001</v>
      </c>
      <c r="N177" s="47">
        <f t="shared" si="26"/>
        <v>-4.3</v>
      </c>
      <c r="O177" s="47">
        <f>(1+'MINERAL CARBONATION'!$K$16)^-A177</f>
        <v>0.148643628024143</v>
      </c>
      <c r="P177" s="51">
        <f t="shared" si="27"/>
        <v>0.0118914902419314</v>
      </c>
      <c r="Q177" s="330">
        <f t="shared" si="28"/>
        <v>-3.99789733655508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-3.99789733655508</v>
      </c>
      <c r="Q178" s="47"/>
    </row>
  </sheetData>
  <pageMargins left="0.75" right="0.75" top="1" bottom="1" header="0.511805555555556" footer="0.511805555555556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3"/>
  <sheetViews>
    <sheetView tabSelected="1" zoomScale="64" zoomScaleNormal="64" workbookViewId="0">
      <selection activeCell="O27" sqref="O27"/>
    </sheetView>
  </sheetViews>
  <sheetFormatPr defaultColWidth="9.14285714285714" defaultRowHeight="15"/>
  <cols>
    <col min="2" max="2" width="21.2857142857143" customWidth="1"/>
    <col min="3" max="3" width="28.5714285714286" customWidth="1"/>
    <col min="4" max="4" width="14"/>
    <col min="5" max="5" width="12.8571428571429"/>
    <col min="6" max="6" width="13.8571428571429"/>
    <col min="10" max="10" width="9.57142857142857"/>
    <col min="12" max="12" width="12.8571428571429"/>
    <col min="13" max="13" width="10.5714285714286"/>
  </cols>
  <sheetData>
    <row r="1" ht="23.25" spans="1:14">
      <c r="A1" s="325" t="s">
        <v>98</v>
      </c>
      <c r="B1" s="264"/>
      <c r="C1" s="264"/>
      <c r="D1" s="264"/>
      <c r="E1" s="264"/>
      <c r="F1" s="265"/>
      <c r="G1" s="80"/>
      <c r="H1" s="80"/>
      <c r="I1" s="80"/>
      <c r="J1" s="80"/>
      <c r="K1" s="125"/>
      <c r="L1" s="126"/>
      <c r="M1" s="57"/>
      <c r="N1" s="57"/>
    </row>
    <row r="2" spans="1:16">
      <c r="A2" s="31"/>
      <c r="B2" s="312" t="s">
        <v>1</v>
      </c>
      <c r="C2" s="312"/>
      <c r="D2" s="33"/>
      <c r="E2" s="33"/>
      <c r="F2" s="33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6">
      <c r="A3" s="31"/>
      <c r="B3" s="33" t="s">
        <v>99</v>
      </c>
      <c r="C3" s="33"/>
      <c r="D3" s="33"/>
      <c r="E3" s="33">
        <v>500</v>
      </c>
      <c r="F3" s="33">
        <v>500</v>
      </c>
      <c r="G3" s="31"/>
      <c r="H3" s="31"/>
      <c r="I3" s="31"/>
      <c r="J3" s="31"/>
      <c r="K3" s="31"/>
      <c r="L3" s="31"/>
      <c r="M3" s="31"/>
      <c r="N3" s="31"/>
      <c r="O3" s="31"/>
      <c r="P3" s="31"/>
    </row>
    <row r="4" spans="1:16">
      <c r="A4" s="31"/>
      <c r="B4" s="69" t="s">
        <v>100</v>
      </c>
      <c r="C4" s="69"/>
      <c r="D4" s="33"/>
      <c r="E4" s="33">
        <v>57.4</v>
      </c>
      <c r="F4" s="33">
        <v>57.4</v>
      </c>
      <c r="G4" s="31"/>
      <c r="H4" s="312" t="s">
        <v>2</v>
      </c>
      <c r="I4" s="33"/>
      <c r="J4" s="33"/>
      <c r="K4" s="33"/>
      <c r="L4" s="33"/>
      <c r="M4" s="33"/>
      <c r="N4" s="31"/>
      <c r="O4" s="31"/>
      <c r="P4" s="31"/>
    </row>
    <row r="5" spans="1:16">
      <c r="A5" s="31"/>
      <c r="B5" s="33" t="s">
        <v>101</v>
      </c>
      <c r="C5" s="33"/>
      <c r="D5" s="33"/>
      <c r="E5" s="33">
        <v>46.5</v>
      </c>
      <c r="F5" s="33">
        <v>46.5</v>
      </c>
      <c r="G5" s="31"/>
      <c r="H5" s="33"/>
      <c r="I5" s="33"/>
      <c r="J5" s="33"/>
      <c r="K5" s="33"/>
      <c r="L5" s="33"/>
      <c r="M5" s="33"/>
      <c r="N5" s="31"/>
      <c r="O5" s="31"/>
      <c r="P5" s="31"/>
    </row>
    <row r="6" spans="1:16">
      <c r="A6" s="31"/>
      <c r="B6" s="33" t="s">
        <v>102</v>
      </c>
      <c r="C6" s="33"/>
      <c r="D6" s="33"/>
      <c r="E6" s="33">
        <v>10</v>
      </c>
      <c r="F6" s="33">
        <v>15</v>
      </c>
      <c r="G6" s="31"/>
      <c r="H6" s="33" t="s">
        <v>103</v>
      </c>
      <c r="I6" s="33"/>
      <c r="J6" s="33"/>
      <c r="K6" s="33"/>
      <c r="L6" s="33">
        <f>2380*360</f>
        <v>856800</v>
      </c>
      <c r="M6" s="33">
        <f>2380*360</f>
        <v>856800</v>
      </c>
      <c r="N6" s="31"/>
      <c r="O6" s="31"/>
      <c r="P6" s="31"/>
    </row>
    <row r="7" spans="1:16">
      <c r="A7" s="31"/>
      <c r="B7" s="33"/>
      <c r="C7" s="33"/>
      <c r="D7" s="33"/>
      <c r="E7" s="33"/>
      <c r="F7" s="33"/>
      <c r="G7" s="31"/>
      <c r="H7" s="33" t="s">
        <v>84</v>
      </c>
      <c r="I7" s="33"/>
      <c r="J7" s="33"/>
      <c r="K7" s="33"/>
      <c r="L7" s="33">
        <v>265</v>
      </c>
      <c r="M7" s="33">
        <f>L7</f>
        <v>265</v>
      </c>
      <c r="N7" s="31"/>
      <c r="O7" s="31"/>
      <c r="P7" s="31"/>
    </row>
    <row r="8" spans="1:16">
      <c r="A8" s="31"/>
      <c r="B8" s="227" t="s">
        <v>8</v>
      </c>
      <c r="C8" s="227"/>
      <c r="D8" s="227"/>
      <c r="E8" s="272">
        <f>SUM(E3:E6)</f>
        <v>613.9</v>
      </c>
      <c r="F8" s="272">
        <f>SUM(F3:F6)*4000/305104</f>
        <v>8.11395458597724</v>
      </c>
      <c r="G8" s="31"/>
      <c r="H8" s="227" t="s">
        <v>25</v>
      </c>
      <c r="I8" s="227"/>
      <c r="J8" s="227"/>
      <c r="K8" s="227"/>
      <c r="L8" s="328">
        <f>L6*L7</f>
        <v>227052000</v>
      </c>
      <c r="M8" s="328">
        <f>M6*M7</f>
        <v>227052000</v>
      </c>
      <c r="N8" s="31"/>
      <c r="O8" s="31"/>
      <c r="P8" s="31"/>
    </row>
    <row r="9" spans="1:16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</row>
    <row r="10" spans="1:16">
      <c r="A10" s="31"/>
      <c r="B10" s="312" t="s">
        <v>104</v>
      </c>
      <c r="C10" s="33"/>
      <c r="D10" s="33"/>
      <c r="E10" s="33"/>
      <c r="F10" s="33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>
      <c r="A11" s="31"/>
      <c r="B11" s="69" t="s">
        <v>105</v>
      </c>
      <c r="C11" s="69"/>
      <c r="D11" s="33"/>
      <c r="E11" s="33">
        <f>81821922</f>
        <v>81821922</v>
      </c>
      <c r="F11" s="33">
        <f>81821022</f>
        <v>81821022</v>
      </c>
      <c r="G11" s="31"/>
      <c r="H11" s="312" t="s">
        <v>10</v>
      </c>
      <c r="I11" s="312"/>
      <c r="J11" s="33"/>
      <c r="K11" s="33"/>
      <c r="L11" s="33"/>
      <c r="M11" s="31"/>
      <c r="N11" s="31"/>
      <c r="O11" s="31"/>
      <c r="P11" s="31"/>
    </row>
    <row r="12" spans="1:16">
      <c r="A12" s="31"/>
      <c r="B12" s="69" t="s">
        <v>106</v>
      </c>
      <c r="C12" s="69"/>
      <c r="D12" s="33"/>
      <c r="E12" s="33">
        <v>10021840</v>
      </c>
      <c r="F12" s="33">
        <v>10021840</v>
      </c>
      <c r="G12" s="31"/>
      <c r="H12" s="227" t="s">
        <v>13</v>
      </c>
      <c r="I12" s="227"/>
      <c r="J12" s="227">
        <f>4</f>
        <v>4</v>
      </c>
      <c r="K12" s="227">
        <f>4</f>
        <v>4</v>
      </c>
      <c r="L12" s="227" t="s">
        <v>14</v>
      </c>
      <c r="M12" s="31"/>
      <c r="N12" s="31"/>
      <c r="O12" s="31"/>
      <c r="P12" s="31"/>
    </row>
    <row r="13" spans="1:16">
      <c r="A13" s="31"/>
      <c r="B13" s="33" t="s">
        <v>107</v>
      </c>
      <c r="C13" s="33"/>
      <c r="D13" s="33"/>
      <c r="E13" s="217">
        <v>6465</v>
      </c>
      <c r="F13" s="217">
        <v>6465</v>
      </c>
      <c r="G13" s="31"/>
      <c r="H13" s="31"/>
      <c r="I13" s="31"/>
      <c r="J13" s="31"/>
      <c r="K13" s="31"/>
      <c r="L13" s="31"/>
      <c r="M13" s="31"/>
      <c r="N13" s="31"/>
      <c r="O13" s="31"/>
      <c r="P13" s="31"/>
    </row>
    <row r="14" spans="1:16">
      <c r="A14" s="31"/>
      <c r="B14" s="33" t="s">
        <v>108</v>
      </c>
      <c r="C14" s="33"/>
      <c r="D14" s="33"/>
      <c r="E14" s="33">
        <v>1200000</v>
      </c>
      <c r="F14" s="33">
        <v>1200000</v>
      </c>
      <c r="G14" s="31"/>
      <c r="H14" s="312" t="s">
        <v>19</v>
      </c>
      <c r="I14" s="312"/>
      <c r="J14" s="33"/>
      <c r="K14" s="33"/>
      <c r="L14" s="31"/>
      <c r="M14" s="31"/>
      <c r="N14" s="31"/>
      <c r="O14" s="31"/>
      <c r="P14" s="31"/>
    </row>
    <row r="15" spans="1:16">
      <c r="A15" s="31"/>
      <c r="B15" s="33"/>
      <c r="C15" s="33"/>
      <c r="D15" s="33"/>
      <c r="E15" s="33"/>
      <c r="F15" s="33"/>
      <c r="G15" s="31"/>
      <c r="H15" s="33" t="s">
        <v>21</v>
      </c>
      <c r="I15" s="33"/>
      <c r="J15" s="227">
        <f>20%</f>
        <v>0.2</v>
      </c>
      <c r="K15" s="227">
        <f>20%</f>
        <v>0.2</v>
      </c>
      <c r="L15" s="31"/>
      <c r="M15" s="31"/>
      <c r="N15" s="31"/>
      <c r="O15" s="31"/>
      <c r="P15" s="31"/>
    </row>
    <row r="16" spans="1:16">
      <c r="A16" s="31"/>
      <c r="B16" s="33" t="s">
        <v>109</v>
      </c>
      <c r="C16" s="33"/>
      <c r="D16" s="33"/>
      <c r="E16" s="326">
        <v>305104.8</v>
      </c>
      <c r="F16" s="326">
        <v>305104.8</v>
      </c>
      <c r="G16" s="31"/>
      <c r="H16" s="33" t="s">
        <v>24</v>
      </c>
      <c r="I16" s="33"/>
      <c r="J16" s="227">
        <f>10%</f>
        <v>0.1</v>
      </c>
      <c r="K16" s="227">
        <f>10%</f>
        <v>0.1</v>
      </c>
      <c r="L16" s="31"/>
      <c r="M16" s="31"/>
      <c r="N16" s="31"/>
      <c r="O16" s="31"/>
      <c r="P16" s="31"/>
    </row>
    <row r="17" spans="1:16">
      <c r="A17" s="31"/>
      <c r="B17" s="227" t="s">
        <v>8</v>
      </c>
      <c r="C17" s="227"/>
      <c r="D17" s="227"/>
      <c r="E17" s="272">
        <f>SUM($F$11:$F$15)/10^6</f>
        <v>93.049327</v>
      </c>
      <c r="F17" s="272">
        <f>SUM($F$11:$F$15)*4000/(10^6*305104)</f>
        <v>1.21990307567256</v>
      </c>
      <c r="G17" s="31"/>
      <c r="H17" s="31"/>
      <c r="I17" s="31"/>
      <c r="J17" s="31"/>
      <c r="K17" s="31"/>
      <c r="L17" s="31"/>
      <c r="M17" s="31"/>
      <c r="N17" s="31"/>
      <c r="O17" s="31"/>
      <c r="P17" s="31"/>
    </row>
    <row r="18" spans="1:16">
      <c r="A18" s="31"/>
      <c r="B18" s="108"/>
      <c r="C18" s="108"/>
      <c r="D18" s="108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</row>
    <row r="19" spans="1:16">
      <c r="A19" s="31"/>
      <c r="B19" s="90"/>
      <c r="C19" s="183"/>
      <c r="D19" s="90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</row>
    <row r="20" spans="1:16">
      <c r="A20" s="31"/>
      <c r="B20" s="90"/>
      <c r="C20" s="220"/>
      <c r="D20" s="9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</row>
    <row r="21" spans="1:16">
      <c r="A21" s="31"/>
      <c r="B21" s="112"/>
      <c r="C21" s="293" t="s">
        <v>26</v>
      </c>
      <c r="D21" s="221"/>
      <c r="E21" s="222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</row>
    <row r="22" spans="1:16">
      <c r="A22" s="31"/>
      <c r="B22" s="112"/>
      <c r="C22" s="294" t="s">
        <v>27</v>
      </c>
      <c r="D22" s="269">
        <f>'UREA SYNTHESIS 2'!P25</f>
        <v>511.131225356547</v>
      </c>
      <c r="E22" s="223"/>
      <c r="F22" s="31"/>
      <c r="G22" s="31"/>
      <c r="H22" s="327" t="s">
        <v>110</v>
      </c>
      <c r="I22" s="327"/>
      <c r="J22" s="31"/>
      <c r="K22" s="31"/>
      <c r="L22" s="31"/>
      <c r="M22" s="31"/>
      <c r="N22" s="31"/>
      <c r="O22" s="31"/>
      <c r="P22" s="31"/>
    </row>
    <row r="23" spans="1:16">
      <c r="A23" s="31"/>
      <c r="B23" s="112"/>
      <c r="C23" s="294" t="s">
        <v>28</v>
      </c>
      <c r="D23" s="270">
        <f>IRR('UREA SYNTHESIS 2'!M4:M24)</f>
        <v>0.596858347051062</v>
      </c>
      <c r="E23" s="223"/>
      <c r="F23" s="31"/>
      <c r="G23" s="31"/>
      <c r="H23" s="31" t="s">
        <v>111</v>
      </c>
      <c r="I23" s="31"/>
      <c r="J23" s="327">
        <f>72.644*12*350</f>
        <v>305104.8</v>
      </c>
      <c r="K23" s="31"/>
      <c r="L23" s="31"/>
      <c r="M23" s="31"/>
      <c r="N23" s="31"/>
      <c r="O23" s="31"/>
      <c r="P23" s="31"/>
    </row>
    <row r="24" spans="1:16">
      <c r="A24" s="31"/>
      <c r="B24" s="112"/>
      <c r="C24" s="294" t="s">
        <v>29</v>
      </c>
      <c r="D24" s="224">
        <f>D22/E8</f>
        <v>0.832596881180236</v>
      </c>
      <c r="E24" s="223"/>
      <c r="F24" s="31"/>
      <c r="G24" s="31"/>
      <c r="H24" s="31" t="s">
        <v>112</v>
      </c>
      <c r="I24" s="31"/>
      <c r="J24" s="327">
        <f>99.572*350*12</f>
        <v>418202.4</v>
      </c>
      <c r="K24" s="31"/>
      <c r="L24" s="31"/>
      <c r="M24" s="31"/>
      <c r="N24" s="31"/>
      <c r="O24" s="31"/>
      <c r="P24" s="31"/>
    </row>
    <row r="25" spans="1:16">
      <c r="A25" s="31"/>
      <c r="B25" s="112"/>
      <c r="C25" s="294" t="s">
        <v>30</v>
      </c>
      <c r="D25" s="224">
        <f>1+D24</f>
        <v>1.83259688118024</v>
      </c>
      <c r="E25" s="223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</row>
    <row r="26" spans="1:16">
      <c r="A26" s="31"/>
      <c r="B26" s="112"/>
      <c r="C26" s="294" t="s">
        <v>31</v>
      </c>
      <c r="D26" s="253">
        <f>'UREA SYNTHESIS 3'!D56</f>
        <v>4.81202886474247</v>
      </c>
      <c r="E26" s="223" t="s">
        <v>14</v>
      </c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</row>
    <row r="27" spans="1:16">
      <c r="A27" s="31"/>
      <c r="B27" s="31"/>
      <c r="C27" s="227" t="s">
        <v>32</v>
      </c>
      <c r="D27" s="272">
        <f>'UREA SYNTHESIS 3'!C123</f>
        <v>288.074889011783</v>
      </c>
      <c r="E27" s="22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</row>
    <row r="28" spans="1:1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</row>
    <row r="29" spans="1:1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</row>
    <row r="30" spans="1:1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</row>
    <row r="31" spans="1:16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</row>
    <row r="32" spans="1:16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</row>
    <row r="33" spans="1:16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8"/>
  <sheetViews>
    <sheetView zoomScale="68" zoomScaleNormal="68" workbookViewId="0">
      <selection activeCell="E5" sqref="E5:E24"/>
    </sheetView>
  </sheetViews>
  <sheetFormatPr defaultColWidth="9.14285714285714" defaultRowHeight="15"/>
  <cols>
    <col min="1" max="1" width="9.57142857142857" customWidth="1"/>
    <col min="2" max="2" width="17.4285714285714"/>
    <col min="3" max="3" width="14.4285714285714" customWidth="1"/>
    <col min="4" max="5" width="12.8571428571429"/>
    <col min="6" max="7" width="11.7142857142857"/>
    <col min="8" max="8" width="12.8571428571429"/>
    <col min="9" max="10" width="14"/>
    <col min="11" max="11" width="17.3142857142857" customWidth="1"/>
    <col min="12" max="12" width="12.8571428571429"/>
    <col min="13" max="13" width="12.5714285714286"/>
    <col min="14" max="15" width="12.8571428571429"/>
    <col min="16" max="16" width="14"/>
    <col min="17" max="17" width="14.7333333333333" customWidth="1"/>
    <col min="18" max="19" width="12"/>
    <col min="21" max="22" width="12"/>
  </cols>
  <sheetData>
    <row r="1" ht="30" spans="1:14">
      <c r="A1" s="56" t="s">
        <v>113</v>
      </c>
      <c r="B1" s="56"/>
      <c r="C1" s="56"/>
      <c r="D1" s="56"/>
      <c r="J1" s="65"/>
      <c r="K1" s="65"/>
      <c r="L1" s="65"/>
      <c r="M1" s="65"/>
      <c r="N1" s="65"/>
    </row>
    <row r="2" spans="1:17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</row>
    <row r="3" ht="60" spans="1:17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45</v>
      </c>
      <c r="M3" s="67" t="s">
        <v>46</v>
      </c>
      <c r="N3" s="67" t="s">
        <v>47</v>
      </c>
      <c r="O3" s="67" t="s">
        <v>48</v>
      </c>
      <c r="P3" s="67" t="s">
        <v>49</v>
      </c>
      <c r="Q3" s="67" t="s">
        <v>50</v>
      </c>
    </row>
    <row r="4" spans="1:17">
      <c r="A4" s="60">
        <v>0</v>
      </c>
      <c r="B4" s="61"/>
      <c r="C4" s="62"/>
      <c r="D4" s="63"/>
      <c r="E4" s="62"/>
      <c r="F4" s="62"/>
      <c r="G4" s="280">
        <f>'UREA SYNTHESIS'!E8</f>
        <v>613.9</v>
      </c>
      <c r="H4" s="62"/>
      <c r="I4" s="62"/>
      <c r="J4" s="62"/>
      <c r="K4" s="33">
        <f t="shared" ref="K4:K9" si="0">J4</f>
        <v>0</v>
      </c>
      <c r="L4" s="68">
        <f>IF(K4&gt;0,K4*'UREA SYNTHESIS'!$K$15,0)</f>
        <v>0</v>
      </c>
      <c r="M4" s="33">
        <f t="shared" ref="M4:M24" si="1">I4-L4</f>
        <v>0</v>
      </c>
      <c r="N4" s="33">
        <v>0</v>
      </c>
      <c r="O4" s="33">
        <f>(1+'UREA SYNTHESIS'!$K$16)^-A4</f>
        <v>1</v>
      </c>
      <c r="P4" s="69">
        <f>N4*O4</f>
        <v>0</v>
      </c>
      <c r="Q4" s="287">
        <f>P4</f>
        <v>0</v>
      </c>
    </row>
    <row r="5" spans="1:17">
      <c r="A5" s="35">
        <v>1</v>
      </c>
      <c r="B5" s="250">
        <f>'UREA SYNTHESIS'!$L$6</f>
        <v>856800</v>
      </c>
      <c r="C5" s="33">
        <f>'UREA SYNTHESIS'!$L$7</f>
        <v>265</v>
      </c>
      <c r="D5" s="64">
        <f>B5*C5/10^6</f>
        <v>227.052</v>
      </c>
      <c r="E5" s="64">
        <f>'UREA SYNTHESIS'!$E$17</f>
        <v>93.049327</v>
      </c>
      <c r="F5" s="64">
        <f>D5-E5</f>
        <v>134.002673</v>
      </c>
      <c r="G5" s="33"/>
      <c r="H5" s="64">
        <f>$G$4/4</f>
        <v>153.475</v>
      </c>
      <c r="I5" s="64">
        <f>F5-H5</f>
        <v>-19.472327</v>
      </c>
      <c r="J5" s="64">
        <f>I5</f>
        <v>-19.472327</v>
      </c>
      <c r="K5" s="64">
        <f t="shared" si="0"/>
        <v>-19.472327</v>
      </c>
      <c r="L5" s="68">
        <f>IF(K5&gt;0,K5*'UREA SYNTHESIS'!$K$15,0)</f>
        <v>0</v>
      </c>
      <c r="M5" s="64">
        <f t="shared" si="1"/>
        <v>-19.472327</v>
      </c>
      <c r="N5" s="64">
        <f t="shared" ref="N5:N24" si="2">N4+M5</f>
        <v>-19.472327</v>
      </c>
      <c r="O5" s="64">
        <f>(1+'UREA SYNTHESIS'!$K$16)^-A5</f>
        <v>0.909090909090909</v>
      </c>
      <c r="P5" s="70">
        <f t="shared" ref="P5:P24" si="3">M5*O5</f>
        <v>-17.7021154545455</v>
      </c>
      <c r="Q5" s="288">
        <f t="shared" ref="Q5:Q24" si="4">Q4+P5</f>
        <v>-17.7021154545455</v>
      </c>
    </row>
    <row r="6" spans="1:17">
      <c r="A6" s="60">
        <v>2</v>
      </c>
      <c r="B6" s="250">
        <f>'UREA SYNTHESIS'!$L$6</f>
        <v>856800</v>
      </c>
      <c r="C6" s="33">
        <f>$C$5</f>
        <v>265</v>
      </c>
      <c r="D6" s="64">
        <f t="shared" ref="D6:D24" si="5">B6*C6/10^6</f>
        <v>227.052</v>
      </c>
      <c r="E6" s="64">
        <f>'UREA SYNTHESIS'!$E$17</f>
        <v>93.049327</v>
      </c>
      <c r="F6" s="64">
        <f t="shared" ref="F6:F24" si="6">D6-E6</f>
        <v>134.002673</v>
      </c>
      <c r="G6" s="33"/>
      <c r="H6" s="64">
        <f>$G$4/4</f>
        <v>153.475</v>
      </c>
      <c r="I6" s="64">
        <f t="shared" ref="I6:I24" si="7">F6-H6</f>
        <v>-19.472327</v>
      </c>
      <c r="J6" s="64">
        <f>I6</f>
        <v>-19.472327</v>
      </c>
      <c r="K6" s="64">
        <f t="shared" si="0"/>
        <v>-19.472327</v>
      </c>
      <c r="L6" s="68">
        <f>IF(K6&gt;0,K6*'UREA SYNTHESIS'!$K$15,0)</f>
        <v>0</v>
      </c>
      <c r="M6" s="64">
        <f t="shared" si="1"/>
        <v>-19.472327</v>
      </c>
      <c r="N6" s="64">
        <f t="shared" si="2"/>
        <v>-38.944654</v>
      </c>
      <c r="O6" s="64">
        <f>(1+'UREA SYNTHESIS'!$K$16)^-A6</f>
        <v>0.826446280991735</v>
      </c>
      <c r="P6" s="70">
        <f t="shared" si="3"/>
        <v>-16.092832231405</v>
      </c>
      <c r="Q6" s="288">
        <f t="shared" si="4"/>
        <v>-33.7949476859504</v>
      </c>
    </row>
    <row r="7" spans="1:17">
      <c r="A7" s="35">
        <v>3</v>
      </c>
      <c r="B7" s="250">
        <f>'UREA SYNTHESIS'!$L$6</f>
        <v>856800</v>
      </c>
      <c r="C7" s="33">
        <f>$C$5</f>
        <v>265</v>
      </c>
      <c r="D7" s="64">
        <f t="shared" si="5"/>
        <v>227.052</v>
      </c>
      <c r="E7" s="64">
        <f>'UREA SYNTHESIS'!$E$17</f>
        <v>93.049327</v>
      </c>
      <c r="F7" s="64">
        <f t="shared" si="6"/>
        <v>134.002673</v>
      </c>
      <c r="G7" s="33"/>
      <c r="H7" s="64">
        <f>$G$4/4</f>
        <v>153.475</v>
      </c>
      <c r="I7" s="64">
        <f t="shared" si="7"/>
        <v>-19.472327</v>
      </c>
      <c r="J7" s="64">
        <f>I7</f>
        <v>-19.472327</v>
      </c>
      <c r="K7" s="64">
        <f t="shared" si="0"/>
        <v>-19.472327</v>
      </c>
      <c r="L7" s="68">
        <f>IF(K7&gt;0,K7*'UREA SYNTHESIS'!$K$15,0)</f>
        <v>0</v>
      </c>
      <c r="M7" s="64">
        <f t="shared" si="1"/>
        <v>-19.472327</v>
      </c>
      <c r="N7" s="64">
        <f t="shared" si="2"/>
        <v>-58.416981</v>
      </c>
      <c r="O7" s="64">
        <f>(1+'UREA SYNTHESIS'!$K$16)^-A7</f>
        <v>0.751314800901578</v>
      </c>
      <c r="P7" s="70">
        <f t="shared" si="3"/>
        <v>-14.6298474830954</v>
      </c>
      <c r="Q7" s="288">
        <f t="shared" si="4"/>
        <v>-48.4247951690458</v>
      </c>
    </row>
    <row r="8" spans="1:17">
      <c r="A8" s="60">
        <v>4</v>
      </c>
      <c r="B8" s="250">
        <f>'UREA SYNTHESIS'!$L$6</f>
        <v>856800</v>
      </c>
      <c r="C8" s="33">
        <f>$C$5</f>
        <v>265</v>
      </c>
      <c r="D8" s="64">
        <f t="shared" si="5"/>
        <v>227.052</v>
      </c>
      <c r="E8" s="64">
        <f>'UREA SYNTHESIS'!$E$17</f>
        <v>93.049327</v>
      </c>
      <c r="F8" s="64">
        <f t="shared" si="6"/>
        <v>134.002673</v>
      </c>
      <c r="G8" s="33"/>
      <c r="H8" s="64">
        <f>$G$4/4</f>
        <v>153.475</v>
      </c>
      <c r="I8" s="64">
        <f t="shared" si="7"/>
        <v>-19.472327</v>
      </c>
      <c r="J8" s="64">
        <f>I8</f>
        <v>-19.472327</v>
      </c>
      <c r="K8" s="64">
        <f t="shared" si="0"/>
        <v>-19.472327</v>
      </c>
      <c r="L8" s="68">
        <f>IF(K8&gt;0,K8*'UREA SYNTHESIS'!$K$15,0)</f>
        <v>0</v>
      </c>
      <c r="M8" s="64">
        <f t="shared" si="1"/>
        <v>-19.472327</v>
      </c>
      <c r="N8" s="64">
        <f t="shared" si="2"/>
        <v>-77.889308</v>
      </c>
      <c r="O8" s="64">
        <f>(1+'UREA SYNTHESIS'!$K$16)^-A8</f>
        <v>0.683013455365071</v>
      </c>
      <c r="P8" s="70">
        <f t="shared" si="3"/>
        <v>-13.2998613482686</v>
      </c>
      <c r="Q8" s="288">
        <f t="shared" si="4"/>
        <v>-61.7246565173144</v>
      </c>
    </row>
    <row r="9" spans="1:19">
      <c r="A9" s="35">
        <v>5</v>
      </c>
      <c r="B9" s="250">
        <f>'UREA SYNTHESIS'!$L$6</f>
        <v>856800</v>
      </c>
      <c r="C9" s="33">
        <f>$C$5</f>
        <v>265</v>
      </c>
      <c r="D9" s="64">
        <f t="shared" si="5"/>
        <v>227.052</v>
      </c>
      <c r="E9" s="64">
        <f>'UREA SYNTHESIS'!$E$17</f>
        <v>93.049327</v>
      </c>
      <c r="F9" s="64">
        <f t="shared" si="6"/>
        <v>134.002673</v>
      </c>
      <c r="G9" s="33"/>
      <c r="H9" s="33"/>
      <c r="I9" s="64">
        <f t="shared" si="7"/>
        <v>134.002673</v>
      </c>
      <c r="J9" s="33"/>
      <c r="K9" s="64">
        <f>I9</f>
        <v>134.002673</v>
      </c>
      <c r="L9" s="71">
        <f>IF(K9&gt;0,K9*'UREA SYNTHESIS'!$K$15,0)</f>
        <v>26.8005346</v>
      </c>
      <c r="M9" s="64">
        <f t="shared" si="1"/>
        <v>107.2021384</v>
      </c>
      <c r="N9" s="64">
        <f t="shared" si="2"/>
        <v>29.3128304</v>
      </c>
      <c r="O9" s="64">
        <f>(1+'UREA SYNTHESIS'!$K$16)^-A9</f>
        <v>0.620921323059155</v>
      </c>
      <c r="P9" s="70">
        <f t="shared" si="3"/>
        <v>66.5640936100987</v>
      </c>
      <c r="Q9" s="288">
        <f t="shared" si="4"/>
        <v>4.83943709278424</v>
      </c>
      <c r="S9" s="74">
        <f>IRR(M5:M24,0)</f>
        <v>0.596858347051062</v>
      </c>
    </row>
    <row r="10" spans="1:17">
      <c r="A10" s="60">
        <v>6</v>
      </c>
      <c r="B10" s="250">
        <f>'UREA SYNTHESIS'!$L$6</f>
        <v>856800</v>
      </c>
      <c r="C10" s="33">
        <f>$C$5</f>
        <v>265</v>
      </c>
      <c r="D10" s="64">
        <f t="shared" si="5"/>
        <v>227.052</v>
      </c>
      <c r="E10" s="64">
        <f>'UREA SYNTHESIS'!$E$17</f>
        <v>93.049327</v>
      </c>
      <c r="F10" s="64">
        <f t="shared" si="6"/>
        <v>134.002673</v>
      </c>
      <c r="G10" s="33"/>
      <c r="H10" s="33"/>
      <c r="I10" s="64">
        <f t="shared" si="7"/>
        <v>134.002673</v>
      </c>
      <c r="J10" s="33"/>
      <c r="K10" s="64">
        <f t="shared" ref="K10:K24" si="8">I10</f>
        <v>134.002673</v>
      </c>
      <c r="L10" s="71">
        <f>IF(K10&gt;0,K10*'UREA SYNTHESIS'!$K$15,0)</f>
        <v>26.8005346</v>
      </c>
      <c r="M10" s="64">
        <f t="shared" si="1"/>
        <v>107.2021384</v>
      </c>
      <c r="N10" s="64">
        <f t="shared" si="2"/>
        <v>136.5149688</v>
      </c>
      <c r="O10" s="64">
        <f>(1+'UREA SYNTHESIS'!$K$16)^-A10</f>
        <v>0.564473930053777</v>
      </c>
      <c r="P10" s="70">
        <f t="shared" si="3"/>
        <v>60.5128123728169</v>
      </c>
      <c r="Q10" s="288">
        <f t="shared" si="4"/>
        <v>65.3522494656012</v>
      </c>
    </row>
    <row r="11" spans="1:17">
      <c r="A11" s="35">
        <v>7</v>
      </c>
      <c r="B11" s="250">
        <f>'UREA SYNTHESIS'!$L$6</f>
        <v>856800</v>
      </c>
      <c r="C11" s="33">
        <f>$C$5</f>
        <v>265</v>
      </c>
      <c r="D11" s="64">
        <f t="shared" si="5"/>
        <v>227.052</v>
      </c>
      <c r="E11" s="64">
        <f>'UREA SYNTHESIS'!$E$17</f>
        <v>93.049327</v>
      </c>
      <c r="F11" s="64">
        <f t="shared" si="6"/>
        <v>134.002673</v>
      </c>
      <c r="G11" s="33"/>
      <c r="H11" s="33"/>
      <c r="I11" s="64">
        <f t="shared" si="7"/>
        <v>134.002673</v>
      </c>
      <c r="J11" s="33"/>
      <c r="K11" s="64">
        <f t="shared" si="8"/>
        <v>134.002673</v>
      </c>
      <c r="L11" s="71">
        <f>IF(K11&gt;0,K11*'UREA SYNTHESIS'!$K$15,0)</f>
        <v>26.8005346</v>
      </c>
      <c r="M11" s="64">
        <f t="shared" si="1"/>
        <v>107.2021384</v>
      </c>
      <c r="N11" s="64">
        <f t="shared" si="2"/>
        <v>243.7171072</v>
      </c>
      <c r="O11" s="64">
        <f>(1+'UREA SYNTHESIS'!$K$16)^-A11</f>
        <v>0.513158118230706</v>
      </c>
      <c r="P11" s="70">
        <f t="shared" si="3"/>
        <v>55.0116476116517</v>
      </c>
      <c r="Q11" s="288">
        <f t="shared" si="4"/>
        <v>120.363897077253</v>
      </c>
    </row>
    <row r="12" spans="1:17">
      <c r="A12" s="60">
        <v>8</v>
      </c>
      <c r="B12" s="250">
        <f>'UREA SYNTHESIS'!$L$6</f>
        <v>856800</v>
      </c>
      <c r="C12" s="33">
        <f>$C$5</f>
        <v>265</v>
      </c>
      <c r="D12" s="64">
        <f t="shared" si="5"/>
        <v>227.052</v>
      </c>
      <c r="E12" s="64">
        <f>'UREA SYNTHESIS'!$E$17</f>
        <v>93.049327</v>
      </c>
      <c r="F12" s="64">
        <f t="shared" si="6"/>
        <v>134.002673</v>
      </c>
      <c r="G12" s="33"/>
      <c r="H12" s="33"/>
      <c r="I12" s="64">
        <f t="shared" si="7"/>
        <v>134.002673</v>
      </c>
      <c r="J12" s="33"/>
      <c r="K12" s="64">
        <f t="shared" si="8"/>
        <v>134.002673</v>
      </c>
      <c r="L12" s="71">
        <f>IF(K12&gt;0,K12*'UREA SYNTHESIS'!$K$15,0)</f>
        <v>26.8005346</v>
      </c>
      <c r="M12" s="64">
        <f t="shared" si="1"/>
        <v>107.2021384</v>
      </c>
      <c r="N12" s="64">
        <f t="shared" si="2"/>
        <v>350.9192456</v>
      </c>
      <c r="O12" s="64">
        <f>(1+'UREA SYNTHESIS'!$K$16)^-A12</f>
        <v>0.466507380209733</v>
      </c>
      <c r="P12" s="70">
        <f t="shared" si="3"/>
        <v>50.0105887378652</v>
      </c>
      <c r="Q12" s="288">
        <f t="shared" si="4"/>
        <v>170.374485815118</v>
      </c>
    </row>
    <row r="13" spans="1:17">
      <c r="A13" s="35">
        <v>9</v>
      </c>
      <c r="B13" s="250">
        <f>'UREA SYNTHESIS'!$L$6</f>
        <v>856800</v>
      </c>
      <c r="C13" s="33">
        <f>$C$5</f>
        <v>265</v>
      </c>
      <c r="D13" s="64">
        <f t="shared" si="5"/>
        <v>227.052</v>
      </c>
      <c r="E13" s="64">
        <f>'UREA SYNTHESIS'!$E$17</f>
        <v>93.049327</v>
      </c>
      <c r="F13" s="64">
        <f t="shared" si="6"/>
        <v>134.002673</v>
      </c>
      <c r="G13" s="33"/>
      <c r="H13" s="33"/>
      <c r="I13" s="64">
        <f t="shared" si="7"/>
        <v>134.002673</v>
      </c>
      <c r="J13" s="33"/>
      <c r="K13" s="64">
        <f t="shared" si="8"/>
        <v>134.002673</v>
      </c>
      <c r="L13" s="71">
        <f>IF(K13&gt;0,K13*'UREA SYNTHESIS'!$K$15,0)</f>
        <v>26.8005346</v>
      </c>
      <c r="M13" s="64">
        <f t="shared" si="1"/>
        <v>107.2021384</v>
      </c>
      <c r="N13" s="64">
        <f t="shared" si="2"/>
        <v>458.121384</v>
      </c>
      <c r="O13" s="64">
        <f>(1+'UREA SYNTHESIS'!$K$16)^-A13</f>
        <v>0.424097618372485</v>
      </c>
      <c r="P13" s="70">
        <f t="shared" si="3"/>
        <v>45.4641715798775</v>
      </c>
      <c r="Q13" s="288">
        <f t="shared" si="4"/>
        <v>215.838657394996</v>
      </c>
    </row>
    <row r="14" spans="1:17">
      <c r="A14" s="60">
        <v>10</v>
      </c>
      <c r="B14" s="250">
        <f>'UREA SYNTHESIS'!$L$6</f>
        <v>856800</v>
      </c>
      <c r="C14" s="33">
        <f>$C$5</f>
        <v>265</v>
      </c>
      <c r="D14" s="64">
        <f t="shared" si="5"/>
        <v>227.052</v>
      </c>
      <c r="E14" s="64">
        <f>'UREA SYNTHESIS'!$E$17</f>
        <v>93.049327</v>
      </c>
      <c r="F14" s="64">
        <f t="shared" si="6"/>
        <v>134.002673</v>
      </c>
      <c r="G14" s="33"/>
      <c r="H14" s="33"/>
      <c r="I14" s="64">
        <f t="shared" si="7"/>
        <v>134.002673</v>
      </c>
      <c r="J14" s="33"/>
      <c r="K14" s="64">
        <f t="shared" si="8"/>
        <v>134.002673</v>
      </c>
      <c r="L14" s="71">
        <f>IF(K14&gt;0,K14*'UREA SYNTHESIS'!$K$15,0)</f>
        <v>26.8005346</v>
      </c>
      <c r="M14" s="64">
        <f t="shared" si="1"/>
        <v>107.2021384</v>
      </c>
      <c r="N14" s="64">
        <f t="shared" si="2"/>
        <v>565.3235224</v>
      </c>
      <c r="O14" s="64">
        <f>(1+'UREA SYNTHESIS'!$K$16)^-A14</f>
        <v>0.385543289429531</v>
      </c>
      <c r="P14" s="70">
        <f t="shared" si="3"/>
        <v>41.3310650726158</v>
      </c>
      <c r="Q14" s="288">
        <f t="shared" si="4"/>
        <v>257.169722467611</v>
      </c>
    </row>
    <row r="15" spans="1:17">
      <c r="A15" s="35">
        <v>11</v>
      </c>
      <c r="B15" s="250">
        <f>'UREA SYNTHESIS'!$L$6</f>
        <v>856800</v>
      </c>
      <c r="C15" s="33">
        <f>$C$5</f>
        <v>265</v>
      </c>
      <c r="D15" s="64">
        <f t="shared" si="5"/>
        <v>227.052</v>
      </c>
      <c r="E15" s="64">
        <f>'UREA SYNTHESIS'!$E$17</f>
        <v>93.049327</v>
      </c>
      <c r="F15" s="64">
        <f t="shared" si="6"/>
        <v>134.002673</v>
      </c>
      <c r="G15" s="33"/>
      <c r="H15" s="33"/>
      <c r="I15" s="64">
        <f t="shared" si="7"/>
        <v>134.002673</v>
      </c>
      <c r="J15" s="33"/>
      <c r="K15" s="64">
        <f t="shared" si="8"/>
        <v>134.002673</v>
      </c>
      <c r="L15" s="71">
        <f>IF(K15&gt;0,K15*'UREA SYNTHESIS'!$K$15,0)</f>
        <v>26.8005346</v>
      </c>
      <c r="M15" s="64">
        <f t="shared" si="1"/>
        <v>107.2021384</v>
      </c>
      <c r="N15" s="64">
        <f t="shared" si="2"/>
        <v>672.5256608</v>
      </c>
      <c r="O15" s="64">
        <f>(1+'UREA SYNTHESIS'!$K$16)^-A15</f>
        <v>0.350493899481392</v>
      </c>
      <c r="P15" s="70">
        <f t="shared" si="3"/>
        <v>37.5736955205599</v>
      </c>
      <c r="Q15" s="288">
        <f t="shared" si="4"/>
        <v>294.743417988171</v>
      </c>
    </row>
    <row r="16" spans="1:17">
      <c r="A16" s="60">
        <v>12</v>
      </c>
      <c r="B16" s="250">
        <f>'UREA SYNTHESIS'!$L$6</f>
        <v>856800</v>
      </c>
      <c r="C16" s="33">
        <f>$C$5</f>
        <v>265</v>
      </c>
      <c r="D16" s="64">
        <f t="shared" si="5"/>
        <v>227.052</v>
      </c>
      <c r="E16" s="64">
        <f>'UREA SYNTHESIS'!$E$17</f>
        <v>93.049327</v>
      </c>
      <c r="F16" s="64">
        <f t="shared" si="6"/>
        <v>134.002673</v>
      </c>
      <c r="G16" s="33"/>
      <c r="H16" s="33"/>
      <c r="I16" s="64">
        <f t="shared" si="7"/>
        <v>134.002673</v>
      </c>
      <c r="J16" s="33"/>
      <c r="K16" s="64">
        <f t="shared" si="8"/>
        <v>134.002673</v>
      </c>
      <c r="L16" s="71">
        <f>IF(K16&gt;0,K16*'UREA SYNTHESIS'!$K$15,0)</f>
        <v>26.8005346</v>
      </c>
      <c r="M16" s="64">
        <f t="shared" si="1"/>
        <v>107.2021384</v>
      </c>
      <c r="N16" s="64">
        <f t="shared" si="2"/>
        <v>779.7277992</v>
      </c>
      <c r="O16" s="64">
        <f>(1+'UREA SYNTHESIS'!$K$16)^-A16</f>
        <v>0.318630817710357</v>
      </c>
      <c r="P16" s="70">
        <f t="shared" si="3"/>
        <v>34.1579050186909</v>
      </c>
      <c r="Q16" s="288">
        <f t="shared" si="4"/>
        <v>328.901323006862</v>
      </c>
    </row>
    <row r="17" spans="1:17">
      <c r="A17" s="35">
        <v>13</v>
      </c>
      <c r="B17" s="250">
        <f>'UREA SYNTHESIS'!$L$6</f>
        <v>856800</v>
      </c>
      <c r="C17" s="33">
        <f>$C$5</f>
        <v>265</v>
      </c>
      <c r="D17" s="64">
        <f t="shared" si="5"/>
        <v>227.052</v>
      </c>
      <c r="E17" s="64">
        <f>'UREA SYNTHESIS'!$E$17</f>
        <v>93.049327</v>
      </c>
      <c r="F17" s="64">
        <f t="shared" si="6"/>
        <v>134.002673</v>
      </c>
      <c r="G17" s="33"/>
      <c r="H17" s="33"/>
      <c r="I17" s="64">
        <f t="shared" si="7"/>
        <v>134.002673</v>
      </c>
      <c r="J17" s="33"/>
      <c r="K17" s="64">
        <f t="shared" si="8"/>
        <v>134.002673</v>
      </c>
      <c r="L17" s="71">
        <f>IF(K17&gt;0,K17*'UREA SYNTHESIS'!$K$15,0)</f>
        <v>26.8005346</v>
      </c>
      <c r="M17" s="64">
        <f t="shared" si="1"/>
        <v>107.2021384</v>
      </c>
      <c r="N17" s="64">
        <f t="shared" si="2"/>
        <v>886.9299376</v>
      </c>
      <c r="O17" s="64">
        <f>(1+'UREA SYNTHESIS'!$K$16)^-A17</f>
        <v>0.289664379736688</v>
      </c>
      <c r="P17" s="70">
        <f t="shared" si="3"/>
        <v>31.0526409260826</v>
      </c>
      <c r="Q17" s="288">
        <f t="shared" si="4"/>
        <v>359.953963932945</v>
      </c>
    </row>
    <row r="18" spans="1:17">
      <c r="A18" s="60">
        <v>14</v>
      </c>
      <c r="B18" s="250">
        <f>'UREA SYNTHESIS'!$L$6</f>
        <v>856800</v>
      </c>
      <c r="C18" s="33">
        <f>$C$5</f>
        <v>265</v>
      </c>
      <c r="D18" s="64">
        <f t="shared" si="5"/>
        <v>227.052</v>
      </c>
      <c r="E18" s="64">
        <f>'UREA SYNTHESIS'!$E$17</f>
        <v>93.049327</v>
      </c>
      <c r="F18" s="64">
        <f t="shared" si="6"/>
        <v>134.002673</v>
      </c>
      <c r="G18" s="33"/>
      <c r="H18" s="33"/>
      <c r="I18" s="64">
        <f t="shared" si="7"/>
        <v>134.002673</v>
      </c>
      <c r="J18" s="33"/>
      <c r="K18" s="64">
        <f t="shared" si="8"/>
        <v>134.002673</v>
      </c>
      <c r="L18" s="71">
        <f>IF(K18&gt;0,K18*'UREA SYNTHESIS'!$K$15,0)</f>
        <v>26.8005346</v>
      </c>
      <c r="M18" s="64">
        <f t="shared" si="1"/>
        <v>107.2021384</v>
      </c>
      <c r="N18" s="64">
        <f t="shared" si="2"/>
        <v>994.132076</v>
      </c>
      <c r="O18" s="64">
        <f>(1+'UREA SYNTHESIS'!$K$16)^-A18</f>
        <v>0.26333125430608</v>
      </c>
      <c r="P18" s="70">
        <f t="shared" si="3"/>
        <v>28.229673569166</v>
      </c>
      <c r="Q18" s="288">
        <f t="shared" si="4"/>
        <v>388.183637502111</v>
      </c>
    </row>
    <row r="19" spans="1:17">
      <c r="A19" s="35">
        <v>15</v>
      </c>
      <c r="B19" s="250">
        <f>'UREA SYNTHESIS'!$L$6</f>
        <v>856800</v>
      </c>
      <c r="C19" s="33">
        <f>$C$5</f>
        <v>265</v>
      </c>
      <c r="D19" s="64">
        <f t="shared" si="5"/>
        <v>227.052</v>
      </c>
      <c r="E19" s="64">
        <f>'UREA SYNTHESIS'!$E$17</f>
        <v>93.049327</v>
      </c>
      <c r="F19" s="64">
        <f t="shared" si="6"/>
        <v>134.002673</v>
      </c>
      <c r="G19" s="33"/>
      <c r="H19" s="33"/>
      <c r="I19" s="64">
        <f t="shared" si="7"/>
        <v>134.002673</v>
      </c>
      <c r="J19" s="33"/>
      <c r="K19" s="64">
        <f t="shared" si="8"/>
        <v>134.002673</v>
      </c>
      <c r="L19" s="71">
        <f>IF(K19&gt;0,K19*'UREA SYNTHESIS'!$K$15,0)</f>
        <v>26.8005346</v>
      </c>
      <c r="M19" s="64">
        <f t="shared" si="1"/>
        <v>107.2021384</v>
      </c>
      <c r="N19" s="64">
        <f t="shared" si="2"/>
        <v>1101.3342144</v>
      </c>
      <c r="O19" s="64">
        <f>(1+'UREA SYNTHESIS'!$K$16)^-A19</f>
        <v>0.239392049369163</v>
      </c>
      <c r="P19" s="70">
        <f t="shared" si="3"/>
        <v>25.6633396083326</v>
      </c>
      <c r="Q19" s="288">
        <f t="shared" si="4"/>
        <v>413.846977110443</v>
      </c>
    </row>
    <row r="20" spans="1:17">
      <c r="A20" s="60">
        <v>16</v>
      </c>
      <c r="B20" s="250">
        <f>'UREA SYNTHESIS'!$L$6</f>
        <v>856800</v>
      </c>
      <c r="C20" s="33">
        <f>$C$5</f>
        <v>265</v>
      </c>
      <c r="D20" s="64">
        <f t="shared" si="5"/>
        <v>227.052</v>
      </c>
      <c r="E20" s="64">
        <f>'UREA SYNTHESIS'!$E$17</f>
        <v>93.049327</v>
      </c>
      <c r="F20" s="64">
        <f t="shared" si="6"/>
        <v>134.002673</v>
      </c>
      <c r="G20" s="33"/>
      <c r="H20" s="33"/>
      <c r="I20" s="64">
        <f t="shared" si="7"/>
        <v>134.002673</v>
      </c>
      <c r="J20" s="33"/>
      <c r="K20" s="64">
        <f t="shared" si="8"/>
        <v>134.002673</v>
      </c>
      <c r="L20" s="71">
        <f>IF(K20&gt;0,K20*'UREA SYNTHESIS'!$K$15,0)</f>
        <v>26.8005346</v>
      </c>
      <c r="M20" s="64">
        <f t="shared" si="1"/>
        <v>107.2021384</v>
      </c>
      <c r="N20" s="64">
        <f t="shared" si="2"/>
        <v>1208.5363528</v>
      </c>
      <c r="O20" s="64">
        <f>(1+'UREA SYNTHESIS'!$K$16)^-A20</f>
        <v>0.217629135790149</v>
      </c>
      <c r="P20" s="70">
        <f t="shared" si="3"/>
        <v>23.3303087348479</v>
      </c>
      <c r="Q20" s="288">
        <f t="shared" si="4"/>
        <v>437.177285845291</v>
      </c>
    </row>
    <row r="21" spans="1:17">
      <c r="A21" s="35">
        <v>17</v>
      </c>
      <c r="B21" s="250">
        <f>'UREA SYNTHESIS'!$L$6</f>
        <v>856800</v>
      </c>
      <c r="C21" s="33">
        <f>$C$5</f>
        <v>265</v>
      </c>
      <c r="D21" s="64">
        <f t="shared" si="5"/>
        <v>227.052</v>
      </c>
      <c r="E21" s="64">
        <f>'UREA SYNTHESIS'!$E$17</f>
        <v>93.049327</v>
      </c>
      <c r="F21" s="64">
        <f t="shared" si="6"/>
        <v>134.002673</v>
      </c>
      <c r="G21" s="33"/>
      <c r="H21" s="33"/>
      <c r="I21" s="64">
        <f t="shared" si="7"/>
        <v>134.002673</v>
      </c>
      <c r="J21" s="33"/>
      <c r="K21" s="64">
        <f t="shared" si="8"/>
        <v>134.002673</v>
      </c>
      <c r="L21" s="71">
        <f>IF(K21&gt;0,K21*'UREA SYNTHESIS'!$K$15,0)</f>
        <v>26.8005346</v>
      </c>
      <c r="M21" s="64">
        <f t="shared" si="1"/>
        <v>107.2021384</v>
      </c>
      <c r="N21" s="64">
        <f t="shared" si="2"/>
        <v>1315.7384912</v>
      </c>
      <c r="O21" s="64">
        <f>(1+'UREA SYNTHESIS'!$K$16)^-A21</f>
        <v>0.197844668900135</v>
      </c>
      <c r="P21" s="70">
        <f t="shared" si="3"/>
        <v>21.2093715771344</v>
      </c>
      <c r="Q21" s="288">
        <f t="shared" si="4"/>
        <v>458.386657422426</v>
      </c>
    </row>
    <row r="22" spans="1:17">
      <c r="A22" s="60">
        <v>18</v>
      </c>
      <c r="B22" s="250">
        <f>'UREA SYNTHESIS'!$L$6</f>
        <v>856800</v>
      </c>
      <c r="C22" s="33">
        <f>$C$5</f>
        <v>265</v>
      </c>
      <c r="D22" s="64">
        <f t="shared" si="5"/>
        <v>227.052</v>
      </c>
      <c r="E22" s="64">
        <f>'UREA SYNTHESIS'!$E$17</f>
        <v>93.049327</v>
      </c>
      <c r="F22" s="64">
        <f t="shared" si="6"/>
        <v>134.002673</v>
      </c>
      <c r="G22" s="33"/>
      <c r="H22" s="33"/>
      <c r="I22" s="64">
        <f t="shared" si="7"/>
        <v>134.002673</v>
      </c>
      <c r="J22" s="33"/>
      <c r="K22" s="64">
        <f t="shared" si="8"/>
        <v>134.002673</v>
      </c>
      <c r="L22" s="71">
        <f>IF(K22&gt;0,K22*'UREA SYNTHESIS'!$K$15,0)</f>
        <v>26.8005346</v>
      </c>
      <c r="M22" s="64">
        <f t="shared" si="1"/>
        <v>107.2021384</v>
      </c>
      <c r="N22" s="64">
        <f t="shared" si="2"/>
        <v>1422.9406296</v>
      </c>
      <c r="O22" s="64">
        <f>(1+'UREA SYNTHESIS'!$K$16)^-A22</f>
        <v>0.179858789909214</v>
      </c>
      <c r="P22" s="70">
        <f t="shared" si="3"/>
        <v>19.2812468883041</v>
      </c>
      <c r="Q22" s="288">
        <f t="shared" si="4"/>
        <v>477.66790431073</v>
      </c>
    </row>
    <row r="23" spans="1:17">
      <c r="A23" s="35">
        <v>19</v>
      </c>
      <c r="B23" s="250">
        <f>'UREA SYNTHESIS'!$L$6</f>
        <v>856800</v>
      </c>
      <c r="C23" s="33">
        <f>$C$5</f>
        <v>265</v>
      </c>
      <c r="D23" s="64">
        <f t="shared" si="5"/>
        <v>227.052</v>
      </c>
      <c r="E23" s="64">
        <f>'UREA SYNTHESIS'!$E$17</f>
        <v>93.049327</v>
      </c>
      <c r="F23" s="64">
        <f t="shared" si="6"/>
        <v>134.002673</v>
      </c>
      <c r="G23" s="33"/>
      <c r="H23" s="33"/>
      <c r="I23" s="64">
        <f t="shared" si="7"/>
        <v>134.002673</v>
      </c>
      <c r="J23" s="33"/>
      <c r="K23" s="64">
        <f t="shared" si="8"/>
        <v>134.002673</v>
      </c>
      <c r="L23" s="71">
        <f>IF(K23&gt;0,K23*'UREA SYNTHESIS'!$K$15,0)</f>
        <v>26.8005346</v>
      </c>
      <c r="M23" s="64">
        <f t="shared" si="1"/>
        <v>107.2021384</v>
      </c>
      <c r="N23" s="64">
        <f t="shared" si="2"/>
        <v>1530.142768</v>
      </c>
      <c r="O23" s="64">
        <f>(1+'UREA SYNTHESIS'!$K$16)^-A23</f>
        <v>0.163507990826558</v>
      </c>
      <c r="P23" s="70">
        <f t="shared" si="3"/>
        <v>17.5284062620946</v>
      </c>
      <c r="Q23" s="288">
        <f t="shared" si="4"/>
        <v>495.196310572825</v>
      </c>
    </row>
    <row r="24" spans="1:17">
      <c r="A24" s="319">
        <v>20</v>
      </c>
      <c r="B24" s="250">
        <f>'UREA SYNTHESIS'!$L$6</f>
        <v>856800</v>
      </c>
      <c r="C24" s="320">
        <f>$C$5</f>
        <v>265</v>
      </c>
      <c r="D24" s="64">
        <f t="shared" si="5"/>
        <v>227.052</v>
      </c>
      <c r="E24" s="64">
        <f>'UREA SYNTHESIS'!$E$17</f>
        <v>93.049327</v>
      </c>
      <c r="F24" s="64">
        <f t="shared" si="6"/>
        <v>134.002673</v>
      </c>
      <c r="G24" s="320"/>
      <c r="H24" s="320"/>
      <c r="I24" s="64">
        <f t="shared" si="7"/>
        <v>134.002673</v>
      </c>
      <c r="J24" s="320"/>
      <c r="K24" s="321">
        <f t="shared" si="8"/>
        <v>134.002673</v>
      </c>
      <c r="L24" s="71">
        <f>IF(K24&gt;0,K24*'UREA SYNTHESIS'!$K$15,0)</f>
        <v>26.8005346</v>
      </c>
      <c r="M24" s="321">
        <f t="shared" si="1"/>
        <v>107.2021384</v>
      </c>
      <c r="N24" s="321">
        <f t="shared" si="2"/>
        <v>1637.3449064</v>
      </c>
      <c r="O24" s="64">
        <f>(1+'UREA SYNTHESIS'!$K$16)^-A24</f>
        <v>0.148643628024143</v>
      </c>
      <c r="P24" s="322">
        <f t="shared" si="3"/>
        <v>15.9349147837223</v>
      </c>
      <c r="Q24" s="324">
        <f t="shared" si="4"/>
        <v>511.131225356547</v>
      </c>
    </row>
    <row r="25" spans="1:17">
      <c r="A25" s="234"/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70">
        <f>SUM(P4:P24)</f>
        <v>511.131225356547</v>
      </c>
      <c r="Q25" s="234"/>
    </row>
    <row r="26" spans="1:17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</row>
    <row r="27" spans="1:17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</row>
    <row r="53" spans="1:24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</row>
    <row r="54" spans="1:24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</row>
    <row r="55" spans="1:24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</row>
    <row r="56" spans="1:24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</row>
    <row r="57" spans="1:24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</row>
    <row r="58" spans="1:24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</row>
    <row r="59" spans="1:24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</row>
    <row r="60" spans="1:24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</row>
    <row r="61" ht="23.25" spans="1:24">
      <c r="A61" s="89"/>
      <c r="B61" s="89"/>
      <c r="C61" s="89"/>
      <c r="D61" s="89"/>
      <c r="E61" s="89"/>
      <c r="F61" s="89"/>
      <c r="G61" s="89"/>
      <c r="H61" s="89"/>
      <c r="I61" s="89"/>
      <c r="J61" s="323"/>
      <c r="K61" s="323"/>
      <c r="L61" s="323"/>
      <c r="M61" s="323"/>
      <c r="N61" s="323"/>
      <c r="O61" s="89"/>
      <c r="P61" s="89"/>
      <c r="Q61" s="89"/>
      <c r="R61" s="89"/>
      <c r="S61" s="89"/>
      <c r="T61" s="89"/>
      <c r="U61" s="89"/>
      <c r="V61" s="89"/>
      <c r="W61" s="89"/>
      <c r="X61" s="89"/>
    </row>
    <row r="62" spans="1:24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</row>
    <row r="63" spans="1:24">
      <c r="A63" s="89"/>
      <c r="B63" s="89"/>
      <c r="C63" s="282"/>
      <c r="D63" s="283"/>
      <c r="E63" s="283"/>
      <c r="F63" s="283"/>
      <c r="G63" s="283"/>
      <c r="H63" s="283"/>
      <c r="I63" s="283"/>
      <c r="J63" s="283"/>
      <c r="K63" s="283"/>
      <c r="L63" s="283"/>
      <c r="M63" s="284"/>
      <c r="N63" s="285"/>
      <c r="O63" s="285"/>
      <c r="P63" s="285"/>
      <c r="Q63" s="285"/>
      <c r="R63" s="285"/>
      <c r="S63" s="285"/>
      <c r="T63" s="89"/>
      <c r="U63" s="262"/>
      <c r="V63" s="89"/>
      <c r="W63" s="89"/>
      <c r="X63" s="89"/>
    </row>
    <row r="64" spans="1:24">
      <c r="A64" s="89"/>
      <c r="B64" s="89"/>
      <c r="C64" s="242"/>
      <c r="D64" s="284"/>
      <c r="E64" s="242"/>
      <c r="F64" s="285"/>
      <c r="G64" s="242"/>
      <c r="H64" s="242"/>
      <c r="I64" s="242"/>
      <c r="J64" s="242"/>
      <c r="K64" s="242"/>
      <c r="L64" s="242"/>
      <c r="M64" s="84"/>
      <c r="N64" s="245"/>
      <c r="O64" s="84"/>
      <c r="P64" s="84"/>
      <c r="Q64" s="84"/>
      <c r="R64" s="84"/>
      <c r="S64" s="290"/>
      <c r="T64" s="89"/>
      <c r="U64" s="84"/>
      <c r="V64" s="84"/>
      <c r="W64" s="89"/>
      <c r="X64" s="89"/>
    </row>
    <row r="65" spans="1:24">
      <c r="A65" s="89"/>
      <c r="B65" s="89"/>
      <c r="C65" s="84"/>
      <c r="D65" s="84"/>
      <c r="E65" s="85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9"/>
      <c r="U65" s="84"/>
      <c r="V65" s="84"/>
      <c r="W65" s="89"/>
      <c r="X65" s="89"/>
    </row>
    <row r="66" spans="1:24">
      <c r="A66" s="89"/>
      <c r="B66" s="89"/>
      <c r="C66" s="242"/>
      <c r="D66" s="84"/>
      <c r="E66" s="85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9"/>
      <c r="U66" s="84"/>
      <c r="V66" s="84"/>
      <c r="W66" s="89"/>
      <c r="X66" s="89"/>
    </row>
    <row r="67" spans="1:24">
      <c r="A67" s="89"/>
      <c r="B67" s="89"/>
      <c r="C67" s="84"/>
      <c r="D67" s="84"/>
      <c r="E67" s="85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9"/>
      <c r="U67" s="84"/>
      <c r="V67" s="84"/>
      <c r="W67" s="89"/>
      <c r="X67" s="89"/>
    </row>
    <row r="68" spans="1:24">
      <c r="A68" s="89"/>
      <c r="B68" s="89"/>
      <c r="C68" s="242"/>
      <c r="D68" s="84"/>
      <c r="E68" s="85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9"/>
      <c r="U68" s="84"/>
      <c r="V68" s="84"/>
      <c r="W68" s="89"/>
      <c r="X68" s="89"/>
    </row>
    <row r="69" spans="1:24">
      <c r="A69" s="89"/>
      <c r="B69" s="89"/>
      <c r="C69" s="84"/>
      <c r="D69" s="84"/>
      <c r="E69" s="85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9"/>
      <c r="U69" s="84"/>
      <c r="V69" s="84"/>
      <c r="W69" s="89"/>
      <c r="X69" s="89"/>
    </row>
    <row r="70" spans="1:24">
      <c r="A70" s="89"/>
      <c r="B70" s="89"/>
      <c r="C70" s="242"/>
      <c r="D70" s="84"/>
      <c r="E70" s="85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9"/>
      <c r="U70" s="84"/>
      <c r="V70" s="84"/>
      <c r="W70" s="89"/>
      <c r="X70" s="89"/>
    </row>
    <row r="71" spans="1:24">
      <c r="A71" s="89"/>
      <c r="B71" s="89"/>
      <c r="C71" s="84"/>
      <c r="D71" s="84"/>
      <c r="E71" s="85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9"/>
      <c r="U71" s="84"/>
      <c r="V71" s="84"/>
      <c r="W71" s="89"/>
      <c r="X71" s="89"/>
    </row>
    <row r="72" spans="1:24">
      <c r="A72" s="89"/>
      <c r="B72" s="89"/>
      <c r="C72" s="242"/>
      <c r="D72" s="84"/>
      <c r="E72" s="85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9"/>
      <c r="U72" s="84"/>
      <c r="V72" s="84"/>
      <c r="W72" s="89"/>
      <c r="X72" s="89"/>
    </row>
    <row r="73" spans="1:24">
      <c r="A73" s="89"/>
      <c r="B73" s="89"/>
      <c r="C73" s="84"/>
      <c r="D73" s="84"/>
      <c r="E73" s="85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9"/>
      <c r="U73" s="84"/>
      <c r="V73" s="84"/>
      <c r="W73" s="89"/>
      <c r="X73" s="89"/>
    </row>
    <row r="74" spans="1:24">
      <c r="A74" s="89"/>
      <c r="B74" s="89"/>
      <c r="C74" s="242"/>
      <c r="D74" s="84"/>
      <c r="E74" s="85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9"/>
      <c r="U74" s="84"/>
      <c r="V74" s="84"/>
      <c r="W74" s="89"/>
      <c r="X74" s="89"/>
    </row>
    <row r="75" spans="1:24">
      <c r="A75" s="89"/>
      <c r="B75" s="89"/>
      <c r="C75" s="84"/>
      <c r="D75" s="84"/>
      <c r="E75" s="85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9"/>
      <c r="U75" s="84"/>
      <c r="V75" s="84"/>
      <c r="W75" s="89"/>
      <c r="X75" s="89"/>
    </row>
    <row r="76" spans="1:24">
      <c r="A76" s="89"/>
      <c r="B76" s="89"/>
      <c r="C76" s="242"/>
      <c r="D76" s="84"/>
      <c r="E76" s="85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9"/>
      <c r="U76" s="84"/>
      <c r="V76" s="84"/>
      <c r="W76" s="89"/>
      <c r="X76" s="89"/>
    </row>
    <row r="77" spans="1:24">
      <c r="A77" s="89"/>
      <c r="B77" s="89"/>
      <c r="C77" s="84"/>
      <c r="D77" s="84"/>
      <c r="E77" s="85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9"/>
      <c r="U77" s="84"/>
      <c r="V77" s="84"/>
      <c r="W77" s="89"/>
      <c r="X77" s="89"/>
    </row>
    <row r="78" spans="1:24">
      <c r="A78" s="89"/>
      <c r="B78" s="89"/>
      <c r="C78" s="242"/>
      <c r="D78" s="84"/>
      <c r="E78" s="85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9"/>
      <c r="U78" s="84"/>
      <c r="V78" s="84"/>
      <c r="W78" s="89"/>
      <c r="X78" s="89"/>
    </row>
    <row r="79" spans="1:24">
      <c r="A79" s="89"/>
      <c r="B79" s="89"/>
      <c r="C79" s="84"/>
      <c r="D79" s="84"/>
      <c r="E79" s="85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9"/>
      <c r="U79" s="84"/>
      <c r="V79" s="84"/>
      <c r="W79" s="89"/>
      <c r="X79" s="89"/>
    </row>
    <row r="80" spans="1:24">
      <c r="A80" s="89"/>
      <c r="B80" s="89"/>
      <c r="C80" s="242"/>
      <c r="D80" s="84"/>
      <c r="E80" s="85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9"/>
      <c r="U80" s="84"/>
      <c r="V80" s="84"/>
      <c r="W80" s="89"/>
      <c r="X80" s="89"/>
    </row>
    <row r="81" spans="1:24">
      <c r="A81" s="89"/>
      <c r="B81" s="89"/>
      <c r="C81" s="84"/>
      <c r="D81" s="84"/>
      <c r="E81" s="85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9"/>
      <c r="U81" s="84"/>
      <c r="V81" s="84"/>
      <c r="W81" s="89"/>
      <c r="X81" s="89"/>
    </row>
    <row r="82" spans="1:24">
      <c r="A82" s="89"/>
      <c r="B82" s="89"/>
      <c r="C82" s="242"/>
      <c r="D82" s="84"/>
      <c r="E82" s="85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9"/>
      <c r="U82" s="84"/>
      <c r="V82" s="84"/>
      <c r="W82" s="89"/>
      <c r="X82" s="89"/>
    </row>
    <row r="83" spans="1:24">
      <c r="A83" s="89"/>
      <c r="B83" s="89"/>
      <c r="C83" s="84"/>
      <c r="D83" s="84"/>
      <c r="E83" s="85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9"/>
      <c r="U83" s="84"/>
      <c r="V83" s="84"/>
      <c r="W83" s="89"/>
      <c r="X83" s="89"/>
    </row>
    <row r="84" spans="1:24">
      <c r="A84" s="89"/>
      <c r="B84" s="89"/>
      <c r="C84" s="242"/>
      <c r="D84" s="84"/>
      <c r="E84" s="85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9"/>
      <c r="U84" s="84"/>
      <c r="V84" s="84"/>
      <c r="W84" s="89"/>
      <c r="X84" s="89"/>
    </row>
    <row r="85" spans="1:24">
      <c r="A85" s="89"/>
      <c r="B85" s="89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9"/>
      <c r="U85" s="89"/>
      <c r="V85" s="89"/>
      <c r="W85" s="89"/>
      <c r="X85" s="89"/>
    </row>
    <row r="86" spans="1:24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</row>
    <row r="87" spans="1:24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</row>
    <row r="88" spans="1:24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79"/>
  <sheetViews>
    <sheetView zoomScale="47" zoomScaleNormal="47" topLeftCell="A48" workbookViewId="0">
      <selection activeCell="B77" sqref="B77"/>
    </sheetView>
  </sheetViews>
  <sheetFormatPr defaultColWidth="9.14285714285714" defaultRowHeight="15"/>
  <cols>
    <col min="2" max="2" width="9.28571428571429"/>
    <col min="3" max="3" width="16.2857142857143" customWidth="1"/>
    <col min="4" max="6" width="17.4285714285714" customWidth="1"/>
    <col min="7" max="9" width="16.2857142857143" customWidth="1"/>
    <col min="10" max="12" width="17.4285714285714" customWidth="1"/>
    <col min="13" max="22" width="16.2857142857143" customWidth="1"/>
    <col min="23" max="23" width="15.8571428571429"/>
  </cols>
  <sheetData>
    <row r="1" ht="47.25" spans="1:6">
      <c r="A1" s="2" t="s">
        <v>114</v>
      </c>
      <c r="B1" s="2"/>
      <c r="C1" s="2"/>
      <c r="D1" s="2"/>
      <c r="E1" s="2"/>
      <c r="F1" s="2"/>
    </row>
    <row r="2" spans="1:30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</row>
    <row r="3" spans="1:30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</row>
    <row r="4" spans="1:30">
      <c r="A4" s="36" t="s">
        <v>52</v>
      </c>
      <c r="B4" s="307">
        <f>FORECAST(0,D6:E6,D7:E7)</f>
        <v>0.353252288801857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</row>
    <row r="5" spans="1:30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</row>
    <row r="6" ht="30" spans="1:30">
      <c r="A6" s="31"/>
      <c r="B6" s="67" t="s">
        <v>53</v>
      </c>
      <c r="C6" s="33">
        <f>'UREA SYNTHESIS'!K16</f>
        <v>0.1</v>
      </c>
      <c r="D6" s="33">
        <f>D11</f>
        <v>0.15</v>
      </c>
      <c r="E6" s="33">
        <f>$D$18</f>
        <v>0.3</v>
      </c>
      <c r="F6" s="33">
        <f>D25</f>
        <v>0.45</v>
      </c>
      <c r="G6" s="31"/>
      <c r="H6" s="35" t="s">
        <v>54</v>
      </c>
      <c r="I6" s="64">
        <f t="shared" ref="I6:L6" si="0">C7</f>
        <v>511.131225356547</v>
      </c>
      <c r="J6" s="64">
        <f t="shared" si="0"/>
        <v>309.360861112991</v>
      </c>
      <c r="K6" s="64">
        <f t="shared" si="0"/>
        <v>81.052833486369</v>
      </c>
      <c r="L6" s="64">
        <f t="shared" si="0"/>
        <v>20.2672488060933</v>
      </c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</row>
    <row r="7" spans="1:30">
      <c r="A7" s="31"/>
      <c r="B7" s="35" t="s">
        <v>54</v>
      </c>
      <c r="C7" s="64">
        <f>'UREA SYNTHESIS 2'!Q24</f>
        <v>511.131225356547</v>
      </c>
      <c r="D7" s="64">
        <f>W15</f>
        <v>309.360861112991</v>
      </c>
      <c r="E7" s="64">
        <f>W22</f>
        <v>81.052833486369</v>
      </c>
      <c r="F7" s="64">
        <f>W29</f>
        <v>20.2672488060933</v>
      </c>
      <c r="G7" s="31"/>
      <c r="H7" s="67" t="s">
        <v>24</v>
      </c>
      <c r="I7" s="33">
        <f t="shared" ref="I7:L7" si="1">C6</f>
        <v>0.1</v>
      </c>
      <c r="J7" s="33">
        <f t="shared" si="1"/>
        <v>0.15</v>
      </c>
      <c r="K7" s="33">
        <f t="shared" si="1"/>
        <v>0.3</v>
      </c>
      <c r="L7" s="33">
        <f t="shared" si="1"/>
        <v>0.45</v>
      </c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</row>
    <row r="8" spans="1:30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</row>
    <row r="9" spans="1:30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</row>
    <row r="10" spans="1:3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</row>
    <row r="11" spans="1:30">
      <c r="A11" s="11"/>
      <c r="B11" s="308" t="s">
        <v>55</v>
      </c>
      <c r="C11" s="35"/>
      <c r="D11" s="35">
        <f>'UREA SYNTHESIS'!K16+5%</f>
        <v>0.15</v>
      </c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314"/>
      <c r="S11" s="234"/>
      <c r="T11" s="234"/>
      <c r="U11" s="234"/>
      <c r="V11" s="234"/>
      <c r="W11" s="235" t="s">
        <v>56</v>
      </c>
      <c r="X11" s="31"/>
      <c r="Y11" s="31"/>
      <c r="Z11" s="31"/>
      <c r="AA11" s="31"/>
      <c r="AB11" s="31"/>
      <c r="AC11" s="31"/>
      <c r="AD11" s="31"/>
    </row>
    <row r="12" spans="1:30">
      <c r="A12" s="11" t="s">
        <v>34</v>
      </c>
      <c r="B12" s="31">
        <v>0</v>
      </c>
      <c r="C12" s="31">
        <v>1</v>
      </c>
      <c r="D12" s="31">
        <v>2</v>
      </c>
      <c r="E12" s="31">
        <v>3</v>
      </c>
      <c r="F12" s="31">
        <v>4</v>
      </c>
      <c r="G12" s="31">
        <v>5</v>
      </c>
      <c r="H12" s="31">
        <v>6</v>
      </c>
      <c r="I12" s="31">
        <v>7</v>
      </c>
      <c r="J12" s="31">
        <v>8</v>
      </c>
      <c r="K12" s="31">
        <v>9</v>
      </c>
      <c r="L12" s="31">
        <v>10</v>
      </c>
      <c r="M12" s="31">
        <v>11</v>
      </c>
      <c r="N12" s="31">
        <v>12</v>
      </c>
      <c r="O12" s="31">
        <v>13</v>
      </c>
      <c r="P12" s="31">
        <v>14</v>
      </c>
      <c r="Q12" s="31">
        <v>15</v>
      </c>
      <c r="R12" s="31">
        <v>16</v>
      </c>
      <c r="S12" s="31">
        <v>17</v>
      </c>
      <c r="T12" s="31">
        <v>18</v>
      </c>
      <c r="U12" s="31">
        <v>19</v>
      </c>
      <c r="V12" s="31">
        <v>20</v>
      </c>
      <c r="W12" s="315"/>
      <c r="X12" s="31"/>
      <c r="Y12" s="31"/>
      <c r="Z12" s="31"/>
      <c r="AA12" s="31"/>
      <c r="AB12" s="31"/>
      <c r="AC12" s="31"/>
      <c r="AD12" s="31"/>
    </row>
    <row r="13" ht="60" spans="1:30">
      <c r="A13" s="11" t="s">
        <v>57</v>
      </c>
      <c r="B13" s="309">
        <f>'UREA SYNTHESIS 2'!M4</f>
        <v>0</v>
      </c>
      <c r="C13" s="309">
        <f>'UREA SYNTHESIS 2'!M5</f>
        <v>-19.472327</v>
      </c>
      <c r="D13" s="309">
        <f>'UREA SYNTHESIS 2'!M6</f>
        <v>-19.472327</v>
      </c>
      <c r="E13" s="309">
        <f>'UREA SYNTHESIS 2'!M7</f>
        <v>-19.472327</v>
      </c>
      <c r="F13" s="309">
        <f>'UREA SYNTHESIS 2'!M8</f>
        <v>-19.472327</v>
      </c>
      <c r="G13" s="309">
        <f>'UREA SYNTHESIS 2'!M9</f>
        <v>107.2021384</v>
      </c>
      <c r="H13" s="309">
        <f>'UREA SYNTHESIS 2'!M10</f>
        <v>107.2021384</v>
      </c>
      <c r="I13" s="309">
        <f>'UREA SYNTHESIS 2'!M11</f>
        <v>107.2021384</v>
      </c>
      <c r="J13" s="309">
        <f>'UREA SYNTHESIS 2'!M12</f>
        <v>107.2021384</v>
      </c>
      <c r="K13" s="309">
        <f>'UREA SYNTHESIS 2'!M13</f>
        <v>107.2021384</v>
      </c>
      <c r="L13" s="309">
        <f>'UREA SYNTHESIS 2'!M14</f>
        <v>107.2021384</v>
      </c>
      <c r="M13" s="309">
        <f>'UREA SYNTHESIS 2'!M15</f>
        <v>107.2021384</v>
      </c>
      <c r="N13" s="309">
        <f>'UREA SYNTHESIS 2'!M16</f>
        <v>107.2021384</v>
      </c>
      <c r="O13" s="309">
        <f>'UREA SYNTHESIS 2'!M17</f>
        <v>107.2021384</v>
      </c>
      <c r="P13" s="309">
        <f>'UREA SYNTHESIS 2'!M18</f>
        <v>107.2021384</v>
      </c>
      <c r="Q13" s="309">
        <f>'UREA SYNTHESIS 2'!M19</f>
        <v>107.2021384</v>
      </c>
      <c r="R13" s="309">
        <f>'UREA SYNTHESIS 2'!M20</f>
        <v>107.2021384</v>
      </c>
      <c r="S13" s="309">
        <f>'UREA SYNTHESIS 2'!M21</f>
        <v>107.2021384</v>
      </c>
      <c r="T13" s="309">
        <f>'UREA SYNTHESIS 2'!M22</f>
        <v>107.2021384</v>
      </c>
      <c r="U13" s="309">
        <f>'UREA SYNTHESIS 2'!M23</f>
        <v>107.2021384</v>
      </c>
      <c r="V13" s="309">
        <f>'UREA SYNTHESIS 2'!M24</f>
        <v>107.2021384</v>
      </c>
      <c r="W13" s="316"/>
      <c r="X13" s="31"/>
      <c r="Y13" s="31"/>
      <c r="Z13" s="31"/>
      <c r="AA13" s="31"/>
      <c r="AB13" s="31"/>
      <c r="AC13" s="31"/>
      <c r="AD13" s="31"/>
    </row>
    <row r="14" ht="30" spans="1:30">
      <c r="A14" s="11" t="s">
        <v>58</v>
      </c>
      <c r="B14" s="309">
        <f>(1+$D$11)^-B12</f>
        <v>1</v>
      </c>
      <c r="C14" s="309">
        <f>(1+$D$11)^-C12</f>
        <v>0.869565217391304</v>
      </c>
      <c r="D14" s="309">
        <f>(1+$D$11)^-D12</f>
        <v>0.756143667296787</v>
      </c>
      <c r="E14" s="309">
        <f>(1+$D$11)^-E12</f>
        <v>0.657516232431988</v>
      </c>
      <c r="F14" s="309">
        <f>(1+$D$11)^-F12</f>
        <v>0.571753245593033</v>
      </c>
      <c r="G14" s="309">
        <f>(1+$D$11)^-G12</f>
        <v>0.49717673529829</v>
      </c>
      <c r="H14" s="309">
        <f>(1+$D$11)^-H12</f>
        <v>0.432327595911557</v>
      </c>
      <c r="I14" s="309">
        <f>(1+$D$11)^-I12</f>
        <v>0.375937039923093</v>
      </c>
      <c r="J14" s="309">
        <f>(1+$D$11)^-J12</f>
        <v>0.326901773846168</v>
      </c>
      <c r="K14" s="309">
        <f>(1+$D$11)^-K12</f>
        <v>0.284262412040146</v>
      </c>
      <c r="L14" s="309">
        <f>(1+$D$11)^-L12</f>
        <v>0.247184706121866</v>
      </c>
      <c r="M14" s="309">
        <f>(1+$D$11)^-M12</f>
        <v>0.214943222714666</v>
      </c>
      <c r="N14" s="309">
        <f>(1+$D$11)^-N12</f>
        <v>0.186907150186666</v>
      </c>
      <c r="O14" s="309">
        <f>(1+$D$11)^-O12</f>
        <v>0.162527956684057</v>
      </c>
      <c r="P14" s="309">
        <f>(1+$D$11)^-P12</f>
        <v>0.141328657986137</v>
      </c>
      <c r="Q14" s="309">
        <f>(1+$D$11)^-Q12</f>
        <v>0.122894485205336</v>
      </c>
      <c r="R14" s="309">
        <f>(1+$D$11)^-R12</f>
        <v>0.106864769743771</v>
      </c>
      <c r="S14" s="309">
        <f>(1+$D$11)^-S12</f>
        <v>0.0929258867337138</v>
      </c>
      <c r="T14" s="309">
        <f>(1+$D$11)^-T12</f>
        <v>0.0808051188988816</v>
      </c>
      <c r="U14" s="309">
        <f>(1+$D$11)^-U12</f>
        <v>0.0702653207816362</v>
      </c>
      <c r="V14" s="309">
        <f>(1+$D$11)^-V12</f>
        <v>0.0611002789405532</v>
      </c>
      <c r="W14" s="315"/>
      <c r="X14" s="31"/>
      <c r="Y14" s="31"/>
      <c r="Z14" s="31"/>
      <c r="AA14" s="31"/>
      <c r="AB14" s="31"/>
      <c r="AC14" s="31"/>
      <c r="AD14" s="31"/>
    </row>
    <row r="15" ht="30" spans="1:30">
      <c r="A15" s="11" t="s">
        <v>59</v>
      </c>
      <c r="B15" s="310">
        <f t="shared" ref="B15:N15" si="2">B13*B14</f>
        <v>0</v>
      </c>
      <c r="C15" s="310">
        <f t="shared" si="2"/>
        <v>-16.9324582608696</v>
      </c>
      <c r="D15" s="310">
        <f t="shared" si="2"/>
        <v>-14.7238767485822</v>
      </c>
      <c r="E15" s="310">
        <f t="shared" si="2"/>
        <v>-12.8033710857237</v>
      </c>
      <c r="F15" s="310">
        <f t="shared" si="2"/>
        <v>-11.1333661614989</v>
      </c>
      <c r="G15" s="310">
        <f t="shared" si="2"/>
        <v>53.2984091867074</v>
      </c>
      <c r="H15" s="310">
        <f t="shared" si="2"/>
        <v>46.34644277105</v>
      </c>
      <c r="I15" s="310">
        <f t="shared" si="2"/>
        <v>40.3012545835217</v>
      </c>
      <c r="J15" s="310">
        <f t="shared" si="2"/>
        <v>35.0445692030624</v>
      </c>
      <c r="K15" s="310">
        <f t="shared" si="2"/>
        <v>30.4735384374456</v>
      </c>
      <c r="L15" s="310">
        <f t="shared" si="2"/>
        <v>26.4987290760396</v>
      </c>
      <c r="M15" s="310">
        <f t="shared" si="2"/>
        <v>23.0423731095996</v>
      </c>
      <c r="N15" s="310">
        <f t="shared" si="2"/>
        <v>20.0368461822606</v>
      </c>
      <c r="O15" s="310">
        <f t="shared" ref="O15:V15" si="3">N13*O14</f>
        <v>17.4233445063135</v>
      </c>
      <c r="P15" s="310">
        <f t="shared" si="3"/>
        <v>15.1507343533161</v>
      </c>
      <c r="Q15" s="310">
        <f t="shared" si="3"/>
        <v>13.1745516115792</v>
      </c>
      <c r="R15" s="310">
        <f t="shared" si="3"/>
        <v>11.4561318361559</v>
      </c>
      <c r="S15" s="310">
        <f t="shared" si="3"/>
        <v>9.96185377057031</v>
      </c>
      <c r="T15" s="310">
        <f t="shared" si="3"/>
        <v>8.66248153962636</v>
      </c>
      <c r="U15" s="310">
        <f t="shared" si="3"/>
        <v>7.53259264315336</v>
      </c>
      <c r="V15" s="310">
        <f t="shared" si="3"/>
        <v>6.55008055926379</v>
      </c>
      <c r="W15" s="317">
        <f>SUM(B15:V15)</f>
        <v>309.360861112991</v>
      </c>
      <c r="X15" s="31"/>
      <c r="Y15" s="31"/>
      <c r="Z15" s="31"/>
      <c r="AA15" s="31"/>
      <c r="AB15" s="31"/>
      <c r="AC15" s="31"/>
      <c r="AD15" s="31"/>
    </row>
    <row r="16" spans="1:30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</row>
    <row r="17" spans="1:30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</row>
    <row r="18" spans="1:30">
      <c r="A18" s="188"/>
      <c r="B18" s="308" t="s">
        <v>55</v>
      </c>
      <c r="C18" s="35"/>
      <c r="D18" s="35">
        <f>D11+15%</f>
        <v>0.3</v>
      </c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234"/>
      <c r="Q18" s="234"/>
      <c r="R18" s="314"/>
      <c r="S18" s="234"/>
      <c r="T18" s="234"/>
      <c r="U18" s="234"/>
      <c r="V18" s="234"/>
      <c r="W18" s="235" t="s">
        <v>56</v>
      </c>
      <c r="X18" s="187"/>
      <c r="Y18" s="31"/>
      <c r="Z18" s="31"/>
      <c r="AA18" s="31"/>
      <c r="AB18" s="31"/>
      <c r="AC18" s="31"/>
      <c r="AD18" s="31"/>
    </row>
    <row r="19" spans="1:30">
      <c r="A19" s="186" t="s">
        <v>34</v>
      </c>
      <c r="B19" s="31">
        <v>0</v>
      </c>
      <c r="C19" s="31">
        <v>1</v>
      </c>
      <c r="D19" s="31">
        <v>2</v>
      </c>
      <c r="E19" s="31">
        <v>3</v>
      </c>
      <c r="F19" s="31">
        <v>4</v>
      </c>
      <c r="G19" s="31">
        <v>5</v>
      </c>
      <c r="H19" s="31">
        <v>6</v>
      </c>
      <c r="I19" s="31">
        <v>7</v>
      </c>
      <c r="J19" s="31">
        <v>8</v>
      </c>
      <c r="K19" s="31">
        <v>9</v>
      </c>
      <c r="L19" s="31">
        <v>10</v>
      </c>
      <c r="M19" s="31">
        <v>11</v>
      </c>
      <c r="N19" s="31">
        <v>12</v>
      </c>
      <c r="O19" s="31">
        <v>13</v>
      </c>
      <c r="P19" s="31">
        <v>14</v>
      </c>
      <c r="Q19" s="31">
        <v>15</v>
      </c>
      <c r="R19" s="31">
        <v>16</v>
      </c>
      <c r="S19" s="31">
        <v>17</v>
      </c>
      <c r="T19" s="31">
        <v>18</v>
      </c>
      <c r="U19" s="31">
        <v>19</v>
      </c>
      <c r="V19" s="31">
        <v>20</v>
      </c>
      <c r="W19" s="315"/>
      <c r="X19" s="31"/>
      <c r="Y19" s="31"/>
      <c r="Z19" s="31"/>
      <c r="AA19" s="31"/>
      <c r="AB19" s="31"/>
      <c r="AC19" s="31"/>
      <c r="AD19" s="31"/>
    </row>
    <row r="20" ht="60" spans="1:30">
      <c r="A20" s="186" t="s">
        <v>57</v>
      </c>
      <c r="B20" s="309">
        <f t="shared" ref="B20:N20" si="4">B13</f>
        <v>0</v>
      </c>
      <c r="C20" s="309">
        <f t="shared" si="4"/>
        <v>-19.472327</v>
      </c>
      <c r="D20" s="309">
        <f t="shared" si="4"/>
        <v>-19.472327</v>
      </c>
      <c r="E20" s="309">
        <f t="shared" si="4"/>
        <v>-19.472327</v>
      </c>
      <c r="F20" s="309">
        <f t="shared" si="4"/>
        <v>-19.472327</v>
      </c>
      <c r="G20" s="309">
        <f t="shared" si="4"/>
        <v>107.2021384</v>
      </c>
      <c r="H20" s="309">
        <f t="shared" si="4"/>
        <v>107.2021384</v>
      </c>
      <c r="I20" s="309">
        <f t="shared" si="4"/>
        <v>107.2021384</v>
      </c>
      <c r="J20" s="309">
        <f t="shared" si="4"/>
        <v>107.2021384</v>
      </c>
      <c r="K20" s="309">
        <f t="shared" si="4"/>
        <v>107.2021384</v>
      </c>
      <c r="L20" s="309">
        <f t="shared" si="4"/>
        <v>107.2021384</v>
      </c>
      <c r="M20" s="309">
        <f t="shared" si="4"/>
        <v>107.2021384</v>
      </c>
      <c r="N20" s="309">
        <f t="shared" si="4"/>
        <v>107.2021384</v>
      </c>
      <c r="O20" s="309">
        <f t="shared" ref="O20:Q20" si="5">N13</f>
        <v>107.2021384</v>
      </c>
      <c r="P20" s="309">
        <f t="shared" si="5"/>
        <v>107.2021384</v>
      </c>
      <c r="Q20" s="309">
        <f t="shared" si="5"/>
        <v>107.2021384</v>
      </c>
      <c r="R20" s="309">
        <f t="shared" ref="R20:V20" si="6">R13</f>
        <v>107.2021384</v>
      </c>
      <c r="S20" s="309">
        <f t="shared" si="6"/>
        <v>107.2021384</v>
      </c>
      <c r="T20" s="309">
        <f t="shared" si="6"/>
        <v>107.2021384</v>
      </c>
      <c r="U20" s="309">
        <f t="shared" si="6"/>
        <v>107.2021384</v>
      </c>
      <c r="V20" s="309">
        <f t="shared" si="6"/>
        <v>107.2021384</v>
      </c>
      <c r="W20" s="315"/>
      <c r="X20" s="31"/>
      <c r="Y20" s="31"/>
      <c r="Z20" s="31"/>
      <c r="AA20" s="31"/>
      <c r="AB20" s="31"/>
      <c r="AC20" s="31"/>
      <c r="AD20" s="31"/>
    </row>
    <row r="21" ht="30" spans="1:30">
      <c r="A21" s="186" t="s">
        <v>58</v>
      </c>
      <c r="B21" s="309">
        <f>(1+$D$18)^-B19</f>
        <v>1</v>
      </c>
      <c r="C21" s="309">
        <f>(1+$D$18)^-C19</f>
        <v>0.769230769230769</v>
      </c>
      <c r="D21" s="309">
        <f>(1+$D$18)^-D19</f>
        <v>0.591715976331361</v>
      </c>
      <c r="E21" s="309">
        <f>(1+$D$18)^-E19</f>
        <v>0.455166135639508</v>
      </c>
      <c r="F21" s="309">
        <f>(1+$D$18)^-F19</f>
        <v>0.350127796645776</v>
      </c>
      <c r="G21" s="309">
        <f>(1+$D$18)^-G19</f>
        <v>0.269329074342904</v>
      </c>
      <c r="H21" s="309">
        <f>(1+$D$18)^-H19</f>
        <v>0.207176211033003</v>
      </c>
      <c r="I21" s="309">
        <f>(1+$D$18)^-I19</f>
        <v>0.159366316179233</v>
      </c>
      <c r="J21" s="309">
        <f>(1+$D$18)^-J19</f>
        <v>0.122589473984026</v>
      </c>
      <c r="K21" s="309">
        <f>(1+$D$18)^-K19</f>
        <v>0.0942995953723274</v>
      </c>
      <c r="L21" s="309">
        <f>(1+$D$18)^-L19</f>
        <v>0.0725381502864057</v>
      </c>
      <c r="M21" s="309">
        <f>(1+$D$18)^-M19</f>
        <v>0.055798577143389</v>
      </c>
      <c r="N21" s="313">
        <f>(1+$D$18)^-N19</f>
        <v>0.0429219824179915</v>
      </c>
      <c r="O21" s="309">
        <f>(1+$D$18)^-O19</f>
        <v>0.0330169095523012</v>
      </c>
      <c r="P21" s="309">
        <f>(1+$D$18)^-P19</f>
        <v>0.0253976227325394</v>
      </c>
      <c r="Q21" s="309">
        <f>(1+$D$18)^-Q19</f>
        <v>0.0195366328711841</v>
      </c>
      <c r="R21" s="309">
        <f>(1+$D$18)^-R19</f>
        <v>0.0150281791316801</v>
      </c>
      <c r="S21" s="309">
        <f>(1+$D$18)^-S19</f>
        <v>0.0115601377936001</v>
      </c>
      <c r="T21" s="309">
        <f>(1+$D$18)^-T19</f>
        <v>0.00889241368738467</v>
      </c>
      <c r="U21" s="309">
        <f>(1+$D$18)^-U19</f>
        <v>0.00684031822106513</v>
      </c>
      <c r="V21" s="309">
        <f>(1+$D$18)^-V19</f>
        <v>0.00526178324697318</v>
      </c>
      <c r="W21" s="315"/>
      <c r="X21" s="31"/>
      <c r="Y21" s="31"/>
      <c r="Z21" s="31"/>
      <c r="AA21" s="31"/>
      <c r="AB21" s="31"/>
      <c r="AC21" s="31"/>
      <c r="AD21" s="31"/>
    </row>
    <row r="22" ht="30" spans="1:30">
      <c r="A22" s="186" t="s">
        <v>59</v>
      </c>
      <c r="B22" s="310">
        <f t="shared" ref="B22:V22" si="7">B20*B21</f>
        <v>0</v>
      </c>
      <c r="C22" s="310">
        <f t="shared" si="7"/>
        <v>-14.9787130769231</v>
      </c>
      <c r="D22" s="310">
        <f t="shared" si="7"/>
        <v>-11.5220869822485</v>
      </c>
      <c r="E22" s="310">
        <f t="shared" si="7"/>
        <v>-8.86314383249886</v>
      </c>
      <c r="F22" s="310">
        <f t="shared" si="7"/>
        <v>-6.81780294807606</v>
      </c>
      <c r="G22" s="310">
        <f t="shared" si="7"/>
        <v>28.8726527028519</v>
      </c>
      <c r="H22" s="310">
        <f t="shared" si="7"/>
        <v>22.2097328483476</v>
      </c>
      <c r="I22" s="310">
        <f t="shared" si="7"/>
        <v>17.0844098833443</v>
      </c>
      <c r="J22" s="310">
        <f t="shared" si="7"/>
        <v>13.1418537564188</v>
      </c>
      <c r="K22" s="310">
        <f t="shared" si="7"/>
        <v>10.1091182741682</v>
      </c>
      <c r="L22" s="310">
        <f t="shared" si="7"/>
        <v>7.77624482628326</v>
      </c>
      <c r="M22" s="310">
        <f t="shared" si="7"/>
        <v>5.98172678944866</v>
      </c>
      <c r="N22" s="310">
        <f t="shared" si="7"/>
        <v>4.60132829957589</v>
      </c>
      <c r="O22" s="310">
        <f t="shared" si="7"/>
        <v>3.53948330736608</v>
      </c>
      <c r="P22" s="310">
        <f t="shared" si="7"/>
        <v>2.72267946720467</v>
      </c>
      <c r="Q22" s="310">
        <f t="shared" si="7"/>
        <v>2.09436882092667</v>
      </c>
      <c r="R22" s="310">
        <f t="shared" si="7"/>
        <v>1.61105293917436</v>
      </c>
      <c r="S22" s="310">
        <f t="shared" si="7"/>
        <v>1.23927149167259</v>
      </c>
      <c r="T22" s="310">
        <f t="shared" si="7"/>
        <v>0.953285762825066</v>
      </c>
      <c r="U22" s="310">
        <f t="shared" si="7"/>
        <v>0.733296740634666</v>
      </c>
      <c r="V22" s="310">
        <f t="shared" si="7"/>
        <v>0.56407441587282</v>
      </c>
      <c r="W22" s="317">
        <f>SUM(B22:V22)</f>
        <v>81.052833486369</v>
      </c>
      <c r="X22" s="31"/>
      <c r="Y22" s="31"/>
      <c r="Z22" s="31"/>
      <c r="AA22" s="31"/>
      <c r="AB22" s="31"/>
      <c r="AC22" s="31"/>
      <c r="AD22" s="31"/>
    </row>
    <row r="23" spans="1:30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</row>
    <row r="24" spans="1:30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</row>
    <row r="25" spans="1:30">
      <c r="A25" s="188"/>
      <c r="B25" s="308" t="s">
        <v>55</v>
      </c>
      <c r="C25" s="35"/>
      <c r="D25" s="35">
        <f>D18+15%</f>
        <v>0.45</v>
      </c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314"/>
      <c r="S25" s="234"/>
      <c r="T25" s="234"/>
      <c r="U25" s="234"/>
      <c r="V25" s="234"/>
      <c r="W25" s="235" t="s">
        <v>56</v>
      </c>
      <c r="X25" s="31"/>
      <c r="Y25" s="31"/>
      <c r="Z25" s="31"/>
      <c r="AA25" s="31"/>
      <c r="AB25" s="31"/>
      <c r="AC25" s="31"/>
      <c r="AD25" s="31"/>
    </row>
    <row r="26" spans="1:30">
      <c r="A26" s="186" t="s">
        <v>34</v>
      </c>
      <c r="B26" s="31">
        <v>0</v>
      </c>
      <c r="C26" s="31">
        <v>1</v>
      </c>
      <c r="D26" s="31">
        <v>2</v>
      </c>
      <c r="E26" s="31">
        <v>3</v>
      </c>
      <c r="F26" s="31">
        <v>4</v>
      </c>
      <c r="G26" s="31">
        <v>5</v>
      </c>
      <c r="H26" s="31">
        <v>6</v>
      </c>
      <c r="I26" s="31">
        <v>7</v>
      </c>
      <c r="J26" s="31">
        <v>8</v>
      </c>
      <c r="K26" s="31">
        <v>9</v>
      </c>
      <c r="L26" s="31">
        <v>10</v>
      </c>
      <c r="M26" s="31">
        <v>11</v>
      </c>
      <c r="N26" s="31">
        <v>12</v>
      </c>
      <c r="O26" s="31">
        <v>13</v>
      </c>
      <c r="P26" s="31">
        <v>14</v>
      </c>
      <c r="Q26" s="31">
        <v>15</v>
      </c>
      <c r="R26" s="31">
        <v>16</v>
      </c>
      <c r="S26" s="31">
        <v>17</v>
      </c>
      <c r="T26" s="31">
        <v>18</v>
      </c>
      <c r="U26" s="31">
        <v>19</v>
      </c>
      <c r="V26" s="31">
        <v>20</v>
      </c>
      <c r="W26" s="315"/>
      <c r="X26" s="31"/>
      <c r="Y26" s="31"/>
      <c r="Z26" s="31"/>
      <c r="AA26" s="31"/>
      <c r="AB26" s="31"/>
      <c r="AC26" s="31"/>
      <c r="AD26" s="31"/>
    </row>
    <row r="27" ht="60" spans="1:30">
      <c r="A27" s="186" t="s">
        <v>57</v>
      </c>
      <c r="B27" s="309">
        <f t="shared" ref="B27:N27" si="8">B20</f>
        <v>0</v>
      </c>
      <c r="C27" s="309">
        <f t="shared" si="8"/>
        <v>-19.472327</v>
      </c>
      <c r="D27" s="309">
        <f t="shared" si="8"/>
        <v>-19.472327</v>
      </c>
      <c r="E27" s="309">
        <f t="shared" si="8"/>
        <v>-19.472327</v>
      </c>
      <c r="F27" s="309">
        <f t="shared" si="8"/>
        <v>-19.472327</v>
      </c>
      <c r="G27" s="309">
        <f t="shared" si="8"/>
        <v>107.2021384</v>
      </c>
      <c r="H27" s="309">
        <f t="shared" si="8"/>
        <v>107.2021384</v>
      </c>
      <c r="I27" s="309">
        <f t="shared" si="8"/>
        <v>107.2021384</v>
      </c>
      <c r="J27" s="309">
        <f t="shared" si="8"/>
        <v>107.2021384</v>
      </c>
      <c r="K27" s="309">
        <f t="shared" si="8"/>
        <v>107.2021384</v>
      </c>
      <c r="L27" s="309">
        <f t="shared" si="8"/>
        <v>107.2021384</v>
      </c>
      <c r="M27" s="309">
        <f t="shared" si="8"/>
        <v>107.2021384</v>
      </c>
      <c r="N27" s="309">
        <f t="shared" si="8"/>
        <v>107.2021384</v>
      </c>
      <c r="O27" s="309">
        <f t="shared" ref="O27:Q27" si="9">N20</f>
        <v>107.2021384</v>
      </c>
      <c r="P27" s="309">
        <f t="shared" si="9"/>
        <v>107.2021384</v>
      </c>
      <c r="Q27" s="309">
        <f t="shared" si="9"/>
        <v>107.2021384</v>
      </c>
      <c r="R27" s="309">
        <f t="shared" ref="R27:V27" si="10">R20</f>
        <v>107.2021384</v>
      </c>
      <c r="S27" s="309">
        <f t="shared" si="10"/>
        <v>107.2021384</v>
      </c>
      <c r="T27" s="309">
        <f t="shared" si="10"/>
        <v>107.2021384</v>
      </c>
      <c r="U27" s="309">
        <f t="shared" si="10"/>
        <v>107.2021384</v>
      </c>
      <c r="V27" s="309">
        <f t="shared" si="10"/>
        <v>107.2021384</v>
      </c>
      <c r="W27" s="315"/>
      <c r="X27" s="31"/>
      <c r="Y27" s="31"/>
      <c r="Z27" s="31"/>
      <c r="AA27" s="31"/>
      <c r="AB27" s="31"/>
      <c r="AC27" s="31"/>
      <c r="AD27" s="31"/>
    </row>
    <row r="28" ht="30" spans="1:30">
      <c r="A28" s="186" t="s">
        <v>58</v>
      </c>
      <c r="B28" s="309">
        <f>(1+$D$18)^-B26</f>
        <v>1</v>
      </c>
      <c r="C28" s="309">
        <f>(1+$D$25)^-C26</f>
        <v>0.689655172413793</v>
      </c>
      <c r="D28" s="309">
        <f>(1+$D$25)^-D26</f>
        <v>0.475624256837099</v>
      </c>
      <c r="E28" s="309">
        <f>(1+$D$25)^-E26</f>
        <v>0.328016728853171</v>
      </c>
      <c r="F28" s="309">
        <f>(1+$D$25)^-F26</f>
        <v>0.226218433691842</v>
      </c>
      <c r="G28" s="309">
        <f>(1+$D$25)^-G26</f>
        <v>0.156012712890926</v>
      </c>
      <c r="H28" s="309">
        <f>(1+$D$25)^-H26</f>
        <v>0.107594974407535</v>
      </c>
      <c r="I28" s="309">
        <f>(1+$D$25)^-I26</f>
        <v>0.0742034306258862</v>
      </c>
      <c r="J28" s="309">
        <f>(1+$D$25)^-J26</f>
        <v>0.0511747797419905</v>
      </c>
      <c r="K28" s="309">
        <f>(1+$D$25)^-K26</f>
        <v>0.0352929515462003</v>
      </c>
      <c r="L28" s="309">
        <f>(1+$D$25)^-L26</f>
        <v>0.0243399665835864</v>
      </c>
      <c r="M28" s="309">
        <f>(1+$D$25)^-M26</f>
        <v>0.0167861838507493</v>
      </c>
      <c r="N28" s="309">
        <f>(1+$D$25)^-N26</f>
        <v>0.0115766785177581</v>
      </c>
      <c r="O28" s="309">
        <f>(1+$D$25)^-O26</f>
        <v>0.00798391621914352</v>
      </c>
      <c r="P28" s="309">
        <f>(1+$D$25)^-P26</f>
        <v>0.0055061491166507</v>
      </c>
      <c r="Q28" s="309">
        <f>(1+$D$25)^-Q26</f>
        <v>0.00379734421837979</v>
      </c>
      <c r="R28" s="309">
        <f>(1+$D$25)^-R26</f>
        <v>0.00261885808164124</v>
      </c>
      <c r="S28" s="309">
        <f>(1+$D$25)^-S26</f>
        <v>0.00180610902182154</v>
      </c>
      <c r="T28" s="309">
        <f>(1+$D$25)^-T26</f>
        <v>0.00124559242884244</v>
      </c>
      <c r="U28" s="309">
        <f>(1+$D$25)^-U26</f>
        <v>0.00085902926127065</v>
      </c>
      <c r="V28" s="309">
        <f>(1+$D$25)^-V26</f>
        <v>0.000592433973290104</v>
      </c>
      <c r="W28" s="315"/>
      <c r="X28" s="31"/>
      <c r="Y28" s="31"/>
      <c r="Z28" s="31"/>
      <c r="AA28" s="31"/>
      <c r="AB28" s="31"/>
      <c r="AC28" s="31"/>
      <c r="AD28" s="31"/>
    </row>
    <row r="29" ht="30" spans="1:30">
      <c r="A29" s="186" t="s">
        <v>59</v>
      </c>
      <c r="B29" s="310">
        <f t="shared" ref="B29:V29" si="11">B27*B28</f>
        <v>0</v>
      </c>
      <c r="C29" s="310">
        <f t="shared" si="11"/>
        <v>-13.4291910344828</v>
      </c>
      <c r="D29" s="310">
        <f t="shared" si="11"/>
        <v>-9.26151105826398</v>
      </c>
      <c r="E29" s="310">
        <f t="shared" si="11"/>
        <v>-6.38724900569928</v>
      </c>
      <c r="F29" s="310">
        <f t="shared" si="11"/>
        <v>-4.40499931427537</v>
      </c>
      <c r="G29" s="310">
        <f t="shared" si="11"/>
        <v>16.7248964394925</v>
      </c>
      <c r="H29" s="310">
        <f t="shared" si="11"/>
        <v>11.534411337581</v>
      </c>
      <c r="I29" s="310">
        <f t="shared" si="11"/>
        <v>7.95476643971105</v>
      </c>
      <c r="J29" s="310">
        <f t="shared" si="11"/>
        <v>5.48604582049038</v>
      </c>
      <c r="K29" s="310">
        <f t="shared" si="11"/>
        <v>3.78347987620026</v>
      </c>
      <c r="L29" s="310">
        <f t="shared" si="11"/>
        <v>2.609296466345</v>
      </c>
      <c r="M29" s="310">
        <f t="shared" si="11"/>
        <v>1.79951480437587</v>
      </c>
      <c r="N29" s="310">
        <f t="shared" si="11"/>
        <v>1.24104469267301</v>
      </c>
      <c r="O29" s="310">
        <f t="shared" si="11"/>
        <v>0.855892891498628</v>
      </c>
      <c r="P29" s="310">
        <f t="shared" si="11"/>
        <v>0.590270959654226</v>
      </c>
      <c r="Q29" s="310">
        <f t="shared" si="11"/>
        <v>0.40708342045119</v>
      </c>
      <c r="R29" s="310">
        <f t="shared" si="11"/>
        <v>0.280747186518063</v>
      </c>
      <c r="S29" s="310">
        <f t="shared" si="11"/>
        <v>0.193618749322801</v>
      </c>
      <c r="T29" s="310">
        <f t="shared" si="11"/>
        <v>0.133530171946759</v>
      </c>
      <c r="U29" s="310">
        <f t="shared" si="11"/>
        <v>0.092089773756386</v>
      </c>
      <c r="V29" s="310">
        <f t="shared" si="11"/>
        <v>0.0635101887975076</v>
      </c>
      <c r="W29" s="317">
        <f>SUM(B29:V29)</f>
        <v>20.2672488060933</v>
      </c>
      <c r="X29" s="31"/>
      <c r="Y29" s="31"/>
      <c r="Z29" s="31"/>
      <c r="AA29" s="31"/>
      <c r="AB29" s="31"/>
      <c r="AC29" s="31"/>
      <c r="AD29" s="31"/>
    </row>
    <row r="30" spans="1: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</row>
    <row r="31" spans="1:30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</row>
    <row r="32" spans="1:30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</row>
    <row r="33" spans="1:30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</row>
    <row r="34" spans="1:23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</row>
    <row r="35" spans="1:23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</row>
    <row r="36" spans="1:23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</row>
    <row r="37" spans="1:23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</row>
    <row r="38" spans="1:2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</row>
    <row r="39" spans="1:2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</row>
    <row r="40" spans="1:2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</row>
    <row r="41" spans="1:2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</row>
    <row r="42" spans="1:23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</row>
    <row r="43" spans="1:2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</row>
    <row r="44" spans="1:23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</row>
    <row r="45" spans="1:23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</row>
    <row r="46" spans="1:23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</row>
    <row r="47" spans="1:23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</row>
    <row r="48" spans="1:23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</row>
    <row r="49" spans="1:23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</row>
    <row r="50" spans="1:23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</row>
    <row r="51" spans="1:23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</row>
    <row r="52" spans="1:23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</row>
    <row r="53" spans="1:2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</row>
    <row r="54" spans="1:23">
      <c r="A54" s="36" t="s">
        <v>60</v>
      </c>
      <c r="B54" s="36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</row>
    <row r="55" spans="1:23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</row>
    <row r="56" spans="1:23">
      <c r="A56" s="31"/>
      <c r="B56" s="213" t="s">
        <v>61</v>
      </c>
      <c r="C56" s="213"/>
      <c r="D56" s="311">
        <f>FORECAST(0,I61:J61,I60:J60)</f>
        <v>4.81202886474247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</row>
    <row r="57" spans="1:23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</row>
    <row r="58" spans="1:23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</row>
    <row r="59" spans="1:23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</row>
    <row r="60" ht="75" spans="1:23">
      <c r="A60" s="31"/>
      <c r="B60" s="186" t="s">
        <v>62</v>
      </c>
      <c r="C60" s="187">
        <f>'UREA SYNTHESIS 2'!Q4</f>
        <v>0</v>
      </c>
      <c r="D60" s="187">
        <f>'UREA SYNTHESIS 2'!Q5</f>
        <v>-17.7021154545455</v>
      </c>
      <c r="E60" s="187">
        <f>'UREA SYNTHESIS 2'!Q6</f>
        <v>-33.7949476859504</v>
      </c>
      <c r="F60" s="187">
        <f>'UREA SYNTHESIS 2'!Q7</f>
        <v>-48.4247951690458</v>
      </c>
      <c r="G60" s="187">
        <f>'UREA SYNTHESIS 2'!Q8</f>
        <v>-61.7246565173144</v>
      </c>
      <c r="H60" s="187">
        <f>'UREA SYNTHESIS 2'!Q9</f>
        <v>4.83943709278424</v>
      </c>
      <c r="I60" s="187">
        <f>'UREA SYNTHESIS 2'!Q10</f>
        <v>65.3522494656012</v>
      </c>
      <c r="J60" s="187">
        <f>'UREA SYNTHESIS 2'!Q11</f>
        <v>120.363897077253</v>
      </c>
      <c r="K60" s="187">
        <f>'UREA SYNTHESIS 2'!Q12</f>
        <v>170.374485815118</v>
      </c>
      <c r="L60" s="187">
        <f>'UREA SYNTHESIS 2'!Q13</f>
        <v>215.838657394996</v>
      </c>
      <c r="M60" s="187">
        <f>'UREA SYNTHESIS 2'!Q14</f>
        <v>257.169722467611</v>
      </c>
      <c r="N60" s="187">
        <f>'UREA SYNTHESIS 2'!Q15</f>
        <v>294.743417988171</v>
      </c>
      <c r="O60" s="187">
        <f>'UREA SYNTHESIS 2'!Q16</f>
        <v>328.901323006862</v>
      </c>
      <c r="P60" s="187">
        <f>'UREA SYNTHESIS 2'!Q17</f>
        <v>359.953963932945</v>
      </c>
      <c r="Q60" s="187">
        <f>'UREA SYNTHESIS 2'!Q18</f>
        <v>388.183637502111</v>
      </c>
      <c r="R60" s="187">
        <f>'UREA SYNTHESIS 2'!Q19</f>
        <v>413.846977110443</v>
      </c>
      <c r="S60" s="187">
        <f>'UREA SYNTHESIS 2'!Q20</f>
        <v>437.177285845291</v>
      </c>
      <c r="T60" s="187">
        <f>'UREA SYNTHESIS 2'!Q21</f>
        <v>458.386657422426</v>
      </c>
      <c r="U60" s="187">
        <f>'UREA SYNTHESIS 2'!Q22</f>
        <v>477.66790431073</v>
      </c>
      <c r="V60" s="187">
        <f>'UREA SYNTHESIS 2'!Q23</f>
        <v>495.196310572825</v>
      </c>
      <c r="W60" s="187">
        <f>'UREA SYNTHESIS 2'!Q24</f>
        <v>511.131225356547</v>
      </c>
    </row>
    <row r="61" spans="1:23">
      <c r="A61" s="31"/>
      <c r="B61" s="188" t="s">
        <v>34</v>
      </c>
      <c r="C61" s="188">
        <v>0</v>
      </c>
      <c r="D61" s="188">
        <v>1</v>
      </c>
      <c r="E61" s="188">
        <v>2</v>
      </c>
      <c r="F61" s="188">
        <v>3</v>
      </c>
      <c r="G61" s="188">
        <v>4</v>
      </c>
      <c r="H61" s="188">
        <v>5</v>
      </c>
      <c r="I61" s="188">
        <v>6</v>
      </c>
      <c r="J61" s="188">
        <v>7</v>
      </c>
      <c r="K61" s="188">
        <v>8</v>
      </c>
      <c r="L61" s="188">
        <v>9</v>
      </c>
      <c r="M61" s="188">
        <v>10</v>
      </c>
      <c r="N61" s="188">
        <v>11</v>
      </c>
      <c r="O61" s="188">
        <v>12</v>
      </c>
      <c r="P61" s="188">
        <v>13</v>
      </c>
      <c r="Q61" s="188">
        <v>14</v>
      </c>
      <c r="R61" s="188">
        <v>15</v>
      </c>
      <c r="S61" s="188">
        <v>16</v>
      </c>
      <c r="T61" s="188">
        <v>17</v>
      </c>
      <c r="U61" s="188">
        <v>18</v>
      </c>
      <c r="V61" s="188">
        <v>19</v>
      </c>
      <c r="W61" s="188">
        <v>20</v>
      </c>
    </row>
    <row r="62" ht="75" spans="1:23">
      <c r="A62" s="31"/>
      <c r="B62" s="186" t="s">
        <v>62</v>
      </c>
      <c r="C62" s="312">
        <f t="shared" ref="C62:W62" si="12">C60</f>
        <v>0</v>
      </c>
      <c r="D62" s="312">
        <f t="shared" si="12"/>
        <v>-17.7021154545455</v>
      </c>
      <c r="E62" s="312">
        <f t="shared" si="12"/>
        <v>-33.7949476859504</v>
      </c>
      <c r="F62" s="312">
        <f t="shared" si="12"/>
        <v>-48.4247951690458</v>
      </c>
      <c r="G62" s="312">
        <f t="shared" si="12"/>
        <v>-61.7246565173144</v>
      </c>
      <c r="H62" s="312">
        <f t="shared" si="12"/>
        <v>4.83943709278424</v>
      </c>
      <c r="I62" s="312">
        <f t="shared" si="12"/>
        <v>65.3522494656012</v>
      </c>
      <c r="J62" s="312">
        <f t="shared" si="12"/>
        <v>120.363897077253</v>
      </c>
      <c r="K62" s="312">
        <f t="shared" si="12"/>
        <v>170.374485815118</v>
      </c>
      <c r="L62" s="312">
        <f t="shared" si="12"/>
        <v>215.838657394996</v>
      </c>
      <c r="M62" s="312">
        <f t="shared" si="12"/>
        <v>257.169722467611</v>
      </c>
      <c r="N62" s="312">
        <f t="shared" si="12"/>
        <v>294.743417988171</v>
      </c>
      <c r="O62" s="312">
        <f t="shared" si="12"/>
        <v>328.901323006862</v>
      </c>
      <c r="P62" s="312">
        <f t="shared" si="12"/>
        <v>359.953963932945</v>
      </c>
      <c r="Q62" s="312">
        <f t="shared" si="12"/>
        <v>388.183637502111</v>
      </c>
      <c r="R62" s="312">
        <f t="shared" si="12"/>
        <v>413.846977110443</v>
      </c>
      <c r="S62" s="312">
        <f t="shared" si="12"/>
        <v>437.177285845291</v>
      </c>
      <c r="T62" s="312">
        <f t="shared" si="12"/>
        <v>458.386657422426</v>
      </c>
      <c r="U62" s="312">
        <f t="shared" si="12"/>
        <v>477.66790431073</v>
      </c>
      <c r="V62" s="312">
        <f t="shared" si="12"/>
        <v>495.196310572825</v>
      </c>
      <c r="W62" s="312">
        <f t="shared" si="12"/>
        <v>511.131225356547</v>
      </c>
    </row>
    <row r="63" spans="1:2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</row>
    <row r="64" spans="1:23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</row>
    <row r="67" spans="1:23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</row>
    <row r="68" spans="1:23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</row>
    <row r="72" spans="1:2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</row>
    <row r="80" spans="1:23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</row>
    <row r="81" spans="1:23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</row>
    <row r="82" spans="1:23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</row>
    <row r="83" spans="1:2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</row>
    <row r="84" spans="1:23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</row>
    <row r="85" spans="1:23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</row>
    <row r="86" spans="1:23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</row>
    <row r="87" spans="1:23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</row>
    <row r="88" spans="1:23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</row>
    <row r="89" spans="1:23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</row>
    <row r="90" spans="1:23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</row>
    <row r="91" spans="1:23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</row>
    <row r="92" spans="1:23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</row>
    <row r="93" spans="1:2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</row>
    <row r="94" spans="1:23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'UREA SYNTHESIS'!K16</f>
        <v>0.1</v>
      </c>
      <c r="D104" s="33"/>
    </row>
    <row r="105" spans="1:4">
      <c r="A105" s="31"/>
      <c r="B105" s="33" t="s">
        <v>72</v>
      </c>
      <c r="C105" s="33">
        <f>'UREA SYNTHESIS'!F8</f>
        <v>8.11395458597724</v>
      </c>
      <c r="D105" s="33" t="s">
        <v>73</v>
      </c>
    </row>
    <row r="106" spans="1:4">
      <c r="A106" s="31"/>
      <c r="B106" s="33" t="s">
        <v>74</v>
      </c>
      <c r="C106" s="33">
        <f>C7</f>
        <v>511.131225356547</v>
      </c>
      <c r="D106" s="33" t="s">
        <v>73</v>
      </c>
    </row>
    <row r="107" spans="1:4">
      <c r="A107" s="31"/>
      <c r="B107" s="33" t="s">
        <v>66</v>
      </c>
      <c r="C107" s="33">
        <f>'UREA SYNTHESIS'!F8</f>
        <v>8.11395458597724</v>
      </c>
      <c r="D107" s="33"/>
    </row>
    <row r="108" spans="1:4">
      <c r="A108" s="31"/>
      <c r="B108" s="35" t="s">
        <v>64</v>
      </c>
      <c r="C108" s="35">
        <f>C106/C107</f>
        <v>62.9940949188818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62.9940949188818</v>
      </c>
      <c r="D113" s="31"/>
    </row>
    <row r="114" spans="1:4">
      <c r="A114" s="31"/>
      <c r="B114" s="37" t="s">
        <v>76</v>
      </c>
      <c r="C114" s="37">
        <f>1+C113</f>
        <v>63.9940949188818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511.131225356547</v>
      </c>
    </row>
    <row r="123" spans="1:3">
      <c r="A123" s="3" t="s">
        <v>83</v>
      </c>
      <c r="B123" s="3"/>
      <c r="C123">
        <f>FORECAST(0,C125:E125,C126:E126)</f>
        <v>288.074889011783</v>
      </c>
    </row>
    <row r="125" spans="2:5">
      <c r="B125" t="s">
        <v>84</v>
      </c>
      <c r="C125" s="6">
        <f>'UREA SYNTHESIS'!L7</f>
        <v>265</v>
      </c>
      <c r="D125" s="6">
        <f>B131</f>
        <v>215</v>
      </c>
      <c r="E125" s="6">
        <f>B155</f>
        <v>165</v>
      </c>
    </row>
    <row r="126" spans="2:5">
      <c r="B126" t="s">
        <v>54</v>
      </c>
      <c r="C126" s="6">
        <f>'UREA SYNTHESIS 2'!Q24</f>
        <v>511.131225356547</v>
      </c>
      <c r="D126" s="6">
        <f>Q153</f>
        <v>1241.18787304693</v>
      </c>
      <c r="E126" s="6">
        <f>Q177</f>
        <v>949.411017243364</v>
      </c>
    </row>
    <row r="131" spans="1:17">
      <c r="A131" s="33" t="s">
        <v>85</v>
      </c>
      <c r="B131" s="33">
        <f>C125-50</f>
        <v>215</v>
      </c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</row>
    <row r="132" ht="45" spans="1:17">
      <c r="A132" s="58" t="s">
        <v>34</v>
      </c>
      <c r="B132" s="59" t="s">
        <v>35</v>
      </c>
      <c r="C132" s="59" t="s">
        <v>36</v>
      </c>
      <c r="D132" s="59" t="s">
        <v>86</v>
      </c>
      <c r="E132" s="59" t="s">
        <v>87</v>
      </c>
      <c r="F132" s="59" t="s">
        <v>88</v>
      </c>
      <c r="G132" s="59" t="s">
        <v>40</v>
      </c>
      <c r="H132" s="59" t="s">
        <v>89</v>
      </c>
      <c r="I132" s="59" t="s">
        <v>90</v>
      </c>
      <c r="J132" s="59" t="s">
        <v>91</v>
      </c>
      <c r="K132" s="66" t="s">
        <v>92</v>
      </c>
      <c r="L132" s="67" t="s">
        <v>93</v>
      </c>
      <c r="M132" s="67" t="s">
        <v>94</v>
      </c>
      <c r="N132" s="67" t="s">
        <v>95</v>
      </c>
      <c r="O132" s="67" t="s">
        <v>48</v>
      </c>
      <c r="P132" s="67" t="s">
        <v>96</v>
      </c>
      <c r="Q132" s="67" t="s">
        <v>97</v>
      </c>
    </row>
    <row r="133" spans="1:17">
      <c r="A133" s="60">
        <v>0</v>
      </c>
      <c r="B133" s="61"/>
      <c r="C133" s="62"/>
      <c r="D133" s="63"/>
      <c r="E133" s="62"/>
      <c r="F133" s="62"/>
      <c r="G133" s="62">
        <f>'UREA SYNTHESIS'!F8</f>
        <v>8.11395458597724</v>
      </c>
      <c r="H133" s="62"/>
      <c r="I133" s="62"/>
      <c r="J133" s="62"/>
      <c r="K133" s="33">
        <f>J133</f>
        <v>0</v>
      </c>
      <c r="L133" s="68">
        <f>IF(K133&gt;0,K133*'UREA SYNTHESIS'!$K$15,0)</f>
        <v>0</v>
      </c>
      <c r="M133" s="33">
        <f t="shared" ref="M133:M153" si="13">I133-L133</f>
        <v>0</v>
      </c>
      <c r="N133" s="33">
        <v>0</v>
      </c>
      <c r="O133" s="33">
        <f>(1+'UREA SYNTHESIS'!$K$16)^-A133</f>
        <v>1</v>
      </c>
      <c r="P133" s="69">
        <f>N133*O133</f>
        <v>0</v>
      </c>
      <c r="Q133" s="287">
        <f>P133</f>
        <v>0</v>
      </c>
    </row>
    <row r="134" spans="1:17">
      <c r="A134" s="35">
        <v>1</v>
      </c>
      <c r="B134" s="33">
        <f>'UREA SYNTHESIS'!$L$6</f>
        <v>856800</v>
      </c>
      <c r="C134" s="33">
        <f>B131</f>
        <v>215</v>
      </c>
      <c r="D134" s="33">
        <f t="shared" ref="D134:D153" si="14">B134*C134/10^6</f>
        <v>184.212</v>
      </c>
      <c r="E134" s="33">
        <f>'UREA SYNTHESIS'!$F$17</f>
        <v>1.21990307567256</v>
      </c>
      <c r="F134" s="33">
        <f t="shared" ref="F134:F153" si="15">D134-E134</f>
        <v>182.992096924327</v>
      </c>
      <c r="G134" s="33"/>
      <c r="H134" s="33">
        <f>'UREA SYNTHESIS'!$F$8/'UREA SYNTHESIS'!$K$12</f>
        <v>2.02848864649431</v>
      </c>
      <c r="I134" s="33">
        <f t="shared" ref="I134:I153" si="16">F134-H134</f>
        <v>180.963608277833</v>
      </c>
      <c r="J134" s="33">
        <f t="shared" ref="J134:J141" si="17">IF(J133+I134&lt;0,J133+I134,0)</f>
        <v>0</v>
      </c>
      <c r="K134" s="33">
        <f>IF(J134&lt;0,J134,I134)</f>
        <v>180.963608277833</v>
      </c>
      <c r="L134" s="68">
        <f>IF(K134&gt;0,K134*'UREA SYNTHESIS'!$K$15,0)</f>
        <v>36.1927216555666</v>
      </c>
      <c r="M134" s="33">
        <f t="shared" si="13"/>
        <v>144.770886622266</v>
      </c>
      <c r="N134" s="33">
        <f t="shared" ref="N134:N153" si="18">N133+M134</f>
        <v>144.770886622266</v>
      </c>
      <c r="O134" s="33">
        <f>(1+'UREA SYNTHESIS'!$K$16)^-A134</f>
        <v>0.909090909090909</v>
      </c>
      <c r="P134" s="69">
        <f t="shared" ref="P134:P153" si="19">M134*O134</f>
        <v>131.609896929333</v>
      </c>
      <c r="Q134" s="312">
        <f t="shared" ref="Q134:Q153" si="20">Q133+P134</f>
        <v>131.609896929333</v>
      </c>
    </row>
    <row r="135" spans="1:17">
      <c r="A135" s="60">
        <v>2</v>
      </c>
      <c r="B135" s="33">
        <f>'UREA SYNTHESIS'!$L$6</f>
        <v>856800</v>
      </c>
      <c r="C135" s="33">
        <f t="shared" ref="C135:C153" si="21">$C$134</f>
        <v>215</v>
      </c>
      <c r="D135" s="33">
        <f t="shared" si="14"/>
        <v>184.212</v>
      </c>
      <c r="E135" s="33">
        <f>'UREA SYNTHESIS'!$F$17</f>
        <v>1.21990307567256</v>
      </c>
      <c r="F135" s="33">
        <f t="shared" si="15"/>
        <v>182.992096924327</v>
      </c>
      <c r="G135" s="33"/>
      <c r="H135" s="33">
        <f>'UREA SYNTHESIS'!$F$8/'UREA SYNTHESIS'!$K$12</f>
        <v>2.02848864649431</v>
      </c>
      <c r="I135" s="33">
        <f t="shared" si="16"/>
        <v>180.963608277833</v>
      </c>
      <c r="J135" s="33">
        <f t="shared" si="17"/>
        <v>0</v>
      </c>
      <c r="K135" s="33">
        <f t="shared" ref="K135:K153" si="22">IF(J135&lt;0,J135,I135)</f>
        <v>180.963608277833</v>
      </c>
      <c r="L135" s="68">
        <f>IF(K135&gt;0,K135*'UREA SYNTHESIS'!$K$15,0)</f>
        <v>36.1927216555666</v>
      </c>
      <c r="M135" s="33">
        <f t="shared" si="13"/>
        <v>144.770886622266</v>
      </c>
      <c r="N135" s="33">
        <f t="shared" si="18"/>
        <v>289.541773244533</v>
      </c>
      <c r="O135" s="33">
        <f>(1+'UREA SYNTHESIS'!$K$16)^-A135</f>
        <v>0.826446280991735</v>
      </c>
      <c r="P135" s="69">
        <f t="shared" si="19"/>
        <v>119.645360844848</v>
      </c>
      <c r="Q135" s="312">
        <f t="shared" si="20"/>
        <v>251.255257774181</v>
      </c>
    </row>
    <row r="136" spans="1:17">
      <c r="A136" s="35">
        <v>3</v>
      </c>
      <c r="B136" s="33">
        <f>'UREA SYNTHESIS'!$L$6</f>
        <v>856800</v>
      </c>
      <c r="C136" s="33">
        <f t="shared" si="21"/>
        <v>215</v>
      </c>
      <c r="D136" s="33">
        <f t="shared" si="14"/>
        <v>184.212</v>
      </c>
      <c r="E136" s="33">
        <f>'UREA SYNTHESIS'!$F$17</f>
        <v>1.21990307567256</v>
      </c>
      <c r="F136" s="33">
        <f t="shared" si="15"/>
        <v>182.992096924327</v>
      </c>
      <c r="G136" s="33"/>
      <c r="H136" s="33">
        <f>'UREA SYNTHESIS'!$F$8/'UREA SYNTHESIS'!$K$12</f>
        <v>2.02848864649431</v>
      </c>
      <c r="I136" s="33">
        <f t="shared" si="16"/>
        <v>180.963608277833</v>
      </c>
      <c r="J136" s="33">
        <f t="shared" si="17"/>
        <v>0</v>
      </c>
      <c r="K136" s="33">
        <f t="shared" si="22"/>
        <v>180.963608277833</v>
      </c>
      <c r="L136" s="68">
        <f>IF(K136&gt;0,K136*'UREA SYNTHESIS'!$K$15,0)</f>
        <v>36.1927216555666</v>
      </c>
      <c r="M136" s="33">
        <f t="shared" si="13"/>
        <v>144.770886622266</v>
      </c>
      <c r="N136" s="33">
        <f t="shared" si="18"/>
        <v>434.312659866799</v>
      </c>
      <c r="O136" s="33">
        <f>(1+'UREA SYNTHESIS'!$K$16)^-A136</f>
        <v>0.751314800901578</v>
      </c>
      <c r="P136" s="69">
        <f t="shared" si="19"/>
        <v>108.768509858953</v>
      </c>
      <c r="Q136" s="312">
        <f t="shared" si="20"/>
        <v>360.023767633134</v>
      </c>
    </row>
    <row r="137" spans="1:17">
      <c r="A137" s="60">
        <v>4</v>
      </c>
      <c r="B137" s="33">
        <f>'UREA SYNTHESIS'!$L$6</f>
        <v>856800</v>
      </c>
      <c r="C137" s="33">
        <f t="shared" si="21"/>
        <v>215</v>
      </c>
      <c r="D137" s="33">
        <f t="shared" si="14"/>
        <v>184.212</v>
      </c>
      <c r="E137" s="33">
        <f>'UREA SYNTHESIS'!$F$17</f>
        <v>1.21990307567256</v>
      </c>
      <c r="F137" s="33">
        <f t="shared" si="15"/>
        <v>182.992096924327</v>
      </c>
      <c r="G137" s="33"/>
      <c r="H137" s="33">
        <f>'UREA SYNTHESIS'!$F$8/'UREA SYNTHESIS'!$K$12</f>
        <v>2.02848864649431</v>
      </c>
      <c r="I137" s="33">
        <f t="shared" si="16"/>
        <v>180.963608277833</v>
      </c>
      <c r="J137" s="33">
        <f t="shared" si="17"/>
        <v>0</v>
      </c>
      <c r="K137" s="33">
        <f t="shared" si="22"/>
        <v>180.963608277833</v>
      </c>
      <c r="L137" s="68">
        <f>IF(K137&gt;0,K137*'UREA SYNTHESIS'!$K$15,0)</f>
        <v>36.1927216555666</v>
      </c>
      <c r="M137" s="33">
        <f t="shared" si="13"/>
        <v>144.770886622266</v>
      </c>
      <c r="N137" s="33">
        <f t="shared" si="18"/>
        <v>579.083546489066</v>
      </c>
      <c r="O137" s="33">
        <f>(1+'UREA SYNTHESIS'!$K$16)^-A137</f>
        <v>0.683013455365071</v>
      </c>
      <c r="P137" s="69">
        <f t="shared" si="19"/>
        <v>98.8804635081392</v>
      </c>
      <c r="Q137" s="312">
        <f t="shared" si="20"/>
        <v>458.904231141274</v>
      </c>
    </row>
    <row r="138" spans="1:17">
      <c r="A138" s="35">
        <v>5</v>
      </c>
      <c r="B138" s="33">
        <f>'UREA SYNTHESIS'!$L$6</f>
        <v>856800</v>
      </c>
      <c r="C138" s="33">
        <f t="shared" si="21"/>
        <v>215</v>
      </c>
      <c r="D138" s="33">
        <f t="shared" si="14"/>
        <v>184.212</v>
      </c>
      <c r="E138" s="33">
        <f>'UREA SYNTHESIS'!$F$17</f>
        <v>1.21990307567256</v>
      </c>
      <c r="F138" s="33">
        <f t="shared" si="15"/>
        <v>182.992096924327</v>
      </c>
      <c r="G138" s="33"/>
      <c r="H138" s="33"/>
      <c r="I138" s="33">
        <f t="shared" si="16"/>
        <v>182.992096924327</v>
      </c>
      <c r="J138" s="33">
        <f t="shared" si="17"/>
        <v>0</v>
      </c>
      <c r="K138" s="33">
        <f t="shared" si="22"/>
        <v>182.992096924327</v>
      </c>
      <c r="L138" s="68">
        <f>IF(K138&gt;0,K138*'UREA SYNTHESIS'!$K$15,0)</f>
        <v>36.5984193848655</v>
      </c>
      <c r="M138" s="33">
        <f t="shared" si="13"/>
        <v>146.393677539462</v>
      </c>
      <c r="N138" s="33">
        <f t="shared" si="18"/>
        <v>725.477224028528</v>
      </c>
      <c r="O138" s="33">
        <f>(1+'UREA SYNTHESIS'!$K$16)^-A138</f>
        <v>0.620921323059155</v>
      </c>
      <c r="P138" s="69">
        <f t="shared" si="19"/>
        <v>90.898955945298</v>
      </c>
      <c r="Q138" s="312">
        <f t="shared" si="20"/>
        <v>549.803187086572</v>
      </c>
    </row>
    <row r="139" spans="1:17">
      <c r="A139" s="60">
        <v>6</v>
      </c>
      <c r="B139" s="33">
        <f>'UREA SYNTHESIS'!$L$6</f>
        <v>856800</v>
      </c>
      <c r="C139" s="33">
        <f t="shared" si="21"/>
        <v>215</v>
      </c>
      <c r="D139" s="33">
        <f t="shared" si="14"/>
        <v>184.212</v>
      </c>
      <c r="E139" s="33">
        <f>'UREA SYNTHESIS'!$F$17</f>
        <v>1.21990307567256</v>
      </c>
      <c r="F139" s="33">
        <f t="shared" si="15"/>
        <v>182.992096924327</v>
      </c>
      <c r="G139" s="33"/>
      <c r="H139" s="33"/>
      <c r="I139" s="33">
        <f t="shared" si="16"/>
        <v>182.992096924327</v>
      </c>
      <c r="J139" s="33">
        <f t="shared" si="17"/>
        <v>0</v>
      </c>
      <c r="K139" s="33">
        <f t="shared" si="22"/>
        <v>182.992096924327</v>
      </c>
      <c r="L139" s="68">
        <f>IF(K139&gt;0,K139*'UREA SYNTHESIS'!$K$15,0)</f>
        <v>36.5984193848655</v>
      </c>
      <c r="M139" s="33">
        <f t="shared" si="13"/>
        <v>146.393677539462</v>
      </c>
      <c r="N139" s="33">
        <f t="shared" si="18"/>
        <v>871.87090156799</v>
      </c>
      <c r="O139" s="33">
        <f>(1+'UREA SYNTHESIS'!$K$16)^-A139</f>
        <v>0.564473930053777</v>
      </c>
      <c r="P139" s="69">
        <f t="shared" si="19"/>
        <v>82.6354144957254</v>
      </c>
      <c r="Q139" s="312">
        <f t="shared" si="20"/>
        <v>632.438601582297</v>
      </c>
    </row>
    <row r="140" spans="1:17">
      <c r="A140" s="35">
        <v>7</v>
      </c>
      <c r="B140" s="33">
        <f>'UREA SYNTHESIS'!$L$6</f>
        <v>856800</v>
      </c>
      <c r="C140" s="33">
        <f t="shared" si="21"/>
        <v>215</v>
      </c>
      <c r="D140" s="33">
        <f t="shared" si="14"/>
        <v>184.212</v>
      </c>
      <c r="E140" s="33">
        <f>'UREA SYNTHESIS'!$F$17</f>
        <v>1.21990307567256</v>
      </c>
      <c r="F140" s="33">
        <f t="shared" si="15"/>
        <v>182.992096924327</v>
      </c>
      <c r="G140" s="33"/>
      <c r="H140" s="33"/>
      <c r="I140" s="33">
        <f t="shared" si="16"/>
        <v>182.992096924327</v>
      </c>
      <c r="J140" s="33">
        <f t="shared" si="17"/>
        <v>0</v>
      </c>
      <c r="K140" s="33">
        <f t="shared" si="22"/>
        <v>182.992096924327</v>
      </c>
      <c r="L140" s="68">
        <f>IF(K140&gt;0,K140*'UREA SYNTHESIS'!$K$15,0)</f>
        <v>36.5984193848655</v>
      </c>
      <c r="M140" s="33">
        <f t="shared" si="13"/>
        <v>146.393677539462</v>
      </c>
      <c r="N140" s="33">
        <f t="shared" si="18"/>
        <v>1018.26457910745</v>
      </c>
      <c r="O140" s="33">
        <f>(1+'UREA SYNTHESIS'!$K$16)^-A140</f>
        <v>0.513158118230706</v>
      </c>
      <c r="P140" s="69">
        <f t="shared" si="19"/>
        <v>75.1231040870231</v>
      </c>
      <c r="Q140" s="312">
        <f t="shared" si="20"/>
        <v>707.56170566932</v>
      </c>
    </row>
    <row r="141" spans="1:17">
      <c r="A141" s="60">
        <v>8</v>
      </c>
      <c r="B141" s="33">
        <f>'UREA SYNTHESIS'!$L$6</f>
        <v>856800</v>
      </c>
      <c r="C141" s="33">
        <f t="shared" si="21"/>
        <v>215</v>
      </c>
      <c r="D141" s="33">
        <f t="shared" si="14"/>
        <v>184.212</v>
      </c>
      <c r="E141" s="33">
        <f>'UREA SYNTHESIS'!$F$17</f>
        <v>1.21990307567256</v>
      </c>
      <c r="F141" s="33">
        <f t="shared" si="15"/>
        <v>182.992096924327</v>
      </c>
      <c r="G141" s="33"/>
      <c r="H141" s="33"/>
      <c r="I141" s="33">
        <f t="shared" si="16"/>
        <v>182.992096924327</v>
      </c>
      <c r="J141" s="33">
        <f t="shared" si="17"/>
        <v>0</v>
      </c>
      <c r="K141" s="33">
        <f t="shared" si="22"/>
        <v>182.992096924327</v>
      </c>
      <c r="L141" s="68">
        <f>IF(K141&gt;0,K141*'UREA SYNTHESIS'!$K$15,0)</f>
        <v>36.5984193848655</v>
      </c>
      <c r="M141" s="33">
        <f t="shared" si="13"/>
        <v>146.393677539462</v>
      </c>
      <c r="N141" s="33">
        <f t="shared" si="18"/>
        <v>1164.65825664691</v>
      </c>
      <c r="O141" s="33">
        <f>(1+'UREA SYNTHESIS'!$K$16)^-A141</f>
        <v>0.466507380209733</v>
      </c>
      <c r="P141" s="69">
        <f t="shared" si="19"/>
        <v>68.2937309882028</v>
      </c>
      <c r="Q141" s="312">
        <f t="shared" si="20"/>
        <v>775.855436657523</v>
      </c>
    </row>
    <row r="142" spans="1:17">
      <c r="A142" s="35">
        <v>9</v>
      </c>
      <c r="B142" s="33">
        <f>'UREA SYNTHESIS'!$L$6</f>
        <v>856800</v>
      </c>
      <c r="C142" s="33">
        <f t="shared" si="21"/>
        <v>215</v>
      </c>
      <c r="D142" s="33">
        <f t="shared" si="14"/>
        <v>184.212</v>
      </c>
      <c r="E142" s="33">
        <f>'UREA SYNTHESIS'!$F$17</f>
        <v>1.21990307567256</v>
      </c>
      <c r="F142" s="33">
        <f t="shared" si="15"/>
        <v>182.992096924327</v>
      </c>
      <c r="G142" s="33"/>
      <c r="H142" s="33"/>
      <c r="I142" s="33">
        <f t="shared" si="16"/>
        <v>182.992096924327</v>
      </c>
      <c r="J142" s="33">
        <f t="shared" ref="J142:J168" si="23">IF(J141+I142&lt;0,J141+I142,0)</f>
        <v>0</v>
      </c>
      <c r="K142" s="33">
        <f t="shared" si="22"/>
        <v>182.992096924327</v>
      </c>
      <c r="L142" s="68">
        <f>IF(K142&gt;0,K142*'UREA SYNTHESIS'!$K$15,0)</f>
        <v>36.5984193848655</v>
      </c>
      <c r="M142" s="33">
        <f t="shared" si="13"/>
        <v>146.393677539462</v>
      </c>
      <c r="N142" s="33">
        <f t="shared" si="18"/>
        <v>1311.05193418638</v>
      </c>
      <c r="O142" s="33">
        <f>(1+'UREA SYNTHESIS'!$K$16)^-A142</f>
        <v>0.424097618372485</v>
      </c>
      <c r="P142" s="69">
        <f t="shared" si="19"/>
        <v>62.0852099892754</v>
      </c>
      <c r="Q142" s="312">
        <f t="shared" si="20"/>
        <v>837.940646646798</v>
      </c>
    </row>
    <row r="143" spans="1:17">
      <c r="A143" s="60">
        <v>10</v>
      </c>
      <c r="B143" s="33">
        <f>'UREA SYNTHESIS'!$L$6</f>
        <v>856800</v>
      </c>
      <c r="C143" s="33">
        <f t="shared" si="21"/>
        <v>215</v>
      </c>
      <c r="D143" s="33">
        <f t="shared" si="14"/>
        <v>184.212</v>
      </c>
      <c r="E143" s="33">
        <f>'UREA SYNTHESIS'!$F$17</f>
        <v>1.21990307567256</v>
      </c>
      <c r="F143" s="33">
        <f t="shared" si="15"/>
        <v>182.992096924327</v>
      </c>
      <c r="G143" s="33"/>
      <c r="H143" s="33"/>
      <c r="I143" s="33">
        <f t="shared" si="16"/>
        <v>182.992096924327</v>
      </c>
      <c r="J143" s="33">
        <f t="shared" si="23"/>
        <v>0</v>
      </c>
      <c r="K143" s="33">
        <f t="shared" si="22"/>
        <v>182.992096924327</v>
      </c>
      <c r="L143" s="68">
        <f>IF(K143&gt;0,K143*'UREA SYNTHESIS'!$K$15,0)</f>
        <v>36.5984193848655</v>
      </c>
      <c r="M143" s="33">
        <f t="shared" si="13"/>
        <v>146.393677539462</v>
      </c>
      <c r="N143" s="33">
        <f t="shared" si="18"/>
        <v>1457.44561172584</v>
      </c>
      <c r="O143" s="33">
        <f>(1+'UREA SYNTHESIS'!$K$16)^-A143</f>
        <v>0.385543289429531</v>
      </c>
      <c r="P143" s="69">
        <f t="shared" si="19"/>
        <v>56.4410999902502</v>
      </c>
      <c r="Q143" s="312">
        <f t="shared" si="20"/>
        <v>894.381746637048</v>
      </c>
    </row>
    <row r="144" spans="1:17">
      <c r="A144" s="35">
        <v>11</v>
      </c>
      <c r="B144" s="33">
        <f>'UREA SYNTHESIS'!$L$6</f>
        <v>856800</v>
      </c>
      <c r="C144" s="33">
        <f t="shared" si="21"/>
        <v>215</v>
      </c>
      <c r="D144" s="33">
        <f t="shared" si="14"/>
        <v>184.212</v>
      </c>
      <c r="E144" s="33">
        <f>'UREA SYNTHESIS'!$F$17</f>
        <v>1.21990307567256</v>
      </c>
      <c r="F144" s="33">
        <f t="shared" si="15"/>
        <v>182.992096924327</v>
      </c>
      <c r="G144" s="33"/>
      <c r="H144" s="33"/>
      <c r="I144" s="33">
        <f t="shared" si="16"/>
        <v>182.992096924327</v>
      </c>
      <c r="J144" s="33">
        <f t="shared" si="23"/>
        <v>0</v>
      </c>
      <c r="K144" s="33">
        <f t="shared" si="22"/>
        <v>182.992096924327</v>
      </c>
      <c r="L144" s="68">
        <f>IF(K144&gt;0,K144*'UREA SYNTHESIS'!$K$15,0)</f>
        <v>36.5984193848655</v>
      </c>
      <c r="M144" s="33">
        <f t="shared" si="13"/>
        <v>146.393677539462</v>
      </c>
      <c r="N144" s="33">
        <f t="shared" si="18"/>
        <v>1603.8392892653</v>
      </c>
      <c r="O144" s="33">
        <f>(1+'UREA SYNTHESIS'!$K$16)^-A144</f>
        <v>0.350493899481392</v>
      </c>
      <c r="P144" s="69">
        <f t="shared" si="19"/>
        <v>51.3100909002275</v>
      </c>
      <c r="Q144" s="312">
        <f t="shared" si="20"/>
        <v>945.691837537276</v>
      </c>
    </row>
    <row r="145" spans="1:17">
      <c r="A145" s="60">
        <v>12</v>
      </c>
      <c r="B145" s="33">
        <f>'UREA SYNTHESIS'!$L$6</f>
        <v>856800</v>
      </c>
      <c r="C145" s="33">
        <f t="shared" si="21"/>
        <v>215</v>
      </c>
      <c r="D145" s="33">
        <f t="shared" si="14"/>
        <v>184.212</v>
      </c>
      <c r="E145" s="33">
        <f>'UREA SYNTHESIS'!$F$17</f>
        <v>1.21990307567256</v>
      </c>
      <c r="F145" s="33">
        <f t="shared" si="15"/>
        <v>182.992096924327</v>
      </c>
      <c r="G145" s="33"/>
      <c r="H145" s="33"/>
      <c r="I145" s="33">
        <f t="shared" si="16"/>
        <v>182.992096924327</v>
      </c>
      <c r="J145" s="33">
        <f t="shared" si="23"/>
        <v>0</v>
      </c>
      <c r="K145" s="33">
        <f t="shared" si="22"/>
        <v>182.992096924327</v>
      </c>
      <c r="L145" s="68">
        <f>IF(K145&gt;0,K145*'UREA SYNTHESIS'!$K$15,0)</f>
        <v>36.5984193848655</v>
      </c>
      <c r="M145" s="33">
        <f t="shared" si="13"/>
        <v>146.393677539462</v>
      </c>
      <c r="N145" s="33">
        <f t="shared" si="18"/>
        <v>1750.23296680476</v>
      </c>
      <c r="O145" s="33">
        <f>(1+'UREA SYNTHESIS'!$K$16)^-A145</f>
        <v>0.318630817710357</v>
      </c>
      <c r="P145" s="69">
        <f t="shared" si="19"/>
        <v>46.6455371820251</v>
      </c>
      <c r="Q145" s="312">
        <f t="shared" si="20"/>
        <v>992.337374719301</v>
      </c>
    </row>
    <row r="146" spans="1:17">
      <c r="A146" s="35">
        <v>13</v>
      </c>
      <c r="B146" s="33">
        <f>'UREA SYNTHESIS'!$L$6</f>
        <v>856800</v>
      </c>
      <c r="C146" s="33">
        <f t="shared" si="21"/>
        <v>215</v>
      </c>
      <c r="D146" s="33">
        <f t="shared" si="14"/>
        <v>184.212</v>
      </c>
      <c r="E146" s="33">
        <f>'UREA SYNTHESIS'!$F$17</f>
        <v>1.21990307567256</v>
      </c>
      <c r="F146" s="33">
        <f t="shared" si="15"/>
        <v>182.992096924327</v>
      </c>
      <c r="G146" s="33"/>
      <c r="H146" s="33"/>
      <c r="I146" s="33">
        <f t="shared" si="16"/>
        <v>182.992096924327</v>
      </c>
      <c r="J146" s="33">
        <f t="shared" si="23"/>
        <v>0</v>
      </c>
      <c r="K146" s="33">
        <f t="shared" si="22"/>
        <v>182.992096924327</v>
      </c>
      <c r="L146" s="68">
        <f>IF(K146&gt;0,K146*'UREA SYNTHESIS'!$K$15,0)</f>
        <v>36.5984193848655</v>
      </c>
      <c r="M146" s="33">
        <f t="shared" si="13"/>
        <v>146.393677539462</v>
      </c>
      <c r="N146" s="33">
        <f t="shared" si="18"/>
        <v>1896.62664434422</v>
      </c>
      <c r="O146" s="33">
        <f>(1+'UREA SYNTHESIS'!$K$16)^-A146</f>
        <v>0.289664379736688</v>
      </c>
      <c r="P146" s="69">
        <f t="shared" si="19"/>
        <v>42.405033801841</v>
      </c>
      <c r="Q146" s="312">
        <f t="shared" si="20"/>
        <v>1034.74240852114</v>
      </c>
    </row>
    <row r="147" spans="1:17">
      <c r="A147" s="60">
        <v>14</v>
      </c>
      <c r="B147" s="33">
        <f>'UREA SYNTHESIS'!$L$6</f>
        <v>856800</v>
      </c>
      <c r="C147" s="33">
        <f t="shared" si="21"/>
        <v>215</v>
      </c>
      <c r="D147" s="33">
        <f t="shared" si="14"/>
        <v>184.212</v>
      </c>
      <c r="E147" s="33">
        <f>'UREA SYNTHESIS'!$F$17</f>
        <v>1.21990307567256</v>
      </c>
      <c r="F147" s="33">
        <f t="shared" si="15"/>
        <v>182.992096924327</v>
      </c>
      <c r="G147" s="33"/>
      <c r="H147" s="33"/>
      <c r="I147" s="33">
        <f t="shared" si="16"/>
        <v>182.992096924327</v>
      </c>
      <c r="J147" s="33">
        <f t="shared" si="23"/>
        <v>0</v>
      </c>
      <c r="K147" s="33">
        <f t="shared" si="22"/>
        <v>182.992096924327</v>
      </c>
      <c r="L147" s="68">
        <f>IF(K147&gt;0,K147*'UREA SYNTHESIS'!$K$15,0)</f>
        <v>36.5984193848655</v>
      </c>
      <c r="M147" s="33">
        <f t="shared" si="13"/>
        <v>146.393677539462</v>
      </c>
      <c r="N147" s="33">
        <f t="shared" si="18"/>
        <v>2043.02032188369</v>
      </c>
      <c r="O147" s="33">
        <f>(1+'UREA SYNTHESIS'!$K$16)^-A147</f>
        <v>0.26333125430608</v>
      </c>
      <c r="P147" s="69">
        <f t="shared" si="19"/>
        <v>38.5500307289463</v>
      </c>
      <c r="Q147" s="312">
        <f t="shared" si="20"/>
        <v>1073.29243925009</v>
      </c>
    </row>
    <row r="148" spans="1:17">
      <c r="A148" s="35">
        <v>15</v>
      </c>
      <c r="B148" s="33">
        <f>'UREA SYNTHESIS'!$L$6</f>
        <v>856800</v>
      </c>
      <c r="C148" s="33">
        <f t="shared" si="21"/>
        <v>215</v>
      </c>
      <c r="D148" s="33">
        <f t="shared" si="14"/>
        <v>184.212</v>
      </c>
      <c r="E148" s="33">
        <f>'UREA SYNTHESIS'!$F$17</f>
        <v>1.21990307567256</v>
      </c>
      <c r="F148" s="33">
        <f t="shared" si="15"/>
        <v>182.992096924327</v>
      </c>
      <c r="G148" s="33"/>
      <c r="H148" s="33"/>
      <c r="I148" s="33">
        <f t="shared" si="16"/>
        <v>182.992096924327</v>
      </c>
      <c r="J148" s="33">
        <f t="shared" si="23"/>
        <v>0</v>
      </c>
      <c r="K148" s="33">
        <f t="shared" si="22"/>
        <v>182.992096924327</v>
      </c>
      <c r="L148" s="68">
        <f>IF(K148&gt;0,K148*'UREA SYNTHESIS'!$K$15,0)</f>
        <v>36.5984193848655</v>
      </c>
      <c r="M148" s="33">
        <f t="shared" si="13"/>
        <v>146.393677539462</v>
      </c>
      <c r="N148" s="33">
        <f t="shared" si="18"/>
        <v>2189.41399942315</v>
      </c>
      <c r="O148" s="33">
        <f>(1+'UREA SYNTHESIS'!$K$16)^-A148</f>
        <v>0.239392049369163</v>
      </c>
      <c r="P148" s="69">
        <f t="shared" si="19"/>
        <v>35.0454824808602</v>
      </c>
      <c r="Q148" s="312">
        <f t="shared" si="20"/>
        <v>1108.33792173095</v>
      </c>
    </row>
    <row r="149" spans="1:17">
      <c r="A149" s="60">
        <v>16</v>
      </c>
      <c r="B149" s="33">
        <f>'UREA SYNTHESIS'!$L$6</f>
        <v>856800</v>
      </c>
      <c r="C149" s="33">
        <f t="shared" si="21"/>
        <v>215</v>
      </c>
      <c r="D149" s="33">
        <f t="shared" si="14"/>
        <v>184.212</v>
      </c>
      <c r="E149" s="33">
        <f>'UREA SYNTHESIS'!$F$17</f>
        <v>1.21990307567256</v>
      </c>
      <c r="F149" s="33">
        <f t="shared" si="15"/>
        <v>182.992096924327</v>
      </c>
      <c r="G149" s="33"/>
      <c r="H149" s="33"/>
      <c r="I149" s="33">
        <f t="shared" si="16"/>
        <v>182.992096924327</v>
      </c>
      <c r="J149" s="33">
        <f t="shared" si="23"/>
        <v>0</v>
      </c>
      <c r="K149" s="33">
        <f t="shared" si="22"/>
        <v>182.992096924327</v>
      </c>
      <c r="L149" s="68">
        <f>IF(K149&gt;0,K149*'UREA SYNTHESIS'!$K$15,0)</f>
        <v>36.5984193848655</v>
      </c>
      <c r="M149" s="33">
        <f t="shared" si="13"/>
        <v>146.393677539462</v>
      </c>
      <c r="N149" s="33">
        <f t="shared" si="18"/>
        <v>2335.80767696261</v>
      </c>
      <c r="O149" s="33">
        <f>(1+'UREA SYNTHESIS'!$K$16)^-A149</f>
        <v>0.217629135790149</v>
      </c>
      <c r="P149" s="69">
        <f t="shared" si="19"/>
        <v>31.8595295280548</v>
      </c>
      <c r="Q149" s="312">
        <f t="shared" si="20"/>
        <v>1140.197451259</v>
      </c>
    </row>
    <row r="150" spans="1:17">
      <c r="A150" s="35">
        <v>17</v>
      </c>
      <c r="B150" s="33">
        <f>'UREA SYNTHESIS'!$L$6</f>
        <v>856800</v>
      </c>
      <c r="C150" s="33">
        <f t="shared" si="21"/>
        <v>215</v>
      </c>
      <c r="D150" s="33">
        <f t="shared" si="14"/>
        <v>184.212</v>
      </c>
      <c r="E150" s="33">
        <f>'UREA SYNTHESIS'!$F$17</f>
        <v>1.21990307567256</v>
      </c>
      <c r="F150" s="33">
        <f t="shared" si="15"/>
        <v>182.992096924327</v>
      </c>
      <c r="G150" s="33"/>
      <c r="H150" s="33"/>
      <c r="I150" s="33">
        <f t="shared" si="16"/>
        <v>182.992096924327</v>
      </c>
      <c r="J150" s="33">
        <f t="shared" si="23"/>
        <v>0</v>
      </c>
      <c r="K150" s="33">
        <f t="shared" si="22"/>
        <v>182.992096924327</v>
      </c>
      <c r="L150" s="68">
        <f>IF(K150&gt;0,K150*'UREA SYNTHESIS'!$K$15,0)</f>
        <v>36.5984193848655</v>
      </c>
      <c r="M150" s="33">
        <f t="shared" si="13"/>
        <v>146.393677539462</v>
      </c>
      <c r="N150" s="33">
        <f t="shared" si="18"/>
        <v>2482.20135450207</v>
      </c>
      <c r="O150" s="33">
        <f>(1+'UREA SYNTHESIS'!$K$16)^-A150</f>
        <v>0.197844668900135</v>
      </c>
      <c r="P150" s="69">
        <f t="shared" si="19"/>
        <v>28.963208661868</v>
      </c>
      <c r="Q150" s="312">
        <f t="shared" si="20"/>
        <v>1169.16065992087</v>
      </c>
    </row>
    <row r="151" spans="1:17">
      <c r="A151" s="60">
        <v>18</v>
      </c>
      <c r="B151" s="33">
        <f>'UREA SYNTHESIS'!$L$6</f>
        <v>856800</v>
      </c>
      <c r="C151" s="33">
        <f t="shared" si="21"/>
        <v>215</v>
      </c>
      <c r="D151" s="33">
        <f t="shared" si="14"/>
        <v>184.212</v>
      </c>
      <c r="E151" s="33">
        <f>'UREA SYNTHESIS'!$F$17</f>
        <v>1.21990307567256</v>
      </c>
      <c r="F151" s="33">
        <f t="shared" si="15"/>
        <v>182.992096924327</v>
      </c>
      <c r="G151" s="33"/>
      <c r="H151" s="33"/>
      <c r="I151" s="33">
        <f t="shared" si="16"/>
        <v>182.992096924327</v>
      </c>
      <c r="J151" s="33">
        <f t="shared" si="23"/>
        <v>0</v>
      </c>
      <c r="K151" s="33">
        <f t="shared" si="22"/>
        <v>182.992096924327</v>
      </c>
      <c r="L151" s="68">
        <f>IF(K151&gt;0,K151*'UREA SYNTHESIS'!$K$15,0)</f>
        <v>36.5984193848655</v>
      </c>
      <c r="M151" s="33">
        <f t="shared" si="13"/>
        <v>146.393677539462</v>
      </c>
      <c r="N151" s="33">
        <f t="shared" si="18"/>
        <v>2628.59503204153</v>
      </c>
      <c r="O151" s="33">
        <f>(1+'UREA SYNTHESIS'!$K$16)^-A151</f>
        <v>0.179858789909214</v>
      </c>
      <c r="P151" s="69">
        <f t="shared" si="19"/>
        <v>26.3301896926073</v>
      </c>
      <c r="Q151" s="312">
        <f t="shared" si="20"/>
        <v>1195.49084961348</v>
      </c>
    </row>
    <row r="152" spans="1:17">
      <c r="A152" s="35">
        <v>19</v>
      </c>
      <c r="B152" s="33">
        <f>'UREA SYNTHESIS'!$L$6</f>
        <v>856800</v>
      </c>
      <c r="C152" s="33">
        <f t="shared" si="21"/>
        <v>215</v>
      </c>
      <c r="D152" s="33">
        <f t="shared" si="14"/>
        <v>184.212</v>
      </c>
      <c r="E152" s="33">
        <f>'UREA SYNTHESIS'!$F$17</f>
        <v>1.21990307567256</v>
      </c>
      <c r="F152" s="33">
        <f t="shared" si="15"/>
        <v>182.992096924327</v>
      </c>
      <c r="G152" s="33"/>
      <c r="H152" s="33"/>
      <c r="I152" s="33">
        <f t="shared" si="16"/>
        <v>182.992096924327</v>
      </c>
      <c r="J152" s="33">
        <f t="shared" si="23"/>
        <v>0</v>
      </c>
      <c r="K152" s="33">
        <f t="shared" si="22"/>
        <v>182.992096924327</v>
      </c>
      <c r="L152" s="68">
        <f>IF(K152&gt;0,K152*'UREA SYNTHESIS'!$K$15,0)</f>
        <v>36.5984193848655</v>
      </c>
      <c r="M152" s="33">
        <f t="shared" si="13"/>
        <v>146.393677539462</v>
      </c>
      <c r="N152" s="33">
        <f t="shared" si="18"/>
        <v>2774.98870958099</v>
      </c>
      <c r="O152" s="33">
        <f>(1+'UREA SYNTHESIS'!$K$16)^-A152</f>
        <v>0.163507990826558</v>
      </c>
      <c r="P152" s="69">
        <f t="shared" si="19"/>
        <v>23.9365360841884</v>
      </c>
      <c r="Q152" s="312">
        <f t="shared" si="20"/>
        <v>1219.42738569767</v>
      </c>
    </row>
    <row r="153" spans="1:17">
      <c r="A153" s="60">
        <v>20</v>
      </c>
      <c r="B153" s="33">
        <f>'UREA SYNTHESIS'!$L$6</f>
        <v>856800</v>
      </c>
      <c r="C153" s="33">
        <f t="shared" si="21"/>
        <v>215</v>
      </c>
      <c r="D153" s="33">
        <f t="shared" si="14"/>
        <v>184.212</v>
      </c>
      <c r="E153" s="33">
        <f>'UREA SYNTHESIS'!$F$17</f>
        <v>1.21990307567256</v>
      </c>
      <c r="F153" s="33">
        <f t="shared" si="15"/>
        <v>182.992096924327</v>
      </c>
      <c r="G153" s="33"/>
      <c r="H153" s="33"/>
      <c r="I153" s="33">
        <f t="shared" si="16"/>
        <v>182.992096924327</v>
      </c>
      <c r="J153" s="33">
        <f t="shared" si="23"/>
        <v>0</v>
      </c>
      <c r="K153" s="33">
        <f t="shared" si="22"/>
        <v>182.992096924327</v>
      </c>
      <c r="L153" s="68">
        <f>IF(K153&gt;0,K153*'UREA SYNTHESIS'!$K$15,0)</f>
        <v>36.5984193848655</v>
      </c>
      <c r="M153" s="33">
        <f t="shared" si="13"/>
        <v>146.393677539462</v>
      </c>
      <c r="N153" s="33">
        <f t="shared" si="18"/>
        <v>2921.38238712046</v>
      </c>
      <c r="O153" s="33">
        <f>(1+'UREA SYNTHESIS'!$K$16)^-A153</f>
        <v>0.148643628024143</v>
      </c>
      <c r="P153" s="69">
        <f t="shared" si="19"/>
        <v>21.7604873492621</v>
      </c>
      <c r="Q153" s="312">
        <f t="shared" si="20"/>
        <v>1241.18787304693</v>
      </c>
    </row>
    <row r="154" spans="1:17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18">
        <f>SUM(P133:P153)</f>
        <v>1241.18787304693</v>
      </c>
      <c r="Q154" s="312"/>
    </row>
    <row r="155" spans="1:17">
      <c r="A155" s="33" t="s">
        <v>85</v>
      </c>
      <c r="B155" s="33">
        <f>B131-50</f>
        <v>165</v>
      </c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12"/>
    </row>
    <row r="156" ht="45" spans="1:17">
      <c r="A156" s="58" t="s">
        <v>34</v>
      </c>
      <c r="B156" s="59" t="s">
        <v>35</v>
      </c>
      <c r="C156" s="59" t="s">
        <v>36</v>
      </c>
      <c r="D156" s="59" t="s">
        <v>86</v>
      </c>
      <c r="E156" s="59" t="s">
        <v>87</v>
      </c>
      <c r="F156" s="59" t="s">
        <v>88</v>
      </c>
      <c r="G156" s="59" t="s">
        <v>40</v>
      </c>
      <c r="H156" s="59" t="s">
        <v>89</v>
      </c>
      <c r="I156" s="59" t="s">
        <v>90</v>
      </c>
      <c r="J156" s="33" t="s">
        <v>91</v>
      </c>
      <c r="K156" s="66" t="s">
        <v>92</v>
      </c>
      <c r="L156" s="67" t="s">
        <v>93</v>
      </c>
      <c r="M156" s="67" t="s">
        <v>94</v>
      </c>
      <c r="N156" s="67" t="s">
        <v>95</v>
      </c>
      <c r="O156" s="67" t="s">
        <v>48</v>
      </c>
      <c r="P156" s="67" t="s">
        <v>96</v>
      </c>
      <c r="Q156" s="67" t="s">
        <v>97</v>
      </c>
    </row>
    <row r="157" spans="1:17">
      <c r="A157" s="60">
        <v>0</v>
      </c>
      <c r="B157" s="61"/>
      <c r="C157" s="62"/>
      <c r="D157" s="63"/>
      <c r="E157" s="62"/>
      <c r="F157" s="62"/>
      <c r="G157" s="62">
        <f>'UREA SYNTHESIS'!F8</f>
        <v>8.11395458597724</v>
      </c>
      <c r="H157" s="62"/>
      <c r="I157" s="62"/>
      <c r="J157" s="33"/>
      <c r="K157" s="33">
        <f>J157</f>
        <v>0</v>
      </c>
      <c r="L157" s="68">
        <f>IF(K157&gt;0,K157*'UREA SYNTHESIS'!$K$15,0)</f>
        <v>0</v>
      </c>
      <c r="M157" s="33">
        <f t="shared" ref="M157:M177" si="24">I157-L157</f>
        <v>0</v>
      </c>
      <c r="N157" s="33">
        <v>0</v>
      </c>
      <c r="O157" s="33">
        <f>(1+'UREA SYNTHESIS'!$K$16)^-A157</f>
        <v>1</v>
      </c>
      <c r="P157" s="69">
        <f>N157*O157</f>
        <v>0</v>
      </c>
      <c r="Q157" s="287">
        <f>P157</f>
        <v>0</v>
      </c>
    </row>
    <row r="158" spans="1:17">
      <c r="A158" s="35">
        <v>1</v>
      </c>
      <c r="B158" s="33">
        <f>$B$134</f>
        <v>856800</v>
      </c>
      <c r="C158" s="33">
        <f>B155</f>
        <v>165</v>
      </c>
      <c r="D158" s="33">
        <f t="shared" ref="D158:D177" si="25">B158*C158/10^6</f>
        <v>141.372</v>
      </c>
      <c r="E158" s="33">
        <f>'UREA SYNTHESIS'!$F$17</f>
        <v>1.21990307567256</v>
      </c>
      <c r="F158" s="33">
        <f t="shared" ref="F158:F177" si="26">D158-E158</f>
        <v>140.152096924327</v>
      </c>
      <c r="G158" s="33"/>
      <c r="H158" s="33">
        <f>'UREA SYNTHESIS'!$F$8/'UREA SYNTHESIS'!$K$12</f>
        <v>2.02848864649431</v>
      </c>
      <c r="I158" s="33">
        <f t="shared" ref="I158:I177" si="27">F158-H158</f>
        <v>138.123608277833</v>
      </c>
      <c r="J158" s="33">
        <f t="shared" si="23"/>
        <v>0</v>
      </c>
      <c r="K158" s="33">
        <f>IF(J158&lt;0,J158,I158)</f>
        <v>138.123608277833</v>
      </c>
      <c r="L158" s="68">
        <f>IF(K158&gt;0,K158*'UREA SYNTHESIS'!$K$15,0)</f>
        <v>27.6247216555666</v>
      </c>
      <c r="M158" s="33">
        <f t="shared" si="24"/>
        <v>110.498886622267</v>
      </c>
      <c r="N158" s="33">
        <f t="shared" ref="N158:N177" si="28">N157+M158</f>
        <v>110.498886622267</v>
      </c>
      <c r="O158" s="33">
        <f>(1+'UREA SYNTHESIS'!$K$16)^-A158</f>
        <v>0.909090909090909</v>
      </c>
      <c r="P158" s="69">
        <f t="shared" ref="P158:P177" si="29">M158*O158</f>
        <v>100.45353329297</v>
      </c>
      <c r="Q158" s="312">
        <f t="shared" ref="Q158:Q177" si="30">Q157+P158</f>
        <v>100.45353329297</v>
      </c>
    </row>
    <row r="159" spans="1:17">
      <c r="A159" s="60">
        <v>2</v>
      </c>
      <c r="B159" s="33">
        <f t="shared" ref="B159:B168" si="31">$B$134</f>
        <v>856800</v>
      </c>
      <c r="C159" s="33">
        <f t="shared" ref="C159:C177" si="32">$C$158</f>
        <v>165</v>
      </c>
      <c r="D159" s="33">
        <f t="shared" si="25"/>
        <v>141.372</v>
      </c>
      <c r="E159" s="33">
        <f>'UREA SYNTHESIS'!$F$17</f>
        <v>1.21990307567256</v>
      </c>
      <c r="F159" s="33">
        <f t="shared" si="26"/>
        <v>140.152096924327</v>
      </c>
      <c r="G159" s="33"/>
      <c r="H159" s="33">
        <f>'UREA SYNTHESIS'!$F$8/'UREA SYNTHESIS'!$K$12</f>
        <v>2.02848864649431</v>
      </c>
      <c r="I159" s="33">
        <f t="shared" si="27"/>
        <v>138.123608277833</v>
      </c>
      <c r="J159" s="33">
        <f t="shared" si="23"/>
        <v>0</v>
      </c>
      <c r="K159" s="33">
        <f t="shared" ref="K159:K177" si="33">IF(J159&lt;0,J159,I159)</f>
        <v>138.123608277833</v>
      </c>
      <c r="L159" s="68">
        <f>IF(K159&gt;0,K159*'UREA SYNTHESIS'!$K$15,0)</f>
        <v>27.6247216555666</v>
      </c>
      <c r="M159" s="33">
        <f t="shared" si="24"/>
        <v>110.498886622267</v>
      </c>
      <c r="N159" s="33">
        <f t="shared" si="28"/>
        <v>220.997773244533</v>
      </c>
      <c r="O159" s="33">
        <f>(1+'UREA SYNTHESIS'!$K$16)^-A159</f>
        <v>0.826446280991735</v>
      </c>
      <c r="P159" s="69">
        <f t="shared" si="29"/>
        <v>91.3213939026995</v>
      </c>
      <c r="Q159" s="312">
        <f t="shared" si="30"/>
        <v>191.774927195669</v>
      </c>
    </row>
    <row r="160" spans="1:17">
      <c r="A160" s="35">
        <v>3</v>
      </c>
      <c r="B160" s="33">
        <f t="shared" si="31"/>
        <v>856800</v>
      </c>
      <c r="C160" s="33">
        <f t="shared" si="32"/>
        <v>165</v>
      </c>
      <c r="D160" s="33">
        <f t="shared" si="25"/>
        <v>141.372</v>
      </c>
      <c r="E160" s="33">
        <f>'UREA SYNTHESIS'!$F$17</f>
        <v>1.21990307567256</v>
      </c>
      <c r="F160" s="33">
        <f t="shared" si="26"/>
        <v>140.152096924327</v>
      </c>
      <c r="G160" s="33"/>
      <c r="H160" s="33">
        <f>'UREA SYNTHESIS'!$F$8/'UREA SYNTHESIS'!$K$12</f>
        <v>2.02848864649431</v>
      </c>
      <c r="I160" s="33">
        <f t="shared" si="27"/>
        <v>138.123608277833</v>
      </c>
      <c r="J160" s="33">
        <f t="shared" si="23"/>
        <v>0</v>
      </c>
      <c r="K160" s="33">
        <f t="shared" si="33"/>
        <v>138.123608277833</v>
      </c>
      <c r="L160" s="68">
        <f>IF(K160&gt;0,K160*'UREA SYNTHESIS'!$K$15,0)</f>
        <v>27.6247216555666</v>
      </c>
      <c r="M160" s="33">
        <f t="shared" si="24"/>
        <v>110.498886622267</v>
      </c>
      <c r="N160" s="33">
        <f t="shared" si="28"/>
        <v>331.4966598668</v>
      </c>
      <c r="O160" s="33">
        <f>(1+'UREA SYNTHESIS'!$K$16)^-A160</f>
        <v>0.751314800901578</v>
      </c>
      <c r="P160" s="69">
        <f t="shared" si="29"/>
        <v>83.0194490024542</v>
      </c>
      <c r="Q160" s="312">
        <f t="shared" si="30"/>
        <v>274.794376198123</v>
      </c>
    </row>
    <row r="161" spans="1:17">
      <c r="A161" s="60">
        <v>4</v>
      </c>
      <c r="B161" s="33">
        <f t="shared" si="31"/>
        <v>856800</v>
      </c>
      <c r="C161" s="33">
        <f t="shared" si="32"/>
        <v>165</v>
      </c>
      <c r="D161" s="33">
        <f t="shared" si="25"/>
        <v>141.372</v>
      </c>
      <c r="E161" s="33">
        <f>'UREA SYNTHESIS'!$F$17</f>
        <v>1.21990307567256</v>
      </c>
      <c r="F161" s="33">
        <f t="shared" si="26"/>
        <v>140.152096924327</v>
      </c>
      <c r="G161" s="33"/>
      <c r="H161" s="33">
        <f>'UREA SYNTHESIS'!$F$8/'UREA SYNTHESIS'!$K$12</f>
        <v>2.02848864649431</v>
      </c>
      <c r="I161" s="33">
        <f t="shared" si="27"/>
        <v>138.123608277833</v>
      </c>
      <c r="J161" s="33">
        <f t="shared" si="23"/>
        <v>0</v>
      </c>
      <c r="K161" s="33">
        <f t="shared" si="33"/>
        <v>138.123608277833</v>
      </c>
      <c r="L161" s="68">
        <f>IF(K161&gt;0,K161*'UREA SYNTHESIS'!$K$15,0)</f>
        <v>27.6247216555666</v>
      </c>
      <c r="M161" s="33">
        <f t="shared" si="24"/>
        <v>110.498886622267</v>
      </c>
      <c r="N161" s="33">
        <f t="shared" si="28"/>
        <v>441.995546489066</v>
      </c>
      <c r="O161" s="33">
        <f>(1+'UREA SYNTHESIS'!$K$16)^-A161</f>
        <v>0.683013455365071</v>
      </c>
      <c r="P161" s="69">
        <f t="shared" si="29"/>
        <v>75.4722263658675</v>
      </c>
      <c r="Q161" s="312">
        <f t="shared" si="30"/>
        <v>350.266602563991</v>
      </c>
    </row>
    <row r="162" spans="1:17">
      <c r="A162" s="35">
        <v>5</v>
      </c>
      <c r="B162" s="33">
        <f t="shared" si="31"/>
        <v>856800</v>
      </c>
      <c r="C162" s="33">
        <f t="shared" si="32"/>
        <v>165</v>
      </c>
      <c r="D162" s="33">
        <f t="shared" si="25"/>
        <v>141.372</v>
      </c>
      <c r="E162" s="33">
        <f>'UREA SYNTHESIS'!$F$17</f>
        <v>1.21990307567256</v>
      </c>
      <c r="F162" s="33">
        <f t="shared" si="26"/>
        <v>140.152096924327</v>
      </c>
      <c r="G162" s="33"/>
      <c r="H162" s="33"/>
      <c r="I162" s="33">
        <f t="shared" si="27"/>
        <v>140.152096924327</v>
      </c>
      <c r="J162" s="33">
        <f t="shared" si="23"/>
        <v>0</v>
      </c>
      <c r="K162" s="33">
        <f t="shared" si="33"/>
        <v>140.152096924327</v>
      </c>
      <c r="L162" s="68">
        <f>IF(K162&gt;0,K162*'UREA SYNTHESIS'!$K$15,0)</f>
        <v>28.0304193848655</v>
      </c>
      <c r="M162" s="33">
        <f t="shared" si="24"/>
        <v>112.121677539462</v>
      </c>
      <c r="N162" s="33">
        <f t="shared" si="28"/>
        <v>554.117224028528</v>
      </c>
      <c r="O162" s="33">
        <f>(1+'UREA SYNTHESIS'!$K$16)^-A162</f>
        <v>0.620921323059155</v>
      </c>
      <c r="P162" s="69">
        <f t="shared" si="29"/>
        <v>69.6187403614147</v>
      </c>
      <c r="Q162" s="312">
        <f t="shared" si="30"/>
        <v>419.885342925405</v>
      </c>
    </row>
    <row r="163" spans="1:17">
      <c r="A163" s="60">
        <v>6</v>
      </c>
      <c r="B163" s="33">
        <f t="shared" si="31"/>
        <v>856800</v>
      </c>
      <c r="C163" s="33">
        <f t="shared" si="32"/>
        <v>165</v>
      </c>
      <c r="D163" s="33">
        <f t="shared" si="25"/>
        <v>141.372</v>
      </c>
      <c r="E163" s="33">
        <f>'UREA SYNTHESIS'!$F$17</f>
        <v>1.21990307567256</v>
      </c>
      <c r="F163" s="33">
        <f t="shared" si="26"/>
        <v>140.152096924327</v>
      </c>
      <c r="G163" s="33"/>
      <c r="H163" s="33"/>
      <c r="I163" s="33">
        <f t="shared" si="27"/>
        <v>140.152096924327</v>
      </c>
      <c r="J163" s="33">
        <f t="shared" si="23"/>
        <v>0</v>
      </c>
      <c r="K163" s="33">
        <f t="shared" si="33"/>
        <v>140.152096924327</v>
      </c>
      <c r="L163" s="68">
        <f>IF(K163&gt;0,K163*'UREA SYNTHESIS'!$K$15,0)</f>
        <v>28.0304193848655</v>
      </c>
      <c r="M163" s="33">
        <f t="shared" si="24"/>
        <v>112.121677539462</v>
      </c>
      <c r="N163" s="33">
        <f t="shared" si="28"/>
        <v>666.23890156799</v>
      </c>
      <c r="O163" s="33">
        <f>(1+'UREA SYNTHESIS'!$K$16)^-A163</f>
        <v>0.564473930053777</v>
      </c>
      <c r="P163" s="69">
        <f t="shared" si="29"/>
        <v>63.2897639649224</v>
      </c>
      <c r="Q163" s="312">
        <f t="shared" si="30"/>
        <v>483.175106890328</v>
      </c>
    </row>
    <row r="164" spans="1:17">
      <c r="A164" s="35">
        <v>7</v>
      </c>
      <c r="B164" s="33">
        <f t="shared" si="31"/>
        <v>856800</v>
      </c>
      <c r="C164" s="33">
        <f t="shared" si="32"/>
        <v>165</v>
      </c>
      <c r="D164" s="33">
        <f t="shared" si="25"/>
        <v>141.372</v>
      </c>
      <c r="E164" s="33">
        <f>'UREA SYNTHESIS'!$F$17</f>
        <v>1.21990307567256</v>
      </c>
      <c r="F164" s="33">
        <f t="shared" si="26"/>
        <v>140.152096924327</v>
      </c>
      <c r="G164" s="33"/>
      <c r="H164" s="33"/>
      <c r="I164" s="33">
        <f t="shared" si="27"/>
        <v>140.152096924327</v>
      </c>
      <c r="J164" s="33">
        <f t="shared" si="23"/>
        <v>0</v>
      </c>
      <c r="K164" s="33">
        <f t="shared" si="33"/>
        <v>140.152096924327</v>
      </c>
      <c r="L164" s="68">
        <f>IF(K164&gt;0,K164*'UREA SYNTHESIS'!$K$15,0)</f>
        <v>28.0304193848655</v>
      </c>
      <c r="M164" s="33">
        <f t="shared" si="24"/>
        <v>112.121677539462</v>
      </c>
      <c r="N164" s="33">
        <f t="shared" si="28"/>
        <v>778.360579107452</v>
      </c>
      <c r="O164" s="33">
        <f>(1+'UREA SYNTHESIS'!$K$16)^-A164</f>
        <v>0.513158118230706</v>
      </c>
      <c r="P164" s="69">
        <f t="shared" si="29"/>
        <v>57.5361490590203</v>
      </c>
      <c r="Q164" s="312">
        <f t="shared" si="30"/>
        <v>540.711255949348</v>
      </c>
    </row>
    <row r="165" spans="1:17">
      <c r="A165" s="60">
        <v>8</v>
      </c>
      <c r="B165" s="33">
        <f t="shared" si="31"/>
        <v>856800</v>
      </c>
      <c r="C165" s="33">
        <f t="shared" si="32"/>
        <v>165</v>
      </c>
      <c r="D165" s="33">
        <f t="shared" si="25"/>
        <v>141.372</v>
      </c>
      <c r="E165" s="33">
        <f>'UREA SYNTHESIS'!$F$17</f>
        <v>1.21990307567256</v>
      </c>
      <c r="F165" s="33">
        <f t="shared" si="26"/>
        <v>140.152096924327</v>
      </c>
      <c r="G165" s="33"/>
      <c r="H165" s="33"/>
      <c r="I165" s="33">
        <f t="shared" si="27"/>
        <v>140.152096924327</v>
      </c>
      <c r="J165" s="33">
        <f t="shared" si="23"/>
        <v>0</v>
      </c>
      <c r="K165" s="33">
        <f t="shared" si="33"/>
        <v>140.152096924327</v>
      </c>
      <c r="L165" s="68">
        <f>IF(K165&gt;0,K165*'UREA SYNTHESIS'!$K$15,0)</f>
        <v>28.0304193848655</v>
      </c>
      <c r="M165" s="33">
        <f t="shared" si="24"/>
        <v>112.121677539462</v>
      </c>
      <c r="N165" s="33">
        <f t="shared" si="28"/>
        <v>890.482256646914</v>
      </c>
      <c r="O165" s="33">
        <f>(1+'UREA SYNTHESIS'!$K$16)^-A165</f>
        <v>0.466507380209733</v>
      </c>
      <c r="P165" s="69">
        <f t="shared" si="29"/>
        <v>52.3055900536549</v>
      </c>
      <c r="Q165" s="312">
        <f t="shared" si="30"/>
        <v>593.016846003003</v>
      </c>
    </row>
    <row r="166" spans="1:17">
      <c r="A166" s="35">
        <v>9</v>
      </c>
      <c r="B166" s="33">
        <f t="shared" si="31"/>
        <v>856800</v>
      </c>
      <c r="C166" s="33">
        <f t="shared" si="32"/>
        <v>165</v>
      </c>
      <c r="D166" s="33">
        <f t="shared" si="25"/>
        <v>141.372</v>
      </c>
      <c r="E166" s="33">
        <f>'UREA SYNTHESIS'!$F$17</f>
        <v>1.21990307567256</v>
      </c>
      <c r="F166" s="33">
        <f t="shared" si="26"/>
        <v>140.152096924327</v>
      </c>
      <c r="G166" s="33"/>
      <c r="H166" s="33"/>
      <c r="I166" s="33">
        <f t="shared" si="27"/>
        <v>140.152096924327</v>
      </c>
      <c r="J166" s="33">
        <f t="shared" si="23"/>
        <v>0</v>
      </c>
      <c r="K166" s="33">
        <f t="shared" si="33"/>
        <v>140.152096924327</v>
      </c>
      <c r="L166" s="68">
        <f>IF(K166&gt;0,K166*'UREA SYNTHESIS'!$K$15,0)</f>
        <v>28.0304193848655</v>
      </c>
      <c r="M166" s="33">
        <f t="shared" si="24"/>
        <v>112.121677539462</v>
      </c>
      <c r="N166" s="33">
        <f t="shared" si="28"/>
        <v>1002.60393418638</v>
      </c>
      <c r="O166" s="33">
        <f>(1+'UREA SYNTHESIS'!$K$16)^-A166</f>
        <v>0.424097618372485</v>
      </c>
      <c r="P166" s="69">
        <f t="shared" si="29"/>
        <v>47.5505364124136</v>
      </c>
      <c r="Q166" s="312">
        <f t="shared" si="30"/>
        <v>640.567382415417</v>
      </c>
    </row>
    <row r="167" spans="1:17">
      <c r="A167" s="60">
        <v>10</v>
      </c>
      <c r="B167" s="33">
        <f t="shared" si="31"/>
        <v>856800</v>
      </c>
      <c r="C167" s="33">
        <f t="shared" si="32"/>
        <v>165</v>
      </c>
      <c r="D167" s="33">
        <f t="shared" si="25"/>
        <v>141.372</v>
      </c>
      <c r="E167" s="33">
        <f>'UREA SYNTHESIS'!$F$17</f>
        <v>1.21990307567256</v>
      </c>
      <c r="F167" s="33">
        <f t="shared" si="26"/>
        <v>140.152096924327</v>
      </c>
      <c r="G167" s="33"/>
      <c r="H167" s="33"/>
      <c r="I167" s="33">
        <f t="shared" si="27"/>
        <v>140.152096924327</v>
      </c>
      <c r="J167" s="33">
        <f t="shared" si="23"/>
        <v>0</v>
      </c>
      <c r="K167" s="33">
        <f t="shared" si="33"/>
        <v>140.152096924327</v>
      </c>
      <c r="L167" s="68">
        <f>IF(K167&gt;0,K167*'UREA SYNTHESIS'!$K$15,0)</f>
        <v>28.0304193848655</v>
      </c>
      <c r="M167" s="33">
        <f t="shared" si="24"/>
        <v>112.121677539462</v>
      </c>
      <c r="N167" s="33">
        <f t="shared" si="28"/>
        <v>1114.72561172584</v>
      </c>
      <c r="O167" s="33">
        <f>(1+'UREA SYNTHESIS'!$K$16)^-A167</f>
        <v>0.385543289429531</v>
      </c>
      <c r="P167" s="69">
        <f t="shared" si="29"/>
        <v>43.2277603749213</v>
      </c>
      <c r="Q167" s="312">
        <f t="shared" si="30"/>
        <v>683.795142790338</v>
      </c>
    </row>
    <row r="168" spans="1:17">
      <c r="A168" s="35">
        <v>11</v>
      </c>
      <c r="B168" s="33">
        <f t="shared" si="31"/>
        <v>856800</v>
      </c>
      <c r="C168" s="33">
        <f t="shared" si="32"/>
        <v>165</v>
      </c>
      <c r="D168" s="33">
        <f t="shared" si="25"/>
        <v>141.372</v>
      </c>
      <c r="E168" s="33">
        <f>'UREA SYNTHESIS'!$F$17</f>
        <v>1.21990307567256</v>
      </c>
      <c r="F168" s="33">
        <f t="shared" si="26"/>
        <v>140.152096924327</v>
      </c>
      <c r="G168" s="33"/>
      <c r="H168" s="33"/>
      <c r="I168" s="33">
        <f t="shared" si="27"/>
        <v>140.152096924327</v>
      </c>
      <c r="J168" s="33">
        <f t="shared" si="23"/>
        <v>0</v>
      </c>
      <c r="K168" s="33">
        <f t="shared" si="33"/>
        <v>140.152096924327</v>
      </c>
      <c r="L168" s="68">
        <f>IF(K168&gt;0,K168*'UREA SYNTHESIS'!$K$15,0)</f>
        <v>28.0304193848655</v>
      </c>
      <c r="M168" s="33">
        <f t="shared" si="24"/>
        <v>112.121677539462</v>
      </c>
      <c r="N168" s="33">
        <f t="shared" si="28"/>
        <v>1226.8472892653</v>
      </c>
      <c r="O168" s="33">
        <f>(1+'UREA SYNTHESIS'!$K$16)^-A168</f>
        <v>0.350493899481392</v>
      </c>
      <c r="P168" s="69">
        <f t="shared" si="29"/>
        <v>39.2979639772012</v>
      </c>
      <c r="Q168" s="312">
        <f t="shared" si="30"/>
        <v>723.093106767539</v>
      </c>
    </row>
    <row r="169" spans="1:17">
      <c r="A169" s="60">
        <v>12</v>
      </c>
      <c r="B169" s="33">
        <f t="shared" ref="B169:B177" si="34">$B$134</f>
        <v>856800</v>
      </c>
      <c r="C169" s="33">
        <f t="shared" si="32"/>
        <v>165</v>
      </c>
      <c r="D169" s="33">
        <f t="shared" si="25"/>
        <v>141.372</v>
      </c>
      <c r="E169" s="33">
        <f>'UREA SYNTHESIS'!$F$17</f>
        <v>1.21990307567256</v>
      </c>
      <c r="F169" s="33">
        <f t="shared" si="26"/>
        <v>140.152096924327</v>
      </c>
      <c r="G169" s="33"/>
      <c r="H169" s="33"/>
      <c r="I169" s="33">
        <f t="shared" si="27"/>
        <v>140.152096924327</v>
      </c>
      <c r="J169" s="33">
        <f t="shared" ref="J169:J177" si="35">IF(J168+I169&lt;0,J168+I169,0)</f>
        <v>0</v>
      </c>
      <c r="K169" s="33">
        <f t="shared" si="33"/>
        <v>140.152096924327</v>
      </c>
      <c r="L169" s="68">
        <f>IF(K169&gt;0,K169*'UREA SYNTHESIS'!$K$15,0)</f>
        <v>28.0304193848655</v>
      </c>
      <c r="M169" s="33">
        <f t="shared" si="24"/>
        <v>112.121677539462</v>
      </c>
      <c r="N169" s="33">
        <f t="shared" si="28"/>
        <v>1338.96896680476</v>
      </c>
      <c r="O169" s="33">
        <f>(1+'UREA SYNTHESIS'!$K$16)^-A169</f>
        <v>0.318630817710357</v>
      </c>
      <c r="P169" s="69">
        <f t="shared" si="29"/>
        <v>35.7254217974557</v>
      </c>
      <c r="Q169" s="312">
        <f t="shared" si="30"/>
        <v>758.818528564995</v>
      </c>
    </row>
    <row r="170" spans="1:17">
      <c r="A170" s="35">
        <v>13</v>
      </c>
      <c r="B170" s="33">
        <f t="shared" si="34"/>
        <v>856800</v>
      </c>
      <c r="C170" s="33">
        <f t="shared" si="32"/>
        <v>165</v>
      </c>
      <c r="D170" s="33">
        <f t="shared" si="25"/>
        <v>141.372</v>
      </c>
      <c r="E170" s="33">
        <f>'UREA SYNTHESIS'!$F$17</f>
        <v>1.21990307567256</v>
      </c>
      <c r="F170" s="33">
        <f t="shared" si="26"/>
        <v>140.152096924327</v>
      </c>
      <c r="G170" s="33"/>
      <c r="H170" s="33"/>
      <c r="I170" s="33">
        <f t="shared" si="27"/>
        <v>140.152096924327</v>
      </c>
      <c r="J170" s="33">
        <f t="shared" si="35"/>
        <v>0</v>
      </c>
      <c r="K170" s="33">
        <f t="shared" si="33"/>
        <v>140.152096924327</v>
      </c>
      <c r="L170" s="68">
        <f>IF(K170&gt;0,K170*'UREA SYNTHESIS'!$K$15,0)</f>
        <v>28.0304193848655</v>
      </c>
      <c r="M170" s="33">
        <f t="shared" si="24"/>
        <v>112.121677539462</v>
      </c>
      <c r="N170" s="33">
        <f t="shared" si="28"/>
        <v>1451.09064434422</v>
      </c>
      <c r="O170" s="33">
        <f>(1+'UREA SYNTHESIS'!$K$16)^-A170</f>
        <v>0.289664379736688</v>
      </c>
      <c r="P170" s="69">
        <f t="shared" si="29"/>
        <v>32.4776561795052</v>
      </c>
      <c r="Q170" s="312">
        <f t="shared" si="30"/>
        <v>791.2961847445</v>
      </c>
    </row>
    <row r="171" spans="1:17">
      <c r="A171" s="60">
        <v>14</v>
      </c>
      <c r="B171" s="33">
        <f t="shared" si="34"/>
        <v>856800</v>
      </c>
      <c r="C171" s="33">
        <f t="shared" si="32"/>
        <v>165</v>
      </c>
      <c r="D171" s="33">
        <f t="shared" si="25"/>
        <v>141.372</v>
      </c>
      <c r="E171" s="33">
        <f>'UREA SYNTHESIS'!$F$17</f>
        <v>1.21990307567256</v>
      </c>
      <c r="F171" s="33">
        <f t="shared" si="26"/>
        <v>140.152096924327</v>
      </c>
      <c r="G171" s="33"/>
      <c r="H171" s="33"/>
      <c r="I171" s="33">
        <f t="shared" si="27"/>
        <v>140.152096924327</v>
      </c>
      <c r="J171" s="33">
        <f t="shared" si="35"/>
        <v>0</v>
      </c>
      <c r="K171" s="33">
        <f t="shared" si="33"/>
        <v>140.152096924327</v>
      </c>
      <c r="L171" s="68">
        <f>IF(K171&gt;0,K171*'UREA SYNTHESIS'!$K$15,0)</f>
        <v>28.0304193848655</v>
      </c>
      <c r="M171" s="33">
        <f t="shared" si="24"/>
        <v>112.121677539462</v>
      </c>
      <c r="N171" s="33">
        <f t="shared" si="28"/>
        <v>1563.21232188369</v>
      </c>
      <c r="O171" s="33">
        <f>(1+'UREA SYNTHESIS'!$K$16)^-A171</f>
        <v>0.26333125430608</v>
      </c>
      <c r="P171" s="69">
        <f t="shared" si="29"/>
        <v>29.5251419813684</v>
      </c>
      <c r="Q171" s="312">
        <f t="shared" si="30"/>
        <v>820.821326725868</v>
      </c>
    </row>
    <row r="172" spans="1:17">
      <c r="A172" s="35">
        <v>15</v>
      </c>
      <c r="B172" s="33">
        <f t="shared" si="34"/>
        <v>856800</v>
      </c>
      <c r="C172" s="33">
        <f t="shared" si="32"/>
        <v>165</v>
      </c>
      <c r="D172" s="33">
        <f t="shared" si="25"/>
        <v>141.372</v>
      </c>
      <c r="E172" s="33">
        <f>'UREA SYNTHESIS'!$F$17</f>
        <v>1.21990307567256</v>
      </c>
      <c r="F172" s="33">
        <f t="shared" si="26"/>
        <v>140.152096924327</v>
      </c>
      <c r="G172" s="33"/>
      <c r="H172" s="33"/>
      <c r="I172" s="33">
        <f t="shared" si="27"/>
        <v>140.152096924327</v>
      </c>
      <c r="J172" s="33">
        <f t="shared" si="35"/>
        <v>0</v>
      </c>
      <c r="K172" s="33">
        <f t="shared" si="33"/>
        <v>140.152096924327</v>
      </c>
      <c r="L172" s="68">
        <f>IF(K172&gt;0,K172*'UREA SYNTHESIS'!$K$15,0)</f>
        <v>28.0304193848655</v>
      </c>
      <c r="M172" s="33">
        <f t="shared" si="24"/>
        <v>112.121677539462</v>
      </c>
      <c r="N172" s="33">
        <f t="shared" si="28"/>
        <v>1675.33399942315</v>
      </c>
      <c r="O172" s="33">
        <f>(1+'UREA SYNTHESIS'!$K$16)^-A172</f>
        <v>0.239392049369163</v>
      </c>
      <c r="P172" s="69">
        <f t="shared" si="29"/>
        <v>26.8410381648803</v>
      </c>
      <c r="Q172" s="312">
        <f t="shared" si="30"/>
        <v>847.662364890749</v>
      </c>
    </row>
    <row r="173" spans="1:17">
      <c r="A173" s="60">
        <v>16</v>
      </c>
      <c r="B173" s="33">
        <f t="shared" si="34"/>
        <v>856800</v>
      </c>
      <c r="C173" s="33">
        <f t="shared" si="32"/>
        <v>165</v>
      </c>
      <c r="D173" s="33">
        <f t="shared" si="25"/>
        <v>141.372</v>
      </c>
      <c r="E173" s="33">
        <f>'UREA SYNTHESIS'!$F$17</f>
        <v>1.21990307567256</v>
      </c>
      <c r="F173" s="33">
        <f t="shared" si="26"/>
        <v>140.152096924327</v>
      </c>
      <c r="G173" s="33"/>
      <c r="H173" s="33"/>
      <c r="I173" s="33">
        <f t="shared" si="27"/>
        <v>140.152096924327</v>
      </c>
      <c r="J173" s="33">
        <f t="shared" si="35"/>
        <v>0</v>
      </c>
      <c r="K173" s="33">
        <f t="shared" si="33"/>
        <v>140.152096924327</v>
      </c>
      <c r="L173" s="68">
        <f>IF(K173&gt;0,K173*'UREA SYNTHESIS'!$K$15,0)</f>
        <v>28.0304193848655</v>
      </c>
      <c r="M173" s="33">
        <f t="shared" si="24"/>
        <v>112.121677539462</v>
      </c>
      <c r="N173" s="33">
        <f t="shared" si="28"/>
        <v>1787.45567696261</v>
      </c>
      <c r="O173" s="33">
        <f>(1+'UREA SYNTHESIS'!$K$16)^-A173</f>
        <v>0.217629135790149</v>
      </c>
      <c r="P173" s="69">
        <f t="shared" si="29"/>
        <v>24.4009437862549</v>
      </c>
      <c r="Q173" s="312">
        <f t="shared" si="30"/>
        <v>872.063308677004</v>
      </c>
    </row>
    <row r="174" spans="1:17">
      <c r="A174" s="35">
        <v>17</v>
      </c>
      <c r="B174" s="33">
        <f t="shared" si="34"/>
        <v>856800</v>
      </c>
      <c r="C174" s="33">
        <f t="shared" si="32"/>
        <v>165</v>
      </c>
      <c r="D174" s="33">
        <f t="shared" si="25"/>
        <v>141.372</v>
      </c>
      <c r="E174" s="33">
        <f>'UREA SYNTHESIS'!$F$17</f>
        <v>1.21990307567256</v>
      </c>
      <c r="F174" s="33">
        <f t="shared" si="26"/>
        <v>140.152096924327</v>
      </c>
      <c r="G174" s="33"/>
      <c r="H174" s="33"/>
      <c r="I174" s="33">
        <f t="shared" si="27"/>
        <v>140.152096924327</v>
      </c>
      <c r="J174" s="33">
        <f t="shared" si="35"/>
        <v>0</v>
      </c>
      <c r="K174" s="33">
        <f t="shared" si="33"/>
        <v>140.152096924327</v>
      </c>
      <c r="L174" s="68">
        <f>IF(K174&gt;0,K174*'UREA SYNTHESIS'!$K$15,0)</f>
        <v>28.0304193848655</v>
      </c>
      <c r="M174" s="33">
        <f t="shared" si="24"/>
        <v>112.121677539462</v>
      </c>
      <c r="N174" s="33">
        <f t="shared" si="28"/>
        <v>1899.57735450207</v>
      </c>
      <c r="O174" s="33">
        <f>(1+'UREA SYNTHESIS'!$K$16)^-A174</f>
        <v>0.197844668900135</v>
      </c>
      <c r="P174" s="69">
        <f t="shared" si="29"/>
        <v>22.1826761693226</v>
      </c>
      <c r="Q174" s="312">
        <f t="shared" si="30"/>
        <v>894.245984846326</v>
      </c>
    </row>
    <row r="175" spans="1:17">
      <c r="A175" s="60">
        <v>18</v>
      </c>
      <c r="B175" s="33">
        <f t="shared" si="34"/>
        <v>856800</v>
      </c>
      <c r="C175" s="33">
        <f t="shared" si="32"/>
        <v>165</v>
      </c>
      <c r="D175" s="33">
        <f t="shared" si="25"/>
        <v>141.372</v>
      </c>
      <c r="E175" s="33">
        <f>'UREA SYNTHESIS'!$F$17</f>
        <v>1.21990307567256</v>
      </c>
      <c r="F175" s="33">
        <f t="shared" si="26"/>
        <v>140.152096924327</v>
      </c>
      <c r="G175" s="33"/>
      <c r="H175" s="33"/>
      <c r="I175" s="33">
        <f t="shared" si="27"/>
        <v>140.152096924327</v>
      </c>
      <c r="J175" s="33">
        <f t="shared" si="35"/>
        <v>0</v>
      </c>
      <c r="K175" s="33">
        <f t="shared" si="33"/>
        <v>140.152096924327</v>
      </c>
      <c r="L175" s="68">
        <f>IF(K175&gt;0,K175*'UREA SYNTHESIS'!$K$15,0)</f>
        <v>28.0304193848655</v>
      </c>
      <c r="M175" s="33">
        <f t="shared" si="24"/>
        <v>112.121677539462</v>
      </c>
      <c r="N175" s="33">
        <f t="shared" si="28"/>
        <v>2011.69903204153</v>
      </c>
      <c r="O175" s="33">
        <f>(1+'UREA SYNTHESIS'!$K$16)^-A175</f>
        <v>0.179858789909214</v>
      </c>
      <c r="P175" s="69">
        <f t="shared" si="29"/>
        <v>20.1660692448387</v>
      </c>
      <c r="Q175" s="312">
        <f t="shared" si="30"/>
        <v>914.412054091165</v>
      </c>
    </row>
    <row r="176" spans="1:17">
      <c r="A176" s="35">
        <v>19</v>
      </c>
      <c r="B176" s="33">
        <f t="shared" si="34"/>
        <v>856800</v>
      </c>
      <c r="C176" s="33">
        <f t="shared" si="32"/>
        <v>165</v>
      </c>
      <c r="D176" s="33">
        <f t="shared" si="25"/>
        <v>141.372</v>
      </c>
      <c r="E176" s="33">
        <f>'UREA SYNTHESIS'!$F$17</f>
        <v>1.21990307567256</v>
      </c>
      <c r="F176" s="33">
        <f t="shared" si="26"/>
        <v>140.152096924327</v>
      </c>
      <c r="G176" s="33"/>
      <c r="H176" s="33"/>
      <c r="I176" s="33">
        <f t="shared" si="27"/>
        <v>140.152096924327</v>
      </c>
      <c r="J176" s="33">
        <f t="shared" si="35"/>
        <v>0</v>
      </c>
      <c r="K176" s="33">
        <f t="shared" si="33"/>
        <v>140.152096924327</v>
      </c>
      <c r="L176" s="68">
        <f>IF(K176&gt;0,K176*'UREA SYNTHESIS'!$K$15,0)</f>
        <v>28.0304193848655</v>
      </c>
      <c r="M176" s="33">
        <f t="shared" si="24"/>
        <v>112.121677539462</v>
      </c>
      <c r="N176" s="33">
        <f t="shared" si="28"/>
        <v>2123.82070958099</v>
      </c>
      <c r="O176" s="33">
        <f>(1+'UREA SYNTHESIS'!$K$16)^-A176</f>
        <v>0.163507990826558</v>
      </c>
      <c r="P176" s="69">
        <f t="shared" si="29"/>
        <v>18.3327902225806</v>
      </c>
      <c r="Q176" s="312">
        <f t="shared" si="30"/>
        <v>932.744844313745</v>
      </c>
    </row>
    <row r="177" spans="1:17">
      <c r="A177" s="60">
        <v>20</v>
      </c>
      <c r="B177" s="33">
        <f t="shared" si="34"/>
        <v>856800</v>
      </c>
      <c r="C177" s="33">
        <f t="shared" si="32"/>
        <v>165</v>
      </c>
      <c r="D177" s="33">
        <f t="shared" si="25"/>
        <v>141.372</v>
      </c>
      <c r="E177" s="33">
        <f>'UREA SYNTHESIS'!$F$17</f>
        <v>1.21990307567256</v>
      </c>
      <c r="F177" s="33">
        <f t="shared" si="26"/>
        <v>140.152096924327</v>
      </c>
      <c r="G177" s="33"/>
      <c r="H177" s="33"/>
      <c r="I177" s="33">
        <f t="shared" si="27"/>
        <v>140.152096924327</v>
      </c>
      <c r="J177" s="33">
        <f t="shared" si="35"/>
        <v>0</v>
      </c>
      <c r="K177" s="33">
        <f t="shared" si="33"/>
        <v>140.152096924327</v>
      </c>
      <c r="L177" s="68">
        <f>IF(K177&gt;0,K177*'UREA SYNTHESIS'!$K$15,0)</f>
        <v>28.0304193848655</v>
      </c>
      <c r="M177" s="33">
        <f t="shared" si="24"/>
        <v>112.121677539462</v>
      </c>
      <c r="N177" s="33">
        <f t="shared" si="28"/>
        <v>2235.94238712046</v>
      </c>
      <c r="O177" s="33">
        <f>(1+'UREA SYNTHESIS'!$K$16)^-A177</f>
        <v>0.148643628024143</v>
      </c>
      <c r="P177" s="69">
        <f t="shared" si="29"/>
        <v>16.6661729296187</v>
      </c>
      <c r="Q177" s="312">
        <f t="shared" si="30"/>
        <v>949.411017243364</v>
      </c>
    </row>
    <row r="178" spans="1:17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18">
        <f>SUM(P157:P177)</f>
        <v>949.411017243364</v>
      </c>
      <c r="Q178" s="312"/>
    </row>
    <row r="179" spans="1:17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4"/>
  <sheetViews>
    <sheetView zoomScale="61" zoomScaleNormal="61" workbookViewId="0">
      <selection activeCell="C21" sqref="C21:D27"/>
    </sheetView>
  </sheetViews>
  <sheetFormatPr defaultColWidth="9.14285714285714" defaultRowHeight="15"/>
  <cols>
    <col min="3" max="3" width="28.5714285714286" customWidth="1"/>
    <col min="4" max="4" width="14"/>
    <col min="5" max="5" width="11.8571428571429"/>
    <col min="6" max="6" width="16.1428571428571" customWidth="1"/>
    <col min="12" max="12" width="12.8571428571429"/>
  </cols>
  <sheetData>
    <row r="1" ht="30" spans="1:13">
      <c r="A1" s="194" t="s">
        <v>115</v>
      </c>
      <c r="B1" s="264"/>
      <c r="C1" s="264"/>
      <c r="D1" s="264"/>
      <c r="E1" s="264"/>
      <c r="F1" s="265"/>
      <c r="G1" s="80"/>
      <c r="H1" s="80"/>
      <c r="I1" s="80"/>
      <c r="J1" s="80"/>
      <c r="K1" s="125"/>
      <c r="L1" s="126"/>
      <c r="M1" s="57"/>
    </row>
    <row r="2" spans="1:14">
      <c r="A2" s="31"/>
      <c r="B2" s="35" t="s">
        <v>1</v>
      </c>
      <c r="C2" s="35"/>
      <c r="D2" s="33"/>
      <c r="E2" s="33"/>
      <c r="F2" s="33"/>
      <c r="G2" s="31"/>
      <c r="H2" s="31"/>
      <c r="I2" s="31"/>
      <c r="J2" s="31"/>
      <c r="K2" s="31"/>
      <c r="L2" s="31"/>
      <c r="M2" s="31"/>
      <c r="N2" s="31"/>
    </row>
    <row r="3" spans="1:14">
      <c r="A3" s="31"/>
      <c r="B3" s="33" t="s">
        <v>116</v>
      </c>
      <c r="C3" s="33"/>
      <c r="D3" s="33"/>
      <c r="E3" s="33"/>
      <c r="F3" s="33">
        <v>500</v>
      </c>
      <c r="G3" s="31"/>
      <c r="H3" s="31"/>
      <c r="I3" s="31"/>
      <c r="J3" s="31"/>
      <c r="K3" s="31"/>
      <c r="L3" s="31"/>
      <c r="M3" s="31"/>
      <c r="N3" s="31"/>
    </row>
    <row r="4" spans="1:14">
      <c r="A4" s="31"/>
      <c r="B4" s="69" t="s">
        <v>117</v>
      </c>
      <c r="C4" s="69"/>
      <c r="D4" s="33"/>
      <c r="E4" s="33"/>
      <c r="F4" s="33">
        <v>57.4</v>
      </c>
      <c r="G4" s="31"/>
      <c r="H4" s="35" t="s">
        <v>2</v>
      </c>
      <c r="I4" s="33"/>
      <c r="J4" s="33"/>
      <c r="K4" s="33"/>
      <c r="L4" s="33"/>
      <c r="M4" s="33"/>
      <c r="N4" s="31"/>
    </row>
    <row r="5" spans="1:14">
      <c r="A5" s="31"/>
      <c r="B5" s="33" t="s">
        <v>118</v>
      </c>
      <c r="C5" s="33"/>
      <c r="D5" s="33"/>
      <c r="E5" s="33"/>
      <c r="F5" s="33">
        <v>46.5</v>
      </c>
      <c r="G5" s="31"/>
      <c r="H5" s="33"/>
      <c r="I5" s="33"/>
      <c r="J5" s="33"/>
      <c r="K5" s="33"/>
      <c r="L5" s="33"/>
      <c r="M5" s="33"/>
      <c r="N5" s="31"/>
    </row>
    <row r="6" spans="1:14">
      <c r="A6" s="31"/>
      <c r="B6" s="33" t="s">
        <v>119</v>
      </c>
      <c r="C6" s="33"/>
      <c r="D6" s="33"/>
      <c r="E6" s="33"/>
      <c r="F6" s="33">
        <v>10</v>
      </c>
      <c r="G6" s="31"/>
      <c r="H6" s="33" t="s">
        <v>103</v>
      </c>
      <c r="I6" s="33"/>
      <c r="J6" s="33"/>
      <c r="K6" s="33"/>
      <c r="L6" s="33">
        <f>4000</f>
        <v>4000</v>
      </c>
      <c r="M6" s="33">
        <v>4000</v>
      </c>
      <c r="N6" s="31"/>
    </row>
    <row r="7" spans="1:14">
      <c r="A7" s="31"/>
      <c r="B7" s="33"/>
      <c r="C7" s="33"/>
      <c r="D7" s="33"/>
      <c r="E7" s="33"/>
      <c r="F7" s="33"/>
      <c r="G7" s="31"/>
      <c r="H7" s="33"/>
      <c r="I7" s="33"/>
      <c r="J7" s="33"/>
      <c r="K7" s="33"/>
      <c r="L7" s="33"/>
      <c r="M7" s="33"/>
      <c r="N7" s="31"/>
    </row>
    <row r="8" spans="1:14">
      <c r="A8" s="31"/>
      <c r="B8" s="35" t="s">
        <v>25</v>
      </c>
      <c r="C8" s="35"/>
      <c r="D8" s="35"/>
      <c r="E8" s="185"/>
      <c r="F8" s="185">
        <f>8000000</f>
        <v>8000000</v>
      </c>
      <c r="G8" s="31"/>
      <c r="H8" s="35" t="s">
        <v>25</v>
      </c>
      <c r="I8" s="35"/>
      <c r="J8" s="35"/>
      <c r="K8" s="35"/>
      <c r="L8" s="304">
        <f>L6*L7</f>
        <v>0</v>
      </c>
      <c r="M8" s="304">
        <f>SUM(M5:M7)</f>
        <v>4000</v>
      </c>
      <c r="N8" s="31"/>
    </row>
    <row r="9" spans="1:14">
      <c r="A9" s="31"/>
      <c r="B9" s="31"/>
      <c r="C9" s="31"/>
      <c r="D9" s="31"/>
      <c r="E9" s="31"/>
      <c r="F9" s="31"/>
      <c r="G9" s="31"/>
      <c r="H9" s="35" t="s">
        <v>120</v>
      </c>
      <c r="I9" s="35"/>
      <c r="J9" s="35"/>
      <c r="K9" s="35"/>
      <c r="L9" s="35">
        <f>650</f>
        <v>650</v>
      </c>
      <c r="M9" s="35"/>
      <c r="N9" s="31"/>
    </row>
    <row r="10" spans="1:14">
      <c r="A10" s="31"/>
      <c r="B10" s="35" t="s">
        <v>104</v>
      </c>
      <c r="C10" s="35"/>
      <c r="D10" s="33"/>
      <c r="E10" s="33"/>
      <c r="F10" s="33"/>
      <c r="G10" s="31"/>
      <c r="H10" s="31"/>
      <c r="I10" s="31"/>
      <c r="J10" s="31"/>
      <c r="K10" s="31"/>
      <c r="L10" s="31"/>
      <c r="M10" s="31"/>
      <c r="N10" s="31"/>
    </row>
    <row r="11" spans="1:14">
      <c r="A11" s="31"/>
      <c r="B11" s="69" t="s">
        <v>15</v>
      </c>
      <c r="C11" s="69"/>
      <c r="D11" s="33" t="s">
        <v>121</v>
      </c>
      <c r="E11" s="33" t="s">
        <v>121</v>
      </c>
      <c r="F11" s="33">
        <v>4500</v>
      </c>
      <c r="G11" s="31"/>
      <c r="H11" s="35" t="s">
        <v>10</v>
      </c>
      <c r="I11" s="35"/>
      <c r="J11" s="35"/>
      <c r="K11" s="35"/>
      <c r="L11" s="35"/>
      <c r="M11" s="31"/>
      <c r="N11" s="31"/>
    </row>
    <row r="12" spans="1:14">
      <c r="A12" s="31"/>
      <c r="B12" s="69" t="s">
        <v>122</v>
      </c>
      <c r="C12" s="69"/>
      <c r="D12" s="33" t="s">
        <v>123</v>
      </c>
      <c r="E12" s="33" t="s">
        <v>123</v>
      </c>
      <c r="F12" s="217">
        <v>35</v>
      </c>
      <c r="G12" s="31"/>
      <c r="H12" s="35" t="s">
        <v>13</v>
      </c>
      <c r="I12" s="35"/>
      <c r="J12" s="35">
        <f>4</f>
        <v>4</v>
      </c>
      <c r="K12" s="35">
        <v>4</v>
      </c>
      <c r="L12" s="35" t="s">
        <v>14</v>
      </c>
      <c r="M12" s="31"/>
      <c r="N12" s="31"/>
    </row>
    <row r="13" spans="1:14">
      <c r="A13" s="31"/>
      <c r="B13" s="69" t="s">
        <v>106</v>
      </c>
      <c r="C13" s="69"/>
      <c r="D13" s="33" t="s">
        <v>124</v>
      </c>
      <c r="E13" s="33" t="s">
        <v>124</v>
      </c>
      <c r="F13" s="33">
        <v>5</v>
      </c>
      <c r="G13" s="31"/>
      <c r="H13" s="31"/>
      <c r="I13" s="31"/>
      <c r="J13" s="31"/>
      <c r="K13" s="31"/>
      <c r="L13" s="31"/>
      <c r="M13" s="31"/>
      <c r="N13" s="31"/>
    </row>
    <row r="14" spans="1:14">
      <c r="A14" s="31"/>
      <c r="B14" s="33" t="s">
        <v>125</v>
      </c>
      <c r="C14" s="33"/>
      <c r="D14" s="267" t="s">
        <v>126</v>
      </c>
      <c r="E14" s="267" t="s">
        <v>126</v>
      </c>
      <c r="F14" s="217">
        <v>200</v>
      </c>
      <c r="G14" s="31"/>
      <c r="H14" s="35" t="s">
        <v>19</v>
      </c>
      <c r="I14" s="35"/>
      <c r="J14" s="35"/>
      <c r="K14" s="35"/>
      <c r="L14" s="31"/>
      <c r="M14" s="31"/>
      <c r="N14" s="31"/>
    </row>
    <row r="15" spans="1:14">
      <c r="A15" s="31"/>
      <c r="B15" s="33" t="s">
        <v>107</v>
      </c>
      <c r="C15" s="33"/>
      <c r="D15" s="33"/>
      <c r="E15" s="33"/>
      <c r="F15" s="268">
        <v>5000</v>
      </c>
      <c r="G15" s="31"/>
      <c r="H15" s="35" t="s">
        <v>21</v>
      </c>
      <c r="I15" s="35"/>
      <c r="J15" s="35">
        <f>20%</f>
        <v>0.2</v>
      </c>
      <c r="K15" s="35">
        <f>J15</f>
        <v>0.2</v>
      </c>
      <c r="L15" s="31"/>
      <c r="M15" s="31"/>
      <c r="N15" s="31"/>
    </row>
    <row r="16" spans="1:14">
      <c r="A16" s="31"/>
      <c r="B16" s="33" t="s">
        <v>108</v>
      </c>
      <c r="C16" s="33"/>
      <c r="D16" s="33"/>
      <c r="E16" s="33"/>
      <c r="F16" s="217">
        <f>80000</f>
        <v>80000</v>
      </c>
      <c r="G16" s="31"/>
      <c r="H16" s="35" t="s">
        <v>24</v>
      </c>
      <c r="I16" s="35"/>
      <c r="J16" s="35">
        <f>10%</f>
        <v>0.1</v>
      </c>
      <c r="K16" s="35">
        <f>J16</f>
        <v>0.1</v>
      </c>
      <c r="L16" s="31"/>
      <c r="M16" s="31"/>
      <c r="N16" s="31"/>
    </row>
    <row r="17" spans="1:14">
      <c r="A17" s="31"/>
      <c r="B17" s="35" t="s">
        <v>25</v>
      </c>
      <c r="C17" s="35"/>
      <c r="D17" s="35" t="s">
        <v>12</v>
      </c>
      <c r="E17" s="35" t="s">
        <v>12</v>
      </c>
      <c r="F17" s="185">
        <f>((F11*F12)+(F13*F14*1000)+SUM(F15:F16))</f>
        <v>1242500</v>
      </c>
      <c r="G17" s="31"/>
      <c r="H17" s="31"/>
      <c r="I17" s="31"/>
      <c r="J17" s="31"/>
      <c r="K17" s="31"/>
      <c r="L17" s="31"/>
      <c r="M17" s="31"/>
      <c r="N17" s="31"/>
    </row>
    <row r="18" spans="1:14">
      <c r="A18" s="31"/>
      <c r="B18" s="108"/>
      <c r="C18" s="108"/>
      <c r="D18" s="108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>
      <c r="A19" s="31"/>
      <c r="B19" s="90"/>
      <c r="C19" s="183"/>
      <c r="D19" s="90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>
      <c r="A20" s="31"/>
      <c r="B20" s="90"/>
      <c r="C20" s="220"/>
      <c r="D20" s="90"/>
      <c r="E20" s="31"/>
      <c r="F20" s="31"/>
      <c r="G20" s="31"/>
      <c r="H20" s="31"/>
      <c r="I20" s="31"/>
      <c r="J20" s="31"/>
      <c r="K20" s="31"/>
      <c r="L20" s="31"/>
      <c r="M20" s="31"/>
      <c r="N20" s="31"/>
    </row>
    <row r="21" spans="1:14">
      <c r="A21" s="31"/>
      <c r="B21" s="112"/>
      <c r="C21" s="293" t="s">
        <v>26</v>
      </c>
      <c r="D21" s="221"/>
      <c r="E21" s="222"/>
      <c r="F21" s="31"/>
      <c r="G21" s="31"/>
      <c r="H21" s="31"/>
      <c r="I21" s="31"/>
      <c r="J21" s="31"/>
      <c r="K21" s="31"/>
      <c r="L21" s="31"/>
      <c r="M21" s="31"/>
      <c r="N21" s="31"/>
    </row>
    <row r="22" spans="1:14">
      <c r="A22" s="31"/>
      <c r="B22" s="112"/>
      <c r="C22" s="294" t="s">
        <v>27</v>
      </c>
      <c r="D22" s="269">
        <f>'METHANOL SYNTHESIS 2'!P25</f>
        <v>3.9351979148536</v>
      </c>
      <c r="E22" s="223"/>
      <c r="F22" s="31"/>
      <c r="G22" s="31"/>
      <c r="H22" s="108"/>
      <c r="I22" s="108"/>
      <c r="J22" s="108"/>
      <c r="K22" s="31"/>
      <c r="L22" s="31"/>
      <c r="M22" s="31"/>
      <c r="N22" s="31"/>
    </row>
    <row r="23" spans="1:14">
      <c r="A23" s="31"/>
      <c r="B23" s="112"/>
      <c r="C23" s="294" t="s">
        <v>28</v>
      </c>
      <c r="D23" s="295">
        <f>IRR('METHANOL SYNTHESIS 2'!M5:M24)</f>
        <v>0.288403431175069</v>
      </c>
      <c r="E23" s="223"/>
      <c r="F23" s="31"/>
      <c r="G23" s="31"/>
      <c r="H23" s="108"/>
      <c r="I23" s="108"/>
      <c r="J23" s="108"/>
      <c r="K23" s="31"/>
      <c r="L23" s="31"/>
      <c r="M23" s="31"/>
      <c r="N23" s="31"/>
    </row>
    <row r="24" spans="1:14">
      <c r="A24" s="31"/>
      <c r="B24" s="112"/>
      <c r="C24" s="294" t="s">
        <v>29</v>
      </c>
      <c r="D24" s="223">
        <f>D22/(F8/10^6)</f>
        <v>0.4918997393567</v>
      </c>
      <c r="E24" s="223"/>
      <c r="F24" s="31"/>
      <c r="G24" s="31"/>
      <c r="H24" s="108"/>
      <c r="I24" s="108"/>
      <c r="J24" s="108"/>
      <c r="K24" s="31"/>
      <c r="L24" s="31"/>
      <c r="M24" s="31"/>
      <c r="N24" s="31"/>
    </row>
    <row r="25" spans="1:14">
      <c r="A25" s="31"/>
      <c r="B25" s="112"/>
      <c r="C25" s="294" t="s">
        <v>30</v>
      </c>
      <c r="D25" s="223">
        <f>1+D24</f>
        <v>1.4918997393567</v>
      </c>
      <c r="E25" s="223"/>
      <c r="F25" s="31"/>
      <c r="G25" s="31"/>
      <c r="H25" s="31"/>
      <c r="I25" s="31"/>
      <c r="J25" s="31"/>
      <c r="K25" s="31"/>
      <c r="L25" s="31"/>
      <c r="M25" s="31"/>
      <c r="N25" s="31"/>
    </row>
    <row r="26" spans="1:14">
      <c r="A26" s="31"/>
      <c r="B26" s="112"/>
      <c r="C26" s="294" t="s">
        <v>31</v>
      </c>
      <c r="D26" s="253">
        <f>'METHANOL SYNTHESIS 3'!D56</f>
        <v>7.25361282263538</v>
      </c>
      <c r="E26" s="223" t="s">
        <v>14</v>
      </c>
      <c r="F26" s="31"/>
      <c r="G26" s="31"/>
      <c r="H26" s="31"/>
      <c r="I26" s="31"/>
      <c r="J26" s="31"/>
      <c r="K26" s="31"/>
      <c r="L26" s="31"/>
      <c r="M26" s="31"/>
      <c r="N26" s="31"/>
    </row>
    <row r="27" spans="1:14">
      <c r="A27" s="31"/>
      <c r="B27" s="31"/>
      <c r="C27" s="227" t="s">
        <v>32</v>
      </c>
      <c r="D27" s="272">
        <f>'METHANOL SYNTHESIS 3'!C123</f>
        <v>505.953841448693</v>
      </c>
      <c r="E27" s="227"/>
      <c r="F27" s="31"/>
      <c r="G27" s="31"/>
      <c r="H27" s="31"/>
      <c r="I27" s="31"/>
      <c r="J27" s="31"/>
      <c r="K27" s="31"/>
      <c r="L27" s="31"/>
      <c r="M27" s="31"/>
      <c r="N27" s="31"/>
    </row>
    <row r="28" spans="1:14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</row>
    <row r="29" spans="1:14">
      <c r="A29" s="31"/>
      <c r="B29" s="90"/>
      <c r="C29" s="90"/>
      <c r="D29" s="90"/>
      <c r="E29" s="90"/>
      <c r="F29" s="90"/>
      <c r="G29" s="31"/>
      <c r="H29" s="31" t="s">
        <v>127</v>
      </c>
      <c r="I29" s="31"/>
      <c r="J29" s="31"/>
      <c r="K29" s="31"/>
      <c r="L29" s="31"/>
      <c r="M29" s="31"/>
      <c r="N29" s="31"/>
    </row>
    <row r="30" spans="1:14">
      <c r="A30" s="31"/>
      <c r="B30" s="90"/>
      <c r="C30" s="90"/>
      <c r="D30" s="90"/>
      <c r="E30" s="90"/>
      <c r="F30" s="90"/>
      <c r="G30" s="31"/>
      <c r="H30" s="31"/>
      <c r="I30" s="31"/>
      <c r="J30" s="31"/>
      <c r="K30" s="31"/>
      <c r="L30" s="31"/>
      <c r="M30" s="31"/>
      <c r="N30" s="31"/>
    </row>
    <row r="31" spans="1:13">
      <c r="A31" s="89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305"/>
    </row>
    <row r="32" spans="1:13">
      <c r="A32" s="89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305"/>
    </row>
    <row r="33" spans="1:13">
      <c r="A33" s="89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305"/>
    </row>
    <row r="34" spans="1:13">
      <c r="A34" s="89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305"/>
    </row>
    <row r="35" spans="1:13">
      <c r="A35" s="89"/>
      <c r="B35" s="84"/>
      <c r="C35" s="84"/>
      <c r="D35" s="84"/>
      <c r="E35" s="85"/>
      <c r="F35" s="85"/>
      <c r="G35" s="84"/>
      <c r="H35" s="84"/>
      <c r="I35" s="84"/>
      <c r="J35" s="84"/>
      <c r="K35" s="84"/>
      <c r="L35" s="290"/>
      <c r="M35" s="305"/>
    </row>
    <row r="36" spans="1:13">
      <c r="A36" s="89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305"/>
    </row>
    <row r="37" spans="1:13">
      <c r="A37" s="89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305"/>
      <c r="M37" s="305"/>
    </row>
    <row r="38" spans="1:13">
      <c r="A38" s="89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305"/>
      <c r="M38" s="305"/>
    </row>
    <row r="39" spans="1:13">
      <c r="A39" s="89"/>
      <c r="B39" s="84"/>
      <c r="C39" s="84"/>
      <c r="D39" s="84"/>
      <c r="E39" s="85"/>
      <c r="F39" s="84"/>
      <c r="G39" s="84"/>
      <c r="H39" s="84"/>
      <c r="I39" s="84"/>
      <c r="J39" s="84"/>
      <c r="K39" s="84"/>
      <c r="L39" s="305"/>
      <c r="M39" s="305"/>
    </row>
    <row r="40" spans="1:13">
      <c r="A40" s="89"/>
      <c r="B40" s="84"/>
      <c r="C40" s="84"/>
      <c r="D40" s="84"/>
      <c r="E40" s="84"/>
      <c r="F40" s="296"/>
      <c r="G40" s="84"/>
      <c r="H40" s="84"/>
      <c r="I40" s="84"/>
      <c r="J40" s="84"/>
      <c r="K40" s="84"/>
      <c r="L40" s="305"/>
      <c r="M40" s="305"/>
    </row>
    <row r="41" spans="1:13">
      <c r="A41" s="89"/>
      <c r="B41" s="84"/>
      <c r="C41" s="84"/>
      <c r="D41" s="84"/>
      <c r="E41" s="85"/>
      <c r="F41" s="285"/>
      <c r="G41" s="84"/>
      <c r="H41" s="84"/>
      <c r="I41" s="84"/>
      <c r="J41" s="84"/>
      <c r="K41" s="84"/>
      <c r="L41" s="305"/>
      <c r="M41" s="305"/>
    </row>
    <row r="42" spans="1:13">
      <c r="A42" s="89"/>
      <c r="B42" s="84"/>
      <c r="C42" s="84"/>
      <c r="D42" s="84"/>
      <c r="E42" s="297"/>
      <c r="F42" s="84"/>
      <c r="G42" s="84"/>
      <c r="H42" s="84"/>
      <c r="I42" s="84"/>
      <c r="J42" s="84"/>
      <c r="K42" s="84"/>
      <c r="L42" s="305"/>
      <c r="M42" s="305"/>
    </row>
    <row r="43" spans="1:13">
      <c r="A43" s="89"/>
      <c r="B43" s="84"/>
      <c r="C43" s="84"/>
      <c r="D43" s="84"/>
      <c r="E43" s="85"/>
      <c r="F43" s="84"/>
      <c r="G43" s="84"/>
      <c r="H43" s="84"/>
      <c r="I43" s="84"/>
      <c r="J43" s="84"/>
      <c r="K43" s="84"/>
      <c r="L43" s="305"/>
      <c r="M43" s="305"/>
    </row>
    <row r="44" spans="1:13">
      <c r="A44" s="89"/>
      <c r="B44" s="84"/>
      <c r="C44" s="84"/>
      <c r="D44" s="84"/>
      <c r="E44" s="85"/>
      <c r="F44" s="84"/>
      <c r="G44" s="84"/>
      <c r="H44" s="84"/>
      <c r="I44" s="84"/>
      <c r="J44" s="84"/>
      <c r="K44" s="84"/>
      <c r="L44" s="305"/>
      <c r="M44" s="305"/>
    </row>
    <row r="45" spans="1:13">
      <c r="A45" s="89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305"/>
      <c r="M45" s="305"/>
    </row>
    <row r="46" spans="1:13">
      <c r="A46" s="89"/>
      <c r="B46" s="84"/>
      <c r="C46" s="85"/>
      <c r="D46" s="84"/>
      <c r="E46" s="84"/>
      <c r="F46" s="84"/>
      <c r="G46" s="84"/>
      <c r="H46" s="84"/>
      <c r="I46" s="84"/>
      <c r="J46" s="84"/>
      <c r="K46" s="84"/>
      <c r="L46" s="305"/>
      <c r="M46" s="305"/>
    </row>
    <row r="47" spans="1:13">
      <c r="A47" s="89"/>
      <c r="B47" s="84"/>
      <c r="C47" s="298"/>
      <c r="D47" s="84"/>
      <c r="E47" s="84"/>
      <c r="F47" s="84"/>
      <c r="G47" s="84"/>
      <c r="H47" s="84"/>
      <c r="I47" s="84"/>
      <c r="J47" s="84"/>
      <c r="K47" s="84"/>
      <c r="L47" s="305"/>
      <c r="M47" s="305"/>
    </row>
    <row r="48" spans="1:13">
      <c r="A48" s="89"/>
      <c r="B48" s="299"/>
      <c r="C48" s="299"/>
      <c r="D48" s="299"/>
      <c r="E48" s="84"/>
      <c r="F48" s="84"/>
      <c r="G48" s="84"/>
      <c r="H48" s="84"/>
      <c r="I48" s="84"/>
      <c r="J48" s="84"/>
      <c r="K48" s="84"/>
      <c r="L48" s="305"/>
      <c r="M48" s="305"/>
    </row>
    <row r="49" spans="1:13">
      <c r="A49" s="89"/>
      <c r="B49" s="299"/>
      <c r="C49" s="300"/>
      <c r="D49" s="299"/>
      <c r="E49" s="84"/>
      <c r="F49" s="84"/>
      <c r="G49" s="84"/>
      <c r="H49" s="84"/>
      <c r="I49" s="84"/>
      <c r="J49" s="84"/>
      <c r="K49" s="84"/>
      <c r="L49" s="305"/>
      <c r="M49" s="305"/>
    </row>
    <row r="50" spans="1:13">
      <c r="A50" s="89"/>
      <c r="B50" s="299"/>
      <c r="C50" s="301"/>
      <c r="D50" s="299"/>
      <c r="E50" s="84"/>
      <c r="F50" s="84"/>
      <c r="G50" s="84"/>
      <c r="H50" s="84"/>
      <c r="I50" s="84"/>
      <c r="J50" s="84"/>
      <c r="K50" s="84"/>
      <c r="L50" s="305"/>
      <c r="M50" s="305"/>
    </row>
    <row r="51" spans="1:13">
      <c r="A51" s="89"/>
      <c r="B51" s="299"/>
      <c r="C51" s="299"/>
      <c r="D51" s="299"/>
      <c r="E51" s="84"/>
      <c r="F51" s="84"/>
      <c r="G51" s="84"/>
      <c r="H51" s="84"/>
      <c r="I51" s="84"/>
      <c r="J51" s="84"/>
      <c r="K51" s="84"/>
      <c r="L51" s="305"/>
      <c r="M51" s="305"/>
    </row>
    <row r="52" spans="1:13">
      <c r="A52" s="89"/>
      <c r="B52" s="299"/>
      <c r="C52" s="299"/>
      <c r="D52" s="299"/>
      <c r="E52" s="84"/>
      <c r="F52" s="84"/>
      <c r="G52" s="84"/>
      <c r="H52" s="84"/>
      <c r="I52" s="84"/>
      <c r="J52" s="84"/>
      <c r="K52" s="84"/>
      <c r="L52" s="305"/>
      <c r="M52" s="305"/>
    </row>
    <row r="53" spans="1:13">
      <c r="A53" s="89"/>
      <c r="B53" s="299"/>
      <c r="C53" s="302"/>
      <c r="D53" s="299"/>
      <c r="E53" s="84"/>
      <c r="F53" s="84"/>
      <c r="G53" s="84"/>
      <c r="H53" s="84"/>
      <c r="I53" s="84"/>
      <c r="J53" s="84"/>
      <c r="K53" s="84"/>
      <c r="L53" s="305"/>
      <c r="M53" s="305"/>
    </row>
    <row r="54" spans="2:13">
      <c r="B54" s="303"/>
      <c r="C54" s="303"/>
      <c r="D54" s="303"/>
      <c r="E54" s="303"/>
      <c r="F54" s="303"/>
      <c r="G54" s="303"/>
      <c r="H54" s="303"/>
      <c r="I54" s="303"/>
      <c r="J54" s="303"/>
      <c r="K54" s="303"/>
      <c r="L54" s="306"/>
      <c r="M54" s="306"/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87"/>
  <sheetViews>
    <sheetView zoomScale="68" zoomScaleNormal="68" topLeftCell="A2" workbookViewId="0">
      <selection activeCell="G4" sqref="A3:Q25"/>
    </sheetView>
  </sheetViews>
  <sheetFormatPr defaultColWidth="9.14285714285714" defaultRowHeight="15"/>
  <cols>
    <col min="1" max="1" width="8" customWidth="1"/>
    <col min="2" max="2" width="11.7142857142857"/>
    <col min="3" max="3" width="10.5714285714286"/>
    <col min="5" max="5" width="11.7142857142857"/>
    <col min="6" max="7" width="14"/>
    <col min="9" max="9" width="10.4285714285714" customWidth="1"/>
    <col min="10" max="11" width="9.28571428571429"/>
    <col min="13" max="13" width="9.28571428571429"/>
    <col min="14" max="14" width="9.57142857142857"/>
    <col min="15" max="15" width="12.8571428571429"/>
    <col min="16" max="16" width="10.4285714285714"/>
    <col min="17" max="17" width="11"/>
    <col min="18" max="19" width="12"/>
    <col min="21" max="22" width="12"/>
  </cols>
  <sheetData>
    <row r="1" ht="31.5" spans="1:14">
      <c r="A1" s="56" t="s">
        <v>128</v>
      </c>
      <c r="B1" s="279"/>
      <c r="C1" s="279"/>
      <c r="D1" s="279"/>
      <c r="E1" s="279"/>
      <c r="J1" s="65"/>
      <c r="K1" s="65"/>
      <c r="L1" s="65"/>
      <c r="M1" s="65"/>
      <c r="N1" s="65"/>
    </row>
    <row r="2" spans="1:18">
      <c r="A2" s="31"/>
      <c r="B2" s="31"/>
      <c r="C2" s="31"/>
      <c r="D2" s="31"/>
      <c r="E2" s="31"/>
      <c r="F2" s="31"/>
      <c r="G2" s="31"/>
      <c r="H2" s="31"/>
      <c r="I2" s="31"/>
      <c r="J2" s="108"/>
      <c r="K2" s="108"/>
      <c r="L2" s="108"/>
      <c r="M2" s="108"/>
      <c r="N2" s="108"/>
      <c r="O2" s="31"/>
      <c r="P2" s="31"/>
      <c r="Q2" s="31"/>
      <c r="R2" s="31"/>
    </row>
    <row r="3" ht="105" spans="1:18">
      <c r="A3" s="58" t="s">
        <v>34</v>
      </c>
      <c r="B3" s="59" t="s">
        <v>35</v>
      </c>
      <c r="C3" s="59" t="s">
        <v>36</v>
      </c>
      <c r="D3" s="59" t="s">
        <v>37</v>
      </c>
      <c r="E3" s="59" t="s">
        <v>38</v>
      </c>
      <c r="F3" s="59" t="s">
        <v>39</v>
      </c>
      <c r="G3" s="59" t="s">
        <v>40</v>
      </c>
      <c r="H3" s="59" t="s">
        <v>41</v>
      </c>
      <c r="I3" s="59" t="s">
        <v>42</v>
      </c>
      <c r="J3" s="59" t="s">
        <v>43</v>
      </c>
      <c r="K3" s="66" t="s">
        <v>44</v>
      </c>
      <c r="L3" s="67" t="s">
        <v>45</v>
      </c>
      <c r="M3" s="67" t="s">
        <v>46</v>
      </c>
      <c r="N3" s="67" t="s">
        <v>47</v>
      </c>
      <c r="O3" s="67" t="s">
        <v>48</v>
      </c>
      <c r="P3" s="67" t="s">
        <v>49</v>
      </c>
      <c r="Q3" s="67" t="s">
        <v>50</v>
      </c>
      <c r="R3" s="31"/>
    </row>
    <row r="4" spans="1:18">
      <c r="A4" s="60">
        <v>0</v>
      </c>
      <c r="B4" s="61"/>
      <c r="C4" s="62"/>
      <c r="D4" s="63"/>
      <c r="E4" s="62"/>
      <c r="F4" s="62"/>
      <c r="G4" s="280">
        <f>'METHANOL SYNTHESIS'!F8</f>
        <v>8000000</v>
      </c>
      <c r="H4" s="62"/>
      <c r="I4" s="62"/>
      <c r="J4" s="62"/>
      <c r="K4" s="33">
        <f>J4</f>
        <v>0</v>
      </c>
      <c r="L4" s="68">
        <f>IF(K4&gt;0,K4*'METHANOL SYNTHESIS'!$K$15,0)</f>
        <v>0</v>
      </c>
      <c r="M4" s="33">
        <f t="shared" ref="M4:M24" si="0">I4-L4</f>
        <v>0</v>
      </c>
      <c r="N4" s="33">
        <v>0</v>
      </c>
      <c r="O4" s="33">
        <f>(1+'METHANOL SYNTHESIS'!$K$16)^-A4</f>
        <v>1</v>
      </c>
      <c r="P4" s="69">
        <f>N4*O4</f>
        <v>0</v>
      </c>
      <c r="Q4" s="287">
        <f>P4</f>
        <v>0</v>
      </c>
      <c r="R4" s="31"/>
    </row>
    <row r="5" spans="1:18">
      <c r="A5" s="35">
        <v>1</v>
      </c>
      <c r="B5" s="64">
        <f>'METHANOL SYNTHESIS'!$L$6</f>
        <v>4000</v>
      </c>
      <c r="C5" s="64">
        <f>'METHANOL SYNTHESIS'!$L$9</f>
        <v>650</v>
      </c>
      <c r="D5" s="64">
        <f t="shared" ref="D5:D24" si="1">B5*C5/10^6</f>
        <v>2.6</v>
      </c>
      <c r="E5" s="64">
        <f>'METHANOL SYNTHESIS'!$F$17/10^6</f>
        <v>1.2425</v>
      </c>
      <c r="F5" s="64">
        <f t="shared" ref="F5:F24" si="2">D5-E5</f>
        <v>1.3575</v>
      </c>
      <c r="G5" s="64"/>
      <c r="H5" s="64">
        <f>'METHANOL SYNTHESIS'!$F$8/'METHANOL SYNTHESIS'!$K$12/10^6</f>
        <v>2</v>
      </c>
      <c r="I5" s="64">
        <f>F5-H5</f>
        <v>-0.6425</v>
      </c>
      <c r="J5" s="64">
        <f>IF(I5&lt;0,I5+J4,0)</f>
        <v>-0.6425</v>
      </c>
      <c r="K5" s="64">
        <f t="shared" ref="K5:K11" si="3">IF(J5&lt;0,J5,I5)</f>
        <v>-0.6425</v>
      </c>
      <c r="L5" s="71">
        <f>IF(K5&gt;0,K5*'METHANOL SYNTHESIS'!$K$15,0)</f>
        <v>0</v>
      </c>
      <c r="M5" s="64">
        <f t="shared" si="0"/>
        <v>-0.6425</v>
      </c>
      <c r="N5" s="64">
        <f t="shared" ref="N5:N24" si="4">N4+M5</f>
        <v>-0.6425</v>
      </c>
      <c r="O5" s="64">
        <f>(1+'METHANOL SYNTHESIS'!$K$16)^-A5</f>
        <v>0.909090909090909</v>
      </c>
      <c r="P5" s="70">
        <f t="shared" ref="P5:P24" si="5">M5*O5</f>
        <v>-0.584090909090909</v>
      </c>
      <c r="Q5" s="288">
        <f t="shared" ref="Q5:Q24" si="6">Q4+P5</f>
        <v>-0.584090909090909</v>
      </c>
      <c r="R5" s="31"/>
    </row>
    <row r="6" ht="15.75" spans="1:18">
      <c r="A6" s="60">
        <v>2</v>
      </c>
      <c r="B6" s="64">
        <f>'METHANOL SYNTHESIS'!$L$6</f>
        <v>4000</v>
      </c>
      <c r="C6" s="64">
        <f>$C$5</f>
        <v>650</v>
      </c>
      <c r="D6" s="64">
        <f t="shared" si="1"/>
        <v>2.6</v>
      </c>
      <c r="E6" s="64">
        <f>'METHANOL SYNTHESIS'!$F$17/10^6</f>
        <v>1.2425</v>
      </c>
      <c r="F6" s="64">
        <f t="shared" si="2"/>
        <v>1.3575</v>
      </c>
      <c r="G6" s="281"/>
      <c r="H6" s="64">
        <f>'METHANOL SYNTHESIS'!$F$8/'METHANOL SYNTHESIS'!$K$12/10^6</f>
        <v>2</v>
      </c>
      <c r="I6" s="64">
        <f t="shared" ref="I6:I24" si="7">F6-H6</f>
        <v>-0.6425</v>
      </c>
      <c r="J6" s="64">
        <f>IF(J5&lt;0,I6+J5,0)</f>
        <v>-1.285</v>
      </c>
      <c r="K6" s="64">
        <f t="shared" si="3"/>
        <v>-1.285</v>
      </c>
      <c r="L6" s="71">
        <f>IF(K6&gt;0,K6*'METHANOL SYNTHESIS'!$K$15,0)</f>
        <v>0</v>
      </c>
      <c r="M6" s="64">
        <f t="shared" si="0"/>
        <v>-0.6425</v>
      </c>
      <c r="N6" s="64">
        <f t="shared" si="4"/>
        <v>-1.285</v>
      </c>
      <c r="O6" s="64">
        <f>(1+'METHANOL SYNTHESIS'!$K$16)^-A6</f>
        <v>0.826446280991735</v>
      </c>
      <c r="P6" s="70">
        <f t="shared" si="5"/>
        <v>-0.53099173553719</v>
      </c>
      <c r="Q6" s="288">
        <f t="shared" si="6"/>
        <v>-1.1150826446281</v>
      </c>
      <c r="R6" s="31"/>
    </row>
    <row r="7" spans="1:18">
      <c r="A7" s="35">
        <v>3</v>
      </c>
      <c r="B7" s="64">
        <f>'METHANOL SYNTHESIS'!$L$6</f>
        <v>4000</v>
      </c>
      <c r="C7" s="64">
        <f>$C$5</f>
        <v>650</v>
      </c>
      <c r="D7" s="64">
        <f t="shared" si="1"/>
        <v>2.6</v>
      </c>
      <c r="E7" s="64">
        <f>'METHANOL SYNTHESIS'!$F$17/10^6</f>
        <v>1.2425</v>
      </c>
      <c r="F7" s="64">
        <f t="shared" si="2"/>
        <v>1.3575</v>
      </c>
      <c r="G7" s="64"/>
      <c r="H7" s="64">
        <f>'METHANOL SYNTHESIS'!$F$8/'METHANOL SYNTHESIS'!$K$12/10^6</f>
        <v>2</v>
      </c>
      <c r="I7" s="64">
        <f t="shared" si="7"/>
        <v>-0.6425</v>
      </c>
      <c r="J7" s="64">
        <f t="shared" ref="J7:J14" si="8">IF(J6&lt;0,I7+J6,0)</f>
        <v>-1.9275</v>
      </c>
      <c r="K7" s="64">
        <f t="shared" si="3"/>
        <v>-1.9275</v>
      </c>
      <c r="L7" s="71">
        <f>IF(K7&gt;0,K7*'METHANOL SYNTHESIS'!$K$15,0)</f>
        <v>0</v>
      </c>
      <c r="M7" s="64">
        <f t="shared" si="0"/>
        <v>-0.6425</v>
      </c>
      <c r="N7" s="64">
        <f t="shared" si="4"/>
        <v>-1.9275</v>
      </c>
      <c r="O7" s="64">
        <f>(1+'METHANOL SYNTHESIS'!$K$16)^-A7</f>
        <v>0.751314800901578</v>
      </c>
      <c r="P7" s="70">
        <f t="shared" si="5"/>
        <v>-0.482719759579264</v>
      </c>
      <c r="Q7" s="288">
        <f t="shared" si="6"/>
        <v>-1.59780240420736</v>
      </c>
      <c r="R7" s="31"/>
    </row>
    <row r="8" spans="1:18">
      <c r="A8" s="60">
        <v>4</v>
      </c>
      <c r="B8" s="64">
        <f>'METHANOL SYNTHESIS'!$L$6</f>
        <v>4000</v>
      </c>
      <c r="C8" s="64">
        <f>$C$5</f>
        <v>650</v>
      </c>
      <c r="D8" s="64">
        <f t="shared" si="1"/>
        <v>2.6</v>
      </c>
      <c r="E8" s="64">
        <f>'METHANOL SYNTHESIS'!$F$17/10^6</f>
        <v>1.2425</v>
      </c>
      <c r="F8" s="64">
        <f t="shared" si="2"/>
        <v>1.3575</v>
      </c>
      <c r="G8" s="64"/>
      <c r="H8" s="64">
        <f>'METHANOL SYNTHESIS'!$F$8/'METHANOL SYNTHESIS'!$K$12/10^6</f>
        <v>2</v>
      </c>
      <c r="I8" s="64">
        <f t="shared" si="7"/>
        <v>-0.6425</v>
      </c>
      <c r="J8" s="64">
        <f t="shared" si="8"/>
        <v>-2.57</v>
      </c>
      <c r="K8" s="64">
        <f t="shared" si="3"/>
        <v>-2.57</v>
      </c>
      <c r="L8" s="71">
        <f>IF(K8&gt;0,K8*'METHANOL SYNTHESIS'!$K$15,0)</f>
        <v>0</v>
      </c>
      <c r="M8" s="64">
        <f t="shared" si="0"/>
        <v>-0.6425</v>
      </c>
      <c r="N8" s="64">
        <f t="shared" si="4"/>
        <v>-2.57</v>
      </c>
      <c r="O8" s="64">
        <f>(1+'METHANOL SYNTHESIS'!$K$16)^-A8</f>
        <v>0.683013455365071</v>
      </c>
      <c r="P8" s="70">
        <f t="shared" si="5"/>
        <v>-0.438836145072058</v>
      </c>
      <c r="Q8" s="288">
        <f t="shared" si="6"/>
        <v>-2.03663854927942</v>
      </c>
      <c r="R8" s="31"/>
    </row>
    <row r="9" spans="1:18">
      <c r="A9" s="35">
        <v>5</v>
      </c>
      <c r="B9" s="64">
        <f>'METHANOL SYNTHESIS'!$L$6</f>
        <v>4000</v>
      </c>
      <c r="C9" s="64">
        <f>$C$5</f>
        <v>650</v>
      </c>
      <c r="D9" s="64">
        <f t="shared" si="1"/>
        <v>2.6</v>
      </c>
      <c r="E9" s="64">
        <f>'METHANOL SYNTHESIS'!$F$17/10^6</f>
        <v>1.2425</v>
      </c>
      <c r="F9" s="64">
        <f t="shared" si="2"/>
        <v>1.3575</v>
      </c>
      <c r="G9" s="64"/>
      <c r="H9" s="64"/>
      <c r="I9" s="64">
        <f t="shared" si="7"/>
        <v>1.3575</v>
      </c>
      <c r="J9" s="64">
        <f t="shared" si="8"/>
        <v>-1.2125</v>
      </c>
      <c r="K9" s="64">
        <f t="shared" si="3"/>
        <v>-1.2125</v>
      </c>
      <c r="L9" s="71">
        <f>IF(K9&gt;0,K9*'METHANOL SYNTHESIS'!$K$15,0)</f>
        <v>0</v>
      </c>
      <c r="M9" s="64">
        <f t="shared" si="0"/>
        <v>1.3575</v>
      </c>
      <c r="N9" s="64">
        <f t="shared" si="4"/>
        <v>-1.2125</v>
      </c>
      <c r="O9" s="64">
        <f>(1+'METHANOL SYNTHESIS'!$K$16)^-A9</f>
        <v>0.620921323059155</v>
      </c>
      <c r="P9" s="70">
        <f t="shared" si="5"/>
        <v>0.842900696052803</v>
      </c>
      <c r="Q9" s="288">
        <f t="shared" si="6"/>
        <v>-1.19373785322662</v>
      </c>
      <c r="R9" s="31"/>
    </row>
    <row r="10" spans="1:21">
      <c r="A10" s="60">
        <v>6</v>
      </c>
      <c r="B10" s="64">
        <f>'METHANOL SYNTHESIS'!$L$6</f>
        <v>4000</v>
      </c>
      <c r="C10" s="64">
        <f>$C$5</f>
        <v>650</v>
      </c>
      <c r="D10" s="64">
        <f t="shared" si="1"/>
        <v>2.6</v>
      </c>
      <c r="E10" s="64">
        <f>'METHANOL SYNTHESIS'!$F$17/10^6</f>
        <v>1.2425</v>
      </c>
      <c r="F10" s="64">
        <f t="shared" si="2"/>
        <v>1.3575</v>
      </c>
      <c r="G10" s="64"/>
      <c r="H10" s="64"/>
      <c r="I10" s="64">
        <f t="shared" si="7"/>
        <v>1.3575</v>
      </c>
      <c r="J10" s="64">
        <f t="shared" si="8"/>
        <v>0.145000000000001</v>
      </c>
      <c r="K10" s="64">
        <f t="shared" si="3"/>
        <v>1.3575</v>
      </c>
      <c r="L10" s="71">
        <f>IF(K10&gt;0,K10*'METHANOL SYNTHESIS'!$K$15,0)</f>
        <v>0.2715</v>
      </c>
      <c r="M10" s="64">
        <f t="shared" si="0"/>
        <v>1.086</v>
      </c>
      <c r="N10" s="64">
        <f t="shared" si="4"/>
        <v>-0.126499999999999</v>
      </c>
      <c r="O10" s="64">
        <f>(1+'METHANOL SYNTHESIS'!$K$16)^-A10</f>
        <v>0.564473930053777</v>
      </c>
      <c r="P10" s="70">
        <f t="shared" si="5"/>
        <v>0.613018688038402</v>
      </c>
      <c r="Q10" s="288">
        <f t="shared" si="6"/>
        <v>-0.580719165188216</v>
      </c>
      <c r="R10" s="31"/>
      <c r="U10" s="289">
        <f>IRR(M4:M25)</f>
        <v>0.288403431175069</v>
      </c>
    </row>
    <row r="11" spans="1:18">
      <c r="A11" s="35">
        <v>7</v>
      </c>
      <c r="B11" s="64">
        <f>'METHANOL SYNTHESIS'!$L$6</f>
        <v>4000</v>
      </c>
      <c r="C11" s="64">
        <f>$C$5</f>
        <v>650</v>
      </c>
      <c r="D11" s="64">
        <f t="shared" si="1"/>
        <v>2.6</v>
      </c>
      <c r="E11" s="64">
        <f>'METHANOL SYNTHESIS'!$F$17/10^6</f>
        <v>1.2425</v>
      </c>
      <c r="F11" s="64">
        <f t="shared" si="2"/>
        <v>1.3575</v>
      </c>
      <c r="G11" s="64"/>
      <c r="H11" s="64"/>
      <c r="I11" s="64">
        <f t="shared" si="7"/>
        <v>1.3575</v>
      </c>
      <c r="J11" s="64">
        <f t="shared" si="8"/>
        <v>0</v>
      </c>
      <c r="K11" s="64">
        <f t="shared" si="3"/>
        <v>1.3575</v>
      </c>
      <c r="L11" s="71">
        <f>IF(K11&gt;0,K11*'METHANOL SYNTHESIS'!$K$15,0)</f>
        <v>0.2715</v>
      </c>
      <c r="M11" s="64">
        <f t="shared" si="0"/>
        <v>1.086</v>
      </c>
      <c r="N11" s="64">
        <f t="shared" si="4"/>
        <v>0.959500000000001</v>
      </c>
      <c r="O11" s="64">
        <f>(1+'METHANOL SYNTHESIS'!$K$16)^-A11</f>
        <v>0.513158118230706</v>
      </c>
      <c r="P11" s="70">
        <f t="shared" si="5"/>
        <v>0.557289716398547</v>
      </c>
      <c r="Q11" s="288">
        <f t="shared" si="6"/>
        <v>-0.0234294487896688</v>
      </c>
      <c r="R11" s="31"/>
    </row>
    <row r="12" spans="1:18">
      <c r="A12" s="60">
        <v>8</v>
      </c>
      <c r="B12" s="64">
        <f>'METHANOL SYNTHESIS'!$L$6</f>
        <v>4000</v>
      </c>
      <c r="C12" s="64">
        <f>$C$5</f>
        <v>650</v>
      </c>
      <c r="D12" s="64">
        <f t="shared" si="1"/>
        <v>2.6</v>
      </c>
      <c r="E12" s="64">
        <f>'METHANOL SYNTHESIS'!$F$17/10^6</f>
        <v>1.2425</v>
      </c>
      <c r="F12" s="64">
        <f t="shared" si="2"/>
        <v>1.3575</v>
      </c>
      <c r="G12" s="64"/>
      <c r="H12" s="64"/>
      <c r="I12" s="64">
        <f t="shared" si="7"/>
        <v>1.3575</v>
      </c>
      <c r="J12" s="64">
        <f t="shared" si="8"/>
        <v>0</v>
      </c>
      <c r="K12" s="64">
        <f t="shared" ref="K12:K24" si="9">IF(J12&lt;0,J12,I12)</f>
        <v>1.3575</v>
      </c>
      <c r="L12" s="71">
        <f>IF(K12&gt;0,K12*'METHANOL SYNTHESIS'!$K$15,0)</f>
        <v>0.2715</v>
      </c>
      <c r="M12" s="64">
        <f t="shared" si="0"/>
        <v>1.086</v>
      </c>
      <c r="N12" s="64">
        <f t="shared" si="4"/>
        <v>2.0455</v>
      </c>
      <c r="O12" s="64">
        <f>(1+'METHANOL SYNTHESIS'!$K$16)^-A12</f>
        <v>0.466507380209733</v>
      </c>
      <c r="P12" s="70">
        <f t="shared" si="5"/>
        <v>0.50662701490777</v>
      </c>
      <c r="Q12" s="288">
        <f t="shared" si="6"/>
        <v>0.483197566118101</v>
      </c>
      <c r="R12" s="31"/>
    </row>
    <row r="13" spans="1:18">
      <c r="A13" s="35">
        <v>9</v>
      </c>
      <c r="B13" s="64">
        <f>'METHANOL SYNTHESIS'!$L$6</f>
        <v>4000</v>
      </c>
      <c r="C13" s="64">
        <f>$C$5</f>
        <v>650</v>
      </c>
      <c r="D13" s="64">
        <f t="shared" si="1"/>
        <v>2.6</v>
      </c>
      <c r="E13" s="64">
        <f>'METHANOL SYNTHESIS'!$F$17/10^6</f>
        <v>1.2425</v>
      </c>
      <c r="F13" s="64">
        <f t="shared" si="2"/>
        <v>1.3575</v>
      </c>
      <c r="G13" s="64"/>
      <c r="H13" s="64"/>
      <c r="I13" s="64">
        <f t="shared" si="7"/>
        <v>1.3575</v>
      </c>
      <c r="J13" s="64">
        <f t="shared" si="8"/>
        <v>0</v>
      </c>
      <c r="K13" s="64">
        <f t="shared" si="9"/>
        <v>1.3575</v>
      </c>
      <c r="L13" s="71">
        <f>IF(K13&gt;0,K13*'METHANOL SYNTHESIS'!$K$15,0)</f>
        <v>0.2715</v>
      </c>
      <c r="M13" s="64">
        <f t="shared" si="0"/>
        <v>1.086</v>
      </c>
      <c r="N13" s="64">
        <f t="shared" si="4"/>
        <v>3.1315</v>
      </c>
      <c r="O13" s="64">
        <f>(1+'METHANOL SYNTHESIS'!$K$16)^-A13</f>
        <v>0.424097618372485</v>
      </c>
      <c r="P13" s="70">
        <f t="shared" si="5"/>
        <v>0.460570013552519</v>
      </c>
      <c r="Q13" s="288">
        <f t="shared" si="6"/>
        <v>0.94376757967062</v>
      </c>
      <c r="R13" s="31"/>
    </row>
    <row r="14" spans="1:18">
      <c r="A14" s="60">
        <v>10</v>
      </c>
      <c r="B14" s="64">
        <f>'METHANOL SYNTHESIS'!$L$6</f>
        <v>4000</v>
      </c>
      <c r="C14" s="64">
        <f>$C$5</f>
        <v>650</v>
      </c>
      <c r="D14" s="64">
        <f t="shared" si="1"/>
        <v>2.6</v>
      </c>
      <c r="E14" s="64">
        <f>'METHANOL SYNTHESIS'!$F$17/10^6</f>
        <v>1.2425</v>
      </c>
      <c r="F14" s="64">
        <f t="shared" si="2"/>
        <v>1.3575</v>
      </c>
      <c r="G14" s="64"/>
      <c r="H14" s="64"/>
      <c r="I14" s="64">
        <f t="shared" si="7"/>
        <v>1.3575</v>
      </c>
      <c r="J14" s="64">
        <f t="shared" si="8"/>
        <v>0</v>
      </c>
      <c r="K14" s="64">
        <f t="shared" si="9"/>
        <v>1.3575</v>
      </c>
      <c r="L14" s="71">
        <f>IF(K14&gt;0,K14*'METHANOL SYNTHESIS'!$K$15,0)</f>
        <v>0.2715</v>
      </c>
      <c r="M14" s="64">
        <f t="shared" si="0"/>
        <v>1.086</v>
      </c>
      <c r="N14" s="64">
        <f t="shared" si="4"/>
        <v>4.2175</v>
      </c>
      <c r="O14" s="64">
        <f>(1+'METHANOL SYNTHESIS'!$K$16)^-A14</f>
        <v>0.385543289429531</v>
      </c>
      <c r="P14" s="70">
        <f t="shared" si="5"/>
        <v>0.418700012320471</v>
      </c>
      <c r="Q14" s="288">
        <f t="shared" si="6"/>
        <v>1.36246759199109</v>
      </c>
      <c r="R14" s="31"/>
    </row>
    <row r="15" spans="1:18">
      <c r="A15" s="35">
        <v>11</v>
      </c>
      <c r="B15" s="64">
        <f>'METHANOL SYNTHESIS'!$L$6</f>
        <v>4000</v>
      </c>
      <c r="C15" s="64">
        <f>$C$5</f>
        <v>650</v>
      </c>
      <c r="D15" s="64">
        <f t="shared" si="1"/>
        <v>2.6</v>
      </c>
      <c r="E15" s="64">
        <f>'METHANOL SYNTHESIS'!$F$17/10^6</f>
        <v>1.2425</v>
      </c>
      <c r="F15" s="64">
        <f t="shared" si="2"/>
        <v>1.3575</v>
      </c>
      <c r="G15" s="64"/>
      <c r="H15" s="64"/>
      <c r="I15" s="64">
        <f t="shared" si="7"/>
        <v>1.3575</v>
      </c>
      <c r="J15" s="64">
        <f t="shared" ref="J15:J25" si="10">IF(J14&lt;0,I15+J14,0)</f>
        <v>0</v>
      </c>
      <c r="K15" s="64">
        <f t="shared" si="9"/>
        <v>1.3575</v>
      </c>
      <c r="L15" s="71">
        <f>IF(K15&gt;0,K15*'METHANOL SYNTHESIS'!$K$15,0)</f>
        <v>0.2715</v>
      </c>
      <c r="M15" s="64">
        <f t="shared" si="0"/>
        <v>1.086</v>
      </c>
      <c r="N15" s="64">
        <f t="shared" si="4"/>
        <v>5.3035</v>
      </c>
      <c r="O15" s="64">
        <f>(1+'METHANOL SYNTHESIS'!$K$16)^-A15</f>
        <v>0.350493899481392</v>
      </c>
      <c r="P15" s="70">
        <f t="shared" si="5"/>
        <v>0.380636374836792</v>
      </c>
      <c r="Q15" s="288">
        <f t="shared" si="6"/>
        <v>1.74310396682788</v>
      </c>
      <c r="R15" s="31"/>
    </row>
    <row r="16" spans="1:18">
      <c r="A16" s="60">
        <v>12</v>
      </c>
      <c r="B16" s="64">
        <f>'METHANOL SYNTHESIS'!$L$6</f>
        <v>4000</v>
      </c>
      <c r="C16" s="64">
        <f>$C$5</f>
        <v>650</v>
      </c>
      <c r="D16" s="64">
        <f t="shared" si="1"/>
        <v>2.6</v>
      </c>
      <c r="E16" s="64">
        <f>'METHANOL SYNTHESIS'!$F$17/10^6</f>
        <v>1.2425</v>
      </c>
      <c r="F16" s="64">
        <f t="shared" si="2"/>
        <v>1.3575</v>
      </c>
      <c r="G16" s="64"/>
      <c r="H16" s="64"/>
      <c r="I16" s="64">
        <f t="shared" si="7"/>
        <v>1.3575</v>
      </c>
      <c r="J16" s="64">
        <f t="shared" si="10"/>
        <v>0</v>
      </c>
      <c r="K16" s="64">
        <f t="shared" si="9"/>
        <v>1.3575</v>
      </c>
      <c r="L16" s="71">
        <f>IF(K16&gt;0,K16*'METHANOL SYNTHESIS'!$K$15,0)</f>
        <v>0.2715</v>
      </c>
      <c r="M16" s="64">
        <f t="shared" si="0"/>
        <v>1.086</v>
      </c>
      <c r="N16" s="64">
        <f t="shared" si="4"/>
        <v>6.3895</v>
      </c>
      <c r="O16" s="64">
        <f>(1+'METHANOL SYNTHESIS'!$K$16)^-A16</f>
        <v>0.318630817710357</v>
      </c>
      <c r="P16" s="70">
        <f t="shared" si="5"/>
        <v>0.346033068033448</v>
      </c>
      <c r="Q16" s="288">
        <f t="shared" si="6"/>
        <v>2.08913703486133</v>
      </c>
      <c r="R16" s="31"/>
    </row>
    <row r="17" spans="1:18">
      <c r="A17" s="35">
        <v>13</v>
      </c>
      <c r="B17" s="64">
        <f>'METHANOL SYNTHESIS'!$L$6</f>
        <v>4000</v>
      </c>
      <c r="C17" s="64">
        <f>$C$5</f>
        <v>650</v>
      </c>
      <c r="D17" s="64">
        <f t="shared" si="1"/>
        <v>2.6</v>
      </c>
      <c r="E17" s="64">
        <f>'METHANOL SYNTHESIS'!$F$17/10^6</f>
        <v>1.2425</v>
      </c>
      <c r="F17" s="64">
        <f t="shared" si="2"/>
        <v>1.3575</v>
      </c>
      <c r="G17" s="64"/>
      <c r="H17" s="64"/>
      <c r="I17" s="64">
        <f t="shared" si="7"/>
        <v>1.3575</v>
      </c>
      <c r="J17" s="64">
        <f t="shared" si="10"/>
        <v>0</v>
      </c>
      <c r="K17" s="64">
        <f t="shared" si="9"/>
        <v>1.3575</v>
      </c>
      <c r="L17" s="71">
        <f>IF(K17&gt;0,K17*'METHANOL SYNTHESIS'!$K$15,0)</f>
        <v>0.2715</v>
      </c>
      <c r="M17" s="64">
        <f t="shared" si="0"/>
        <v>1.086</v>
      </c>
      <c r="N17" s="64">
        <f t="shared" si="4"/>
        <v>7.4755</v>
      </c>
      <c r="O17" s="64">
        <f>(1+'METHANOL SYNTHESIS'!$K$16)^-A17</f>
        <v>0.289664379736688</v>
      </c>
      <c r="P17" s="70">
        <f t="shared" si="5"/>
        <v>0.314575516394043</v>
      </c>
      <c r="Q17" s="288">
        <f t="shared" si="6"/>
        <v>2.40371255125537</v>
      </c>
      <c r="R17" s="31"/>
    </row>
    <row r="18" spans="1:18">
      <c r="A18" s="60">
        <v>14</v>
      </c>
      <c r="B18" s="64">
        <f>'METHANOL SYNTHESIS'!$L$6</f>
        <v>4000</v>
      </c>
      <c r="C18" s="64">
        <f>$C$5</f>
        <v>650</v>
      </c>
      <c r="D18" s="64">
        <f t="shared" si="1"/>
        <v>2.6</v>
      </c>
      <c r="E18" s="64">
        <f>'METHANOL SYNTHESIS'!$F$17/10^6</f>
        <v>1.2425</v>
      </c>
      <c r="F18" s="64">
        <f t="shared" si="2"/>
        <v>1.3575</v>
      </c>
      <c r="G18" s="64"/>
      <c r="H18" s="64"/>
      <c r="I18" s="64">
        <f t="shared" si="7"/>
        <v>1.3575</v>
      </c>
      <c r="J18" s="64">
        <f t="shared" si="10"/>
        <v>0</v>
      </c>
      <c r="K18" s="64">
        <f t="shared" si="9"/>
        <v>1.3575</v>
      </c>
      <c r="L18" s="71">
        <f>IF(K18&gt;0,K18*'METHANOL SYNTHESIS'!$K$15,0)</f>
        <v>0.2715</v>
      </c>
      <c r="M18" s="64">
        <f t="shared" si="0"/>
        <v>1.086</v>
      </c>
      <c r="N18" s="64">
        <f t="shared" si="4"/>
        <v>8.5615</v>
      </c>
      <c r="O18" s="64">
        <f>(1+'METHANOL SYNTHESIS'!$K$16)^-A18</f>
        <v>0.26333125430608</v>
      </c>
      <c r="P18" s="70">
        <f t="shared" si="5"/>
        <v>0.285977742176403</v>
      </c>
      <c r="Q18" s="288">
        <f t="shared" si="6"/>
        <v>2.68969029343178</v>
      </c>
      <c r="R18" s="31"/>
    </row>
    <row r="19" spans="1:18">
      <c r="A19" s="35">
        <v>15</v>
      </c>
      <c r="B19" s="64">
        <f>'METHANOL SYNTHESIS'!$L$6</f>
        <v>4000</v>
      </c>
      <c r="C19" s="64">
        <f>$C$5</f>
        <v>650</v>
      </c>
      <c r="D19" s="64">
        <f t="shared" si="1"/>
        <v>2.6</v>
      </c>
      <c r="E19" s="64">
        <f>'METHANOL SYNTHESIS'!$F$17/10^6</f>
        <v>1.2425</v>
      </c>
      <c r="F19" s="64">
        <f t="shared" si="2"/>
        <v>1.3575</v>
      </c>
      <c r="G19" s="64"/>
      <c r="H19" s="64"/>
      <c r="I19" s="64">
        <f t="shared" si="7"/>
        <v>1.3575</v>
      </c>
      <c r="J19" s="64">
        <f t="shared" si="10"/>
        <v>0</v>
      </c>
      <c r="K19" s="64">
        <f t="shared" si="9"/>
        <v>1.3575</v>
      </c>
      <c r="L19" s="71">
        <f>IF(K19&gt;0,K19*'METHANOL SYNTHESIS'!$K$15,0)</f>
        <v>0.2715</v>
      </c>
      <c r="M19" s="64">
        <f t="shared" si="0"/>
        <v>1.086</v>
      </c>
      <c r="N19" s="64">
        <f t="shared" si="4"/>
        <v>9.6475</v>
      </c>
      <c r="O19" s="64">
        <f>(1+'METHANOL SYNTHESIS'!$K$16)^-A19</f>
        <v>0.239392049369163</v>
      </c>
      <c r="P19" s="70">
        <f t="shared" si="5"/>
        <v>0.259979765614911</v>
      </c>
      <c r="Q19" s="288">
        <f t="shared" si="6"/>
        <v>2.94967005904669</v>
      </c>
      <c r="R19" s="31"/>
    </row>
    <row r="20" spans="1:18">
      <c r="A20" s="60">
        <v>16</v>
      </c>
      <c r="B20" s="64">
        <f>'METHANOL SYNTHESIS'!$L$6</f>
        <v>4000</v>
      </c>
      <c r="C20" s="64">
        <f>$C$5</f>
        <v>650</v>
      </c>
      <c r="D20" s="64">
        <f t="shared" si="1"/>
        <v>2.6</v>
      </c>
      <c r="E20" s="64">
        <f>'METHANOL SYNTHESIS'!$F$17/10^6</f>
        <v>1.2425</v>
      </c>
      <c r="F20" s="64">
        <f t="shared" si="2"/>
        <v>1.3575</v>
      </c>
      <c r="G20" s="64"/>
      <c r="H20" s="64"/>
      <c r="I20" s="64">
        <f t="shared" si="7"/>
        <v>1.3575</v>
      </c>
      <c r="J20" s="64">
        <f t="shared" si="10"/>
        <v>0</v>
      </c>
      <c r="K20" s="64">
        <f t="shared" si="9"/>
        <v>1.3575</v>
      </c>
      <c r="L20" s="71">
        <f>IF(K20&gt;0,K20*'METHANOL SYNTHESIS'!$K$15,0)</f>
        <v>0.2715</v>
      </c>
      <c r="M20" s="64">
        <f t="shared" si="0"/>
        <v>1.086</v>
      </c>
      <c r="N20" s="64">
        <f t="shared" si="4"/>
        <v>10.7335</v>
      </c>
      <c r="O20" s="64">
        <f>(1+'METHANOL SYNTHESIS'!$K$16)^-A20</f>
        <v>0.217629135790149</v>
      </c>
      <c r="P20" s="70">
        <f t="shared" si="5"/>
        <v>0.236345241468102</v>
      </c>
      <c r="Q20" s="288">
        <f t="shared" si="6"/>
        <v>3.18601530051479</v>
      </c>
      <c r="R20" s="31"/>
    </row>
    <row r="21" spans="1:18">
      <c r="A21" s="35">
        <v>17</v>
      </c>
      <c r="B21" s="64">
        <f>'METHANOL SYNTHESIS'!$L$6</f>
        <v>4000</v>
      </c>
      <c r="C21" s="64">
        <f>$C$5</f>
        <v>650</v>
      </c>
      <c r="D21" s="64">
        <f t="shared" si="1"/>
        <v>2.6</v>
      </c>
      <c r="E21" s="64">
        <f>'METHANOL SYNTHESIS'!$F$17/10^6</f>
        <v>1.2425</v>
      </c>
      <c r="F21" s="64">
        <f t="shared" si="2"/>
        <v>1.3575</v>
      </c>
      <c r="G21" s="64"/>
      <c r="H21" s="64"/>
      <c r="I21" s="64">
        <f t="shared" si="7"/>
        <v>1.3575</v>
      </c>
      <c r="J21" s="64">
        <f t="shared" si="10"/>
        <v>0</v>
      </c>
      <c r="K21" s="64">
        <f t="shared" si="9"/>
        <v>1.3575</v>
      </c>
      <c r="L21" s="71">
        <f>IF(K21&gt;0,K21*'METHANOL SYNTHESIS'!$K$15,0)</f>
        <v>0.2715</v>
      </c>
      <c r="M21" s="64">
        <f t="shared" si="0"/>
        <v>1.086</v>
      </c>
      <c r="N21" s="64">
        <f t="shared" si="4"/>
        <v>11.8195</v>
      </c>
      <c r="O21" s="64">
        <f>(1+'METHANOL SYNTHESIS'!$K$16)^-A21</f>
        <v>0.197844668900135</v>
      </c>
      <c r="P21" s="70">
        <f t="shared" si="5"/>
        <v>0.214859310425547</v>
      </c>
      <c r="Q21" s="288">
        <f t="shared" si="6"/>
        <v>3.40087461094034</v>
      </c>
      <c r="R21" s="31"/>
    </row>
    <row r="22" spans="1:18">
      <c r="A22" s="60">
        <v>18</v>
      </c>
      <c r="B22" s="64">
        <f>'METHANOL SYNTHESIS'!$L$6</f>
        <v>4000</v>
      </c>
      <c r="C22" s="64">
        <f>$C$5</f>
        <v>650</v>
      </c>
      <c r="D22" s="64">
        <f t="shared" si="1"/>
        <v>2.6</v>
      </c>
      <c r="E22" s="64">
        <f>'METHANOL SYNTHESIS'!$F$17/10^6</f>
        <v>1.2425</v>
      </c>
      <c r="F22" s="64">
        <f t="shared" si="2"/>
        <v>1.3575</v>
      </c>
      <c r="G22" s="64"/>
      <c r="H22" s="64"/>
      <c r="I22" s="64">
        <f t="shared" si="7"/>
        <v>1.3575</v>
      </c>
      <c r="J22" s="64">
        <f t="shared" si="10"/>
        <v>0</v>
      </c>
      <c r="K22" s="64">
        <f t="shared" si="9"/>
        <v>1.3575</v>
      </c>
      <c r="L22" s="71">
        <f>IF(K22&gt;0,K22*'METHANOL SYNTHESIS'!$K$15,0)</f>
        <v>0.2715</v>
      </c>
      <c r="M22" s="64">
        <f t="shared" si="0"/>
        <v>1.086</v>
      </c>
      <c r="N22" s="64">
        <f t="shared" si="4"/>
        <v>12.9055</v>
      </c>
      <c r="O22" s="64">
        <f>(1+'METHANOL SYNTHESIS'!$K$16)^-A22</f>
        <v>0.179858789909214</v>
      </c>
      <c r="P22" s="70">
        <f t="shared" si="5"/>
        <v>0.195326645841406</v>
      </c>
      <c r="Q22" s="288">
        <f t="shared" si="6"/>
        <v>3.59620125678174</v>
      </c>
      <c r="R22" s="31"/>
    </row>
    <row r="23" spans="1:18">
      <c r="A23" s="35">
        <v>19</v>
      </c>
      <c r="B23" s="64">
        <f>'METHANOL SYNTHESIS'!$L$6</f>
        <v>4000</v>
      </c>
      <c r="C23" s="64">
        <f>$C$5</f>
        <v>650</v>
      </c>
      <c r="D23" s="64">
        <f t="shared" si="1"/>
        <v>2.6</v>
      </c>
      <c r="E23" s="64">
        <f>'METHANOL SYNTHESIS'!$F$17/10^6</f>
        <v>1.2425</v>
      </c>
      <c r="F23" s="64">
        <f t="shared" si="2"/>
        <v>1.3575</v>
      </c>
      <c r="G23" s="64"/>
      <c r="H23" s="64"/>
      <c r="I23" s="64">
        <f t="shared" si="7"/>
        <v>1.3575</v>
      </c>
      <c r="J23" s="64">
        <f t="shared" si="10"/>
        <v>0</v>
      </c>
      <c r="K23" s="64">
        <f t="shared" si="9"/>
        <v>1.3575</v>
      </c>
      <c r="L23" s="71">
        <f>IF(K23&gt;0,K23*'METHANOL SYNTHESIS'!$K$15,0)</f>
        <v>0.2715</v>
      </c>
      <c r="M23" s="64">
        <f t="shared" si="0"/>
        <v>1.086</v>
      </c>
      <c r="N23" s="64">
        <f t="shared" si="4"/>
        <v>13.9915</v>
      </c>
      <c r="O23" s="64">
        <f>(1+'METHANOL SYNTHESIS'!$K$16)^-A23</f>
        <v>0.163507990826558</v>
      </c>
      <c r="P23" s="70">
        <f t="shared" si="5"/>
        <v>0.177569678037642</v>
      </c>
      <c r="Q23" s="288">
        <f t="shared" si="6"/>
        <v>3.77377093481938</v>
      </c>
      <c r="R23" s="31"/>
    </row>
    <row r="24" spans="1:18">
      <c r="A24" s="60">
        <v>20</v>
      </c>
      <c r="B24" s="64">
        <f>'METHANOL SYNTHESIS'!$L$6</f>
        <v>4000</v>
      </c>
      <c r="C24" s="64">
        <f>$C$5</f>
        <v>650</v>
      </c>
      <c r="D24" s="64">
        <f t="shared" si="1"/>
        <v>2.6</v>
      </c>
      <c r="E24" s="64">
        <f>'METHANOL SYNTHESIS'!$F$17/10^6</f>
        <v>1.2425</v>
      </c>
      <c r="F24" s="64">
        <f t="shared" si="2"/>
        <v>1.3575</v>
      </c>
      <c r="G24" s="64"/>
      <c r="H24" s="64"/>
      <c r="I24" s="64">
        <f t="shared" si="7"/>
        <v>1.3575</v>
      </c>
      <c r="J24" s="64">
        <f t="shared" si="10"/>
        <v>0</v>
      </c>
      <c r="K24" s="64">
        <f t="shared" si="9"/>
        <v>1.3575</v>
      </c>
      <c r="L24" s="71">
        <f>IF(K24&gt;0,K24*'METHANOL SYNTHESIS'!$K$15,0)</f>
        <v>0.2715</v>
      </c>
      <c r="M24" s="64">
        <f t="shared" si="0"/>
        <v>1.086</v>
      </c>
      <c r="N24" s="64">
        <f t="shared" si="4"/>
        <v>15.0775</v>
      </c>
      <c r="O24" s="64">
        <f>(1+'METHANOL SYNTHESIS'!$K$16)^-A24</f>
        <v>0.148643628024143</v>
      </c>
      <c r="P24" s="70">
        <f t="shared" si="5"/>
        <v>0.161426980034219</v>
      </c>
      <c r="Q24" s="288">
        <f t="shared" si="6"/>
        <v>3.9351979148536</v>
      </c>
      <c r="R24" s="31"/>
    </row>
    <row r="25" spans="1:18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70">
        <f>SUM(P4:P24)</f>
        <v>3.9351979148536</v>
      </c>
      <c r="Q25" s="33"/>
      <c r="R25" s="31"/>
    </row>
    <row r="26" spans="1:18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</row>
    <row r="27" spans="1:18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</row>
    <row r="50" ht="23.25" spans="10:15">
      <c r="J50" s="286"/>
      <c r="K50" s="286"/>
      <c r="L50" s="286"/>
      <c r="M50" s="286"/>
      <c r="N50" s="286"/>
      <c r="O50" s="3"/>
    </row>
    <row r="51" spans="1:1">
      <c r="A51" t="s">
        <v>129</v>
      </c>
    </row>
    <row r="52" spans="3:22">
      <c r="C52" s="282"/>
      <c r="D52" s="283"/>
      <c r="E52" s="283"/>
      <c r="F52" s="283"/>
      <c r="G52" s="283"/>
      <c r="H52" s="283"/>
      <c r="I52" s="283"/>
      <c r="J52" s="283"/>
      <c r="K52" s="283"/>
      <c r="L52" s="283"/>
      <c r="M52" s="284"/>
      <c r="N52" s="285"/>
      <c r="O52" s="285"/>
      <c r="P52" s="285"/>
      <c r="Q52" s="285"/>
      <c r="R52" s="285"/>
      <c r="S52" s="285"/>
      <c r="T52" s="89"/>
      <c r="U52" s="262"/>
      <c r="V52" s="89"/>
    </row>
    <row r="53" spans="3:22">
      <c r="C53" s="242"/>
      <c r="D53" s="284"/>
      <c r="E53" s="242"/>
      <c r="F53" s="285"/>
      <c r="G53" s="242"/>
      <c r="H53" s="242"/>
      <c r="I53" s="242"/>
      <c r="J53" s="242"/>
      <c r="K53" s="242"/>
      <c r="L53" s="242"/>
      <c r="M53" s="84"/>
      <c r="N53" s="245"/>
      <c r="O53" s="84"/>
      <c r="P53" s="84"/>
      <c r="Q53" s="84"/>
      <c r="R53" s="84"/>
      <c r="S53" s="290"/>
      <c r="T53" s="89"/>
      <c r="U53" s="84"/>
      <c r="V53" s="84"/>
    </row>
    <row r="54" spans="3:22">
      <c r="C54" s="84"/>
      <c r="D54" s="84"/>
      <c r="E54" s="85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9"/>
      <c r="U54" s="84"/>
      <c r="V54" s="84"/>
    </row>
    <row r="55" spans="3:22">
      <c r="C55" s="242"/>
      <c r="D55" s="84"/>
      <c r="E55" s="85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9"/>
      <c r="U55" s="84"/>
      <c r="V55" s="84"/>
    </row>
    <row r="56" spans="3:22">
      <c r="C56" s="84"/>
      <c r="D56" s="84"/>
      <c r="E56" s="85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9"/>
      <c r="U56" s="84"/>
      <c r="V56" s="84"/>
    </row>
    <row r="57" spans="3:22">
      <c r="C57" s="242"/>
      <c r="D57" s="84"/>
      <c r="E57" s="85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9"/>
      <c r="U57" s="84"/>
      <c r="V57" s="84"/>
    </row>
    <row r="58" spans="3:22">
      <c r="C58" s="84"/>
      <c r="D58" s="84"/>
      <c r="E58" s="85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9"/>
      <c r="U58" s="84"/>
      <c r="V58" s="84"/>
    </row>
    <row r="59" spans="3:22">
      <c r="C59" s="242"/>
      <c r="D59" s="84"/>
      <c r="E59" s="85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9"/>
      <c r="U59" s="84"/>
      <c r="V59" s="84"/>
    </row>
    <row r="60" spans="3:22">
      <c r="C60" s="84"/>
      <c r="D60" s="84"/>
      <c r="E60" s="85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9"/>
      <c r="U60" s="84"/>
      <c r="V60" s="84"/>
    </row>
    <row r="61" spans="3:22">
      <c r="C61" s="242"/>
      <c r="D61" s="84"/>
      <c r="E61" s="85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9"/>
      <c r="U61" s="84"/>
      <c r="V61" s="84"/>
    </row>
    <row r="62" spans="3:22">
      <c r="C62" s="84"/>
      <c r="D62" s="84"/>
      <c r="E62" s="85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9"/>
      <c r="U62" s="84"/>
      <c r="V62" s="84"/>
    </row>
    <row r="63" spans="3:22">
      <c r="C63" s="242"/>
      <c r="D63" s="84"/>
      <c r="E63" s="85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9"/>
      <c r="U63" s="84"/>
      <c r="V63" s="84"/>
    </row>
    <row r="64" spans="3:22">
      <c r="C64" s="84"/>
      <c r="D64" s="84"/>
      <c r="E64" s="85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9"/>
      <c r="U64" s="84"/>
      <c r="V64" s="84"/>
    </row>
    <row r="65" spans="3:22">
      <c r="C65" s="242"/>
      <c r="D65" s="84"/>
      <c r="E65" s="85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9"/>
      <c r="U65" s="84"/>
      <c r="V65" s="84"/>
    </row>
    <row r="66" spans="3:22">
      <c r="C66" s="84"/>
      <c r="D66" s="84"/>
      <c r="E66" s="85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9"/>
      <c r="U66" s="84"/>
      <c r="V66" s="84"/>
    </row>
    <row r="67" spans="3:22">
      <c r="C67" s="242"/>
      <c r="D67" s="84"/>
      <c r="E67" s="85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9"/>
      <c r="U67" s="84"/>
      <c r="V67" s="84"/>
    </row>
    <row r="68" spans="3:22">
      <c r="C68" s="84"/>
      <c r="D68" s="84"/>
      <c r="E68" s="85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9"/>
      <c r="U68" s="84"/>
      <c r="V68" s="84"/>
    </row>
    <row r="69" spans="3:22">
      <c r="C69" s="242"/>
      <c r="D69" s="84"/>
      <c r="E69" s="85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9"/>
      <c r="U69" s="84"/>
      <c r="V69" s="84"/>
    </row>
    <row r="70" spans="3:22">
      <c r="C70" s="84"/>
      <c r="D70" s="84"/>
      <c r="E70" s="85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9"/>
      <c r="U70" s="84"/>
      <c r="V70" s="84"/>
    </row>
    <row r="71" spans="3:22">
      <c r="C71" s="242"/>
      <c r="D71" s="84"/>
      <c r="E71" s="85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9"/>
      <c r="U71" s="84"/>
      <c r="V71" s="84"/>
    </row>
    <row r="72" spans="3:22">
      <c r="C72" s="84"/>
      <c r="D72" s="84"/>
      <c r="E72" s="85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9"/>
      <c r="U72" s="84"/>
      <c r="V72" s="84"/>
    </row>
    <row r="73" spans="3:22">
      <c r="C73" s="242"/>
      <c r="D73" s="84"/>
      <c r="E73" s="85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9"/>
      <c r="U73" s="84"/>
      <c r="V73" s="84"/>
    </row>
    <row r="74" spans="3:22"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9"/>
      <c r="U74" s="89"/>
      <c r="V74" s="89"/>
    </row>
    <row r="85" spans="3:7">
      <c r="C85" s="291" t="s">
        <v>54</v>
      </c>
      <c r="D85" s="291">
        <f>3269830</f>
        <v>3269830</v>
      </c>
      <c r="E85" s="291">
        <v>721942.309</v>
      </c>
      <c r="F85" s="291">
        <f>S73</f>
        <v>0</v>
      </c>
      <c r="G85" s="291">
        <f>V73</f>
        <v>0</v>
      </c>
    </row>
    <row r="86" spans="3:7">
      <c r="C86" s="291" t="s">
        <v>24</v>
      </c>
      <c r="D86" s="291">
        <v>2</v>
      </c>
      <c r="E86" s="291">
        <f>C58</f>
        <v>0</v>
      </c>
      <c r="F86" s="291">
        <f>C63</f>
        <v>0</v>
      </c>
      <c r="G86" s="291">
        <f>C73</f>
        <v>0</v>
      </c>
    </row>
    <row r="87" spans="5:5">
      <c r="E87" s="292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8"/>
  <sheetViews>
    <sheetView zoomScale="50" zoomScaleNormal="50" topLeftCell="A56" workbookViewId="0">
      <selection activeCell="D60" sqref="D60"/>
    </sheetView>
  </sheetViews>
  <sheetFormatPr defaultColWidth="9.14285714285714" defaultRowHeight="15"/>
  <cols>
    <col min="1" max="1" width="13.0761904761905" customWidth="1"/>
    <col min="3" max="4" width="14"/>
    <col min="9" max="9" width="10.1428571428571"/>
    <col min="11" max="11" width="11"/>
    <col min="15" max="15" width="11"/>
    <col min="16" max="17" width="14" customWidth="1"/>
  </cols>
  <sheetData>
    <row r="1" ht="47.25" spans="1:6">
      <c r="A1" s="1" t="s">
        <v>114</v>
      </c>
      <c r="B1" s="2"/>
      <c r="C1" s="2"/>
      <c r="D1" s="2"/>
      <c r="E1" s="2"/>
      <c r="F1" s="2"/>
    </row>
    <row r="4" spans="1:2">
      <c r="A4" s="3" t="s">
        <v>52</v>
      </c>
      <c r="B4" s="4">
        <f>FORECAST(0,D6:E6,D7:E7)</f>
        <v>0.161039166710223</v>
      </c>
    </row>
    <row r="6" ht="30" spans="2:12">
      <c r="B6" s="5" t="s">
        <v>53</v>
      </c>
      <c r="C6" s="6">
        <f>'METHANOL SYNTHESIS'!K16</f>
        <v>0.1</v>
      </c>
      <c r="D6" s="6">
        <f>D11</f>
        <v>0.09</v>
      </c>
      <c r="E6" s="6">
        <f>$D$18</f>
        <v>0.08</v>
      </c>
      <c r="F6" s="6">
        <f>D25</f>
        <v>0.07</v>
      </c>
      <c r="H6" s="8" t="s">
        <v>54</v>
      </c>
      <c r="I6" s="9">
        <f t="shared" ref="I6:L6" si="0">C7</f>
        <v>3.9351979148536</v>
      </c>
      <c r="J6" s="9">
        <f t="shared" si="0"/>
        <v>4.49020116052055</v>
      </c>
      <c r="K6" s="9">
        <f t="shared" si="0"/>
        <v>5.12227517946796</v>
      </c>
      <c r="L6" s="9">
        <f t="shared" si="0"/>
        <v>5.84388056156247</v>
      </c>
    </row>
    <row r="7" ht="30" spans="2:12">
      <c r="B7" s="8" t="s">
        <v>54</v>
      </c>
      <c r="C7" s="9">
        <f>'METHANOL SYNTHESIS 2'!Q24</f>
        <v>3.9351979148536</v>
      </c>
      <c r="D7" s="9">
        <f>W15</f>
        <v>4.49020116052055</v>
      </c>
      <c r="E7" s="9">
        <f>W22</f>
        <v>5.12227517946796</v>
      </c>
      <c r="F7" s="9">
        <f>W29</f>
        <v>5.84388056156247</v>
      </c>
      <c r="H7" s="5" t="s">
        <v>24</v>
      </c>
      <c r="I7" s="6">
        <f t="shared" ref="I7:L7" si="1">C6</f>
        <v>0.1</v>
      </c>
      <c r="J7" s="6">
        <f t="shared" si="1"/>
        <v>0.09</v>
      </c>
      <c r="K7" s="6">
        <f t="shared" si="1"/>
        <v>0.08</v>
      </c>
      <c r="L7" s="6">
        <f t="shared" si="1"/>
        <v>0.07</v>
      </c>
    </row>
    <row r="11" spans="1:23">
      <c r="A11" s="11"/>
      <c r="B11" s="12" t="s">
        <v>55</v>
      </c>
      <c r="C11" s="8"/>
      <c r="D11" s="8">
        <f>'METHANOL SYNTHESIS'!K16-1%</f>
        <v>0.09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25"/>
      <c r="S11" s="13"/>
      <c r="T11" s="13"/>
      <c r="U11" s="13"/>
      <c r="V11" s="13"/>
      <c r="W11" s="26" t="s">
        <v>56</v>
      </c>
    </row>
    <row r="12" spans="1:23">
      <c r="A12" s="11" t="s">
        <v>34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  <c r="M12">
        <v>11</v>
      </c>
      <c r="N12">
        <v>12</v>
      </c>
      <c r="O12">
        <v>13</v>
      </c>
      <c r="P12">
        <v>14</v>
      </c>
      <c r="Q12">
        <v>15</v>
      </c>
      <c r="R12">
        <v>16</v>
      </c>
      <c r="S12">
        <v>17</v>
      </c>
      <c r="T12">
        <v>18</v>
      </c>
      <c r="U12">
        <v>19</v>
      </c>
      <c r="V12">
        <v>20</v>
      </c>
      <c r="W12" s="27"/>
    </row>
    <row r="13" ht="30" spans="1:23">
      <c r="A13" s="11" t="s">
        <v>57</v>
      </c>
      <c r="B13" s="14">
        <f>'METHANOL SYNTHESIS 2'!M4</f>
        <v>0</v>
      </c>
      <c r="C13" s="14">
        <f>'METHANOL SYNTHESIS 2'!M5</f>
        <v>-0.6425</v>
      </c>
      <c r="D13" s="14">
        <f>'METHANOL SYNTHESIS 2'!M6</f>
        <v>-0.6425</v>
      </c>
      <c r="E13" s="14">
        <f>'METHANOL SYNTHESIS 2'!M7</f>
        <v>-0.6425</v>
      </c>
      <c r="F13" s="14">
        <f>'METHANOL SYNTHESIS 2'!M8</f>
        <v>-0.6425</v>
      </c>
      <c r="G13" s="14">
        <f>'METHANOL SYNTHESIS 2'!M9</f>
        <v>1.3575</v>
      </c>
      <c r="H13" s="14">
        <f>'METHANOL SYNTHESIS 2'!M10</f>
        <v>1.086</v>
      </c>
      <c r="I13" s="14">
        <f>'METHANOL SYNTHESIS 2'!M11</f>
        <v>1.086</v>
      </c>
      <c r="J13" s="14">
        <f>'METHANOL SYNTHESIS 2'!M12</f>
        <v>1.086</v>
      </c>
      <c r="K13" s="14">
        <f>'METHANOL SYNTHESIS 2'!M13</f>
        <v>1.086</v>
      </c>
      <c r="L13" s="14">
        <f>'METHANOL SYNTHESIS 2'!M14</f>
        <v>1.086</v>
      </c>
      <c r="M13" s="14">
        <f>'METHANOL SYNTHESIS 2'!M15</f>
        <v>1.086</v>
      </c>
      <c r="N13" s="14">
        <f>'METHANOL SYNTHESIS 2'!M16</f>
        <v>1.086</v>
      </c>
      <c r="O13" s="14">
        <f>'METHANOL SYNTHESIS 2'!M17</f>
        <v>1.086</v>
      </c>
      <c r="P13" s="14">
        <f>'METHANOL SYNTHESIS 2'!M18</f>
        <v>1.086</v>
      </c>
      <c r="Q13" s="14">
        <f>'METHANOL SYNTHESIS 2'!M19</f>
        <v>1.086</v>
      </c>
      <c r="R13" s="14">
        <f>'METHANOL SYNTHESIS 2'!M20</f>
        <v>1.086</v>
      </c>
      <c r="S13" s="14">
        <f>'METHANOL SYNTHESIS 2'!M21</f>
        <v>1.086</v>
      </c>
      <c r="T13" s="14">
        <f>'METHANOL SYNTHESIS 2'!M22</f>
        <v>1.086</v>
      </c>
      <c r="U13" s="14">
        <f>'METHANOL SYNTHESIS 2'!M23</f>
        <v>1.086</v>
      </c>
      <c r="V13" s="14">
        <f>'METHANOL SYNTHESIS 2'!M24</f>
        <v>1.086</v>
      </c>
      <c r="W13" s="28"/>
    </row>
    <row r="14" ht="30" spans="1:23">
      <c r="A14" s="11" t="s">
        <v>58</v>
      </c>
      <c r="B14" s="14">
        <f>(1+$D$11)^-B12</f>
        <v>1</v>
      </c>
      <c r="C14" s="14">
        <f>(1+$D$11)^-C12</f>
        <v>0.91743119266055</v>
      </c>
      <c r="D14" s="14">
        <f>(1+$D$11)^-D12</f>
        <v>0.84167999326656</v>
      </c>
      <c r="E14" s="14">
        <f>(1+$D$11)^-E12</f>
        <v>0.772183480061064</v>
      </c>
      <c r="F14" s="14">
        <f>(1+$D$11)^-F12</f>
        <v>0.708425211065196</v>
      </c>
      <c r="G14" s="14">
        <f>(1+$D$11)^-G12</f>
        <v>0.649931386298345</v>
      </c>
      <c r="H14" s="14">
        <f>(1+$D$11)^-H12</f>
        <v>0.596267326879216</v>
      </c>
      <c r="I14" s="14">
        <f>(1+$D$11)^-I12</f>
        <v>0.547034244843317</v>
      </c>
      <c r="J14" s="14">
        <f>(1+$D$11)^-J12</f>
        <v>0.501866279672768</v>
      </c>
      <c r="K14" s="14">
        <f>(1+$D$11)^-K12</f>
        <v>0.460427779516301</v>
      </c>
      <c r="L14" s="14">
        <f>(1+$D$11)^-L12</f>
        <v>0.422410806895689</v>
      </c>
      <c r="M14" s="14">
        <f>(1+$D$11)^-M12</f>
        <v>0.387532850363017</v>
      </c>
      <c r="N14" s="14">
        <f>(1+$D$11)^-N12</f>
        <v>0.355534725103686</v>
      </c>
      <c r="O14" s="14">
        <f>(1+$D$11)^-O12</f>
        <v>0.326178646884115</v>
      </c>
      <c r="P14" s="14">
        <f>(1+$D$11)^-P12</f>
        <v>0.299246465031298</v>
      </c>
      <c r="Q14" s="14">
        <f>(1+$D$11)^-Q12</f>
        <v>0.274538041313118</v>
      </c>
      <c r="R14" s="14">
        <f>(1+$D$11)^-R12</f>
        <v>0.251869762672585</v>
      </c>
      <c r="S14" s="14">
        <f>(1+$D$11)^-S12</f>
        <v>0.231073176763839</v>
      </c>
      <c r="T14" s="14">
        <f>(1+$D$11)^-T12</f>
        <v>0.211993740150311</v>
      </c>
      <c r="U14" s="14">
        <f>(1+$D$11)^-U12</f>
        <v>0.194489669862671</v>
      </c>
      <c r="V14" s="14">
        <f>(1+$D$11)^-V12</f>
        <v>0.178430889782267</v>
      </c>
      <c r="W14" s="27"/>
    </row>
    <row r="15" spans="1:23">
      <c r="A15" s="11" t="s">
        <v>59</v>
      </c>
      <c r="B15" s="15">
        <f t="shared" ref="B15:N15" si="2">B13*B14</f>
        <v>0</v>
      </c>
      <c r="C15" s="15">
        <f t="shared" si="2"/>
        <v>-0.589449541284403</v>
      </c>
      <c r="D15" s="15">
        <f t="shared" si="2"/>
        <v>-0.540779395673765</v>
      </c>
      <c r="E15" s="15">
        <f t="shared" si="2"/>
        <v>-0.496127885939233</v>
      </c>
      <c r="F15" s="15">
        <f t="shared" si="2"/>
        <v>-0.455163198109388</v>
      </c>
      <c r="G15" s="15">
        <f t="shared" si="2"/>
        <v>0.882281856900003</v>
      </c>
      <c r="H15" s="15">
        <f t="shared" si="2"/>
        <v>0.647546316990829</v>
      </c>
      <c r="I15" s="15">
        <f t="shared" si="2"/>
        <v>0.594079189899842</v>
      </c>
      <c r="J15" s="15">
        <f t="shared" si="2"/>
        <v>0.545026779724626</v>
      </c>
      <c r="K15" s="15">
        <f t="shared" si="2"/>
        <v>0.500024568554703</v>
      </c>
      <c r="L15" s="15">
        <f t="shared" si="2"/>
        <v>0.458738136288718</v>
      </c>
      <c r="M15" s="15">
        <f t="shared" si="2"/>
        <v>0.420860675494237</v>
      </c>
      <c r="N15" s="15">
        <f t="shared" si="2"/>
        <v>0.386110711462603</v>
      </c>
      <c r="O15" s="15">
        <f t="shared" ref="O15:V15" si="3">N13*O14</f>
        <v>0.354230010516149</v>
      </c>
      <c r="P15" s="15">
        <f t="shared" si="3"/>
        <v>0.32498166102399</v>
      </c>
      <c r="Q15" s="15">
        <f t="shared" si="3"/>
        <v>0.298148312866046</v>
      </c>
      <c r="R15" s="15">
        <f t="shared" si="3"/>
        <v>0.273530562262427</v>
      </c>
      <c r="S15" s="15">
        <f t="shared" si="3"/>
        <v>0.250945469965529</v>
      </c>
      <c r="T15" s="15">
        <f t="shared" si="3"/>
        <v>0.230225201803238</v>
      </c>
      <c r="U15" s="15">
        <f t="shared" si="3"/>
        <v>0.211215781470861</v>
      </c>
      <c r="V15" s="15">
        <f t="shared" si="3"/>
        <v>0.193775946303542</v>
      </c>
      <c r="W15" s="240">
        <f>SUM(B15:V15)</f>
        <v>4.49020116052055</v>
      </c>
    </row>
    <row r="18" spans="1:24">
      <c r="A18" s="16"/>
      <c r="B18" s="12" t="s">
        <v>55</v>
      </c>
      <c r="C18" s="8"/>
      <c r="D18" s="8">
        <f>D11-1%</f>
        <v>0.08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5"/>
      <c r="S18" s="13"/>
      <c r="T18" s="13"/>
      <c r="U18" s="13"/>
      <c r="V18" s="13"/>
      <c r="W18" s="26" t="s">
        <v>56</v>
      </c>
      <c r="X18" s="20"/>
    </row>
    <row r="19" spans="1:23">
      <c r="A19" s="17" t="s">
        <v>34</v>
      </c>
      <c r="B19">
        <v>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  <c r="O19">
        <v>13</v>
      </c>
      <c r="P19">
        <v>14</v>
      </c>
      <c r="Q19">
        <v>15</v>
      </c>
      <c r="R19">
        <v>16</v>
      </c>
      <c r="S19">
        <v>17</v>
      </c>
      <c r="T19">
        <v>18</v>
      </c>
      <c r="U19">
        <v>19</v>
      </c>
      <c r="V19">
        <v>20</v>
      </c>
      <c r="W19" s="27"/>
    </row>
    <row r="20" ht="30" spans="1:23">
      <c r="A20" s="17" t="s">
        <v>57</v>
      </c>
      <c r="B20" s="14">
        <f t="shared" ref="B20:N20" si="4">B13</f>
        <v>0</v>
      </c>
      <c r="C20" s="14">
        <f t="shared" si="4"/>
        <v>-0.6425</v>
      </c>
      <c r="D20" s="14">
        <f t="shared" si="4"/>
        <v>-0.6425</v>
      </c>
      <c r="E20" s="14">
        <f t="shared" si="4"/>
        <v>-0.6425</v>
      </c>
      <c r="F20" s="14">
        <f t="shared" si="4"/>
        <v>-0.6425</v>
      </c>
      <c r="G20" s="14">
        <f t="shared" si="4"/>
        <v>1.3575</v>
      </c>
      <c r="H20" s="14">
        <f t="shared" si="4"/>
        <v>1.086</v>
      </c>
      <c r="I20" s="14">
        <f t="shared" si="4"/>
        <v>1.086</v>
      </c>
      <c r="J20" s="14">
        <f t="shared" si="4"/>
        <v>1.086</v>
      </c>
      <c r="K20" s="14">
        <f t="shared" si="4"/>
        <v>1.086</v>
      </c>
      <c r="L20" s="14">
        <f t="shared" si="4"/>
        <v>1.086</v>
      </c>
      <c r="M20" s="14">
        <f t="shared" si="4"/>
        <v>1.086</v>
      </c>
      <c r="N20" s="14">
        <f t="shared" si="4"/>
        <v>1.086</v>
      </c>
      <c r="O20" s="14">
        <f t="shared" ref="O20:Q20" si="5">N13</f>
        <v>1.086</v>
      </c>
      <c r="P20" s="14">
        <f t="shared" si="5"/>
        <v>1.086</v>
      </c>
      <c r="Q20" s="14">
        <f t="shared" si="5"/>
        <v>1.086</v>
      </c>
      <c r="R20" s="14">
        <f t="shared" ref="R20:V20" si="6">R13</f>
        <v>1.086</v>
      </c>
      <c r="S20" s="14">
        <f t="shared" si="6"/>
        <v>1.086</v>
      </c>
      <c r="T20" s="14">
        <f t="shared" si="6"/>
        <v>1.086</v>
      </c>
      <c r="U20" s="14">
        <f t="shared" si="6"/>
        <v>1.086</v>
      </c>
      <c r="V20" s="14">
        <f t="shared" si="6"/>
        <v>1.086</v>
      </c>
      <c r="W20" s="27"/>
    </row>
    <row r="21" ht="30" spans="1:23">
      <c r="A21" s="17" t="s">
        <v>58</v>
      </c>
      <c r="B21" s="14">
        <f>(1+$D$18)^-B19</f>
        <v>1</v>
      </c>
      <c r="C21" s="14">
        <f>(1+$D$18)^-C19</f>
        <v>0.925925925925926</v>
      </c>
      <c r="D21" s="14">
        <f>(1+$D$18)^-D19</f>
        <v>0.857338820301783</v>
      </c>
      <c r="E21" s="14">
        <f>(1+$D$18)^-E19</f>
        <v>0.79383224102017</v>
      </c>
      <c r="F21" s="14">
        <f>(1+$D$18)^-F19</f>
        <v>0.735029852796453</v>
      </c>
      <c r="G21" s="14">
        <f>(1+$D$18)^-G19</f>
        <v>0.680583197033753</v>
      </c>
      <c r="H21" s="14">
        <f>(1+$D$18)^-H19</f>
        <v>0.630169626883105</v>
      </c>
      <c r="I21" s="14">
        <f>(1+$D$18)^-I19</f>
        <v>0.583490395262134</v>
      </c>
      <c r="J21" s="14">
        <f>(1+$D$18)^-J19</f>
        <v>0.540268884501976</v>
      </c>
      <c r="K21" s="14">
        <f>(1+$D$18)^-K19</f>
        <v>0.500248967131459</v>
      </c>
      <c r="L21" s="14">
        <f>(1+$D$18)^-L19</f>
        <v>0.463193488084684</v>
      </c>
      <c r="M21" s="14">
        <f>(1+$D$18)^-M19</f>
        <v>0.428882859337671</v>
      </c>
      <c r="N21" s="24">
        <f>(1+$D$18)^-N19</f>
        <v>0.397113758645991</v>
      </c>
      <c r="O21" s="14">
        <f>(1+$D$18)^-O19</f>
        <v>0.367697924672214</v>
      </c>
      <c r="P21" s="14">
        <f>(1+$D$18)^-P19</f>
        <v>0.340461041363161</v>
      </c>
      <c r="Q21" s="14">
        <f>(1+$D$18)^-Q19</f>
        <v>0.31524170496589</v>
      </c>
      <c r="R21" s="14">
        <f>(1+$D$18)^-R19</f>
        <v>0.291890467561009</v>
      </c>
      <c r="S21" s="14">
        <f>(1+$D$18)^-S19</f>
        <v>0.270268951445379</v>
      </c>
      <c r="T21" s="14">
        <f>(1+$D$18)^-T19</f>
        <v>0.250249029116091</v>
      </c>
      <c r="U21" s="14">
        <f>(1+$D$18)^-U19</f>
        <v>0.231712063996381</v>
      </c>
      <c r="V21" s="14">
        <f>(1+$D$18)^-V19</f>
        <v>0.214548207404056</v>
      </c>
      <c r="W21" s="27"/>
    </row>
    <row r="22" spans="1:23">
      <c r="A22" s="17" t="s">
        <v>59</v>
      </c>
      <c r="B22" s="15">
        <f t="shared" ref="B22:V22" si="7">B20*B21</f>
        <v>0</v>
      </c>
      <c r="C22" s="15">
        <f t="shared" si="7"/>
        <v>-0.594907407407407</v>
      </c>
      <c r="D22" s="15">
        <f t="shared" si="7"/>
        <v>-0.550840192043895</v>
      </c>
      <c r="E22" s="15">
        <f t="shared" si="7"/>
        <v>-0.510037214855459</v>
      </c>
      <c r="F22" s="15">
        <f t="shared" si="7"/>
        <v>-0.472256680421721</v>
      </c>
      <c r="G22" s="15">
        <f t="shared" si="7"/>
        <v>0.92389168997332</v>
      </c>
      <c r="H22" s="15">
        <f t="shared" si="7"/>
        <v>0.684364214795052</v>
      </c>
      <c r="I22" s="15">
        <f t="shared" si="7"/>
        <v>0.633670569254678</v>
      </c>
      <c r="J22" s="15">
        <f t="shared" si="7"/>
        <v>0.586732008569146</v>
      </c>
      <c r="K22" s="15">
        <f t="shared" si="7"/>
        <v>0.543270378304765</v>
      </c>
      <c r="L22" s="15">
        <f t="shared" si="7"/>
        <v>0.503028128059967</v>
      </c>
      <c r="M22" s="15">
        <f t="shared" si="7"/>
        <v>0.465766785240711</v>
      </c>
      <c r="N22" s="15">
        <f t="shared" si="7"/>
        <v>0.431265541889546</v>
      </c>
      <c r="O22" s="15">
        <f t="shared" si="7"/>
        <v>0.399319946194024</v>
      </c>
      <c r="P22" s="15">
        <f t="shared" si="7"/>
        <v>0.369740690920393</v>
      </c>
      <c r="Q22" s="15">
        <f t="shared" si="7"/>
        <v>0.342352491592957</v>
      </c>
      <c r="R22" s="15">
        <f t="shared" si="7"/>
        <v>0.316993047771256</v>
      </c>
      <c r="S22" s="15">
        <f t="shared" si="7"/>
        <v>0.293512081269682</v>
      </c>
      <c r="T22" s="15">
        <f t="shared" si="7"/>
        <v>0.271770445620075</v>
      </c>
      <c r="U22" s="15">
        <f t="shared" si="7"/>
        <v>0.25163930150007</v>
      </c>
      <c r="V22" s="15">
        <f t="shared" si="7"/>
        <v>0.232999353240805</v>
      </c>
      <c r="W22" s="240">
        <f>SUM(B22:V22)</f>
        <v>5.12227517946796</v>
      </c>
    </row>
    <row r="25" spans="1:23">
      <c r="A25" s="16"/>
      <c r="B25" s="12" t="s">
        <v>55</v>
      </c>
      <c r="C25" s="8"/>
      <c r="D25" s="8">
        <f>D18-1%</f>
        <v>0.07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25"/>
      <c r="S25" s="13"/>
      <c r="T25" s="13"/>
      <c r="U25" s="13"/>
      <c r="V25" s="13"/>
      <c r="W25" s="26" t="s">
        <v>56</v>
      </c>
    </row>
    <row r="26" spans="1:23">
      <c r="A26" s="17" t="s">
        <v>34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  <c r="M26">
        <v>11</v>
      </c>
      <c r="N26">
        <v>12</v>
      </c>
      <c r="O26">
        <v>13</v>
      </c>
      <c r="P26">
        <v>14</v>
      </c>
      <c r="Q26">
        <v>15</v>
      </c>
      <c r="R26">
        <v>16</v>
      </c>
      <c r="S26">
        <v>17</v>
      </c>
      <c r="T26">
        <v>18</v>
      </c>
      <c r="U26">
        <v>19</v>
      </c>
      <c r="V26">
        <v>20</v>
      </c>
      <c r="W26" s="27"/>
    </row>
    <row r="27" ht="30" spans="1:23">
      <c r="A27" s="17" t="s">
        <v>57</v>
      </c>
      <c r="B27" s="14">
        <f t="shared" ref="B27:N27" si="8">B20</f>
        <v>0</v>
      </c>
      <c r="C27" s="14">
        <f t="shared" si="8"/>
        <v>-0.6425</v>
      </c>
      <c r="D27" s="14">
        <f t="shared" si="8"/>
        <v>-0.6425</v>
      </c>
      <c r="E27" s="14">
        <f t="shared" si="8"/>
        <v>-0.6425</v>
      </c>
      <c r="F27" s="14">
        <f t="shared" si="8"/>
        <v>-0.6425</v>
      </c>
      <c r="G27" s="14">
        <f t="shared" si="8"/>
        <v>1.3575</v>
      </c>
      <c r="H27" s="14">
        <f t="shared" si="8"/>
        <v>1.086</v>
      </c>
      <c r="I27" s="14">
        <f t="shared" si="8"/>
        <v>1.086</v>
      </c>
      <c r="J27" s="14">
        <f t="shared" si="8"/>
        <v>1.086</v>
      </c>
      <c r="K27" s="14">
        <f t="shared" si="8"/>
        <v>1.086</v>
      </c>
      <c r="L27" s="14">
        <f t="shared" si="8"/>
        <v>1.086</v>
      </c>
      <c r="M27" s="14">
        <f t="shared" si="8"/>
        <v>1.086</v>
      </c>
      <c r="N27" s="14">
        <f t="shared" si="8"/>
        <v>1.086</v>
      </c>
      <c r="O27" s="14">
        <f t="shared" ref="O27:Q27" si="9">N20</f>
        <v>1.086</v>
      </c>
      <c r="P27" s="14">
        <f t="shared" si="9"/>
        <v>1.086</v>
      </c>
      <c r="Q27" s="14">
        <f t="shared" si="9"/>
        <v>1.086</v>
      </c>
      <c r="R27" s="14">
        <f t="shared" ref="R27:V27" si="10">R20</f>
        <v>1.086</v>
      </c>
      <c r="S27" s="14">
        <f t="shared" si="10"/>
        <v>1.086</v>
      </c>
      <c r="T27" s="14">
        <f t="shared" si="10"/>
        <v>1.086</v>
      </c>
      <c r="U27" s="14">
        <f t="shared" si="10"/>
        <v>1.086</v>
      </c>
      <c r="V27" s="14">
        <f t="shared" si="10"/>
        <v>1.086</v>
      </c>
      <c r="W27" s="27"/>
    </row>
    <row r="28" ht="30" spans="1:23">
      <c r="A28" s="17" t="s">
        <v>58</v>
      </c>
      <c r="B28" s="14">
        <f>(1+$D$18)^-B26</f>
        <v>1</v>
      </c>
      <c r="C28" s="14">
        <f>(1+$D$25)^-C26</f>
        <v>0.934579439252336</v>
      </c>
      <c r="D28" s="14">
        <f>(1+$D$25)^-D26</f>
        <v>0.873438728273212</v>
      </c>
      <c r="E28" s="14">
        <f>(1+$D$25)^-E26</f>
        <v>0.816297876890852</v>
      </c>
      <c r="F28" s="14">
        <f>(1+$D$25)^-F26</f>
        <v>0.762895212047525</v>
      </c>
      <c r="G28" s="14">
        <f>(1+$D$25)^-G26</f>
        <v>0.712986179483668</v>
      </c>
      <c r="H28" s="14">
        <f>(1+$D$25)^-H26</f>
        <v>0.666342223816512</v>
      </c>
      <c r="I28" s="14">
        <f>(1+$D$25)^-I26</f>
        <v>0.622749741884591</v>
      </c>
      <c r="J28" s="14">
        <f>(1+$D$25)^-J26</f>
        <v>0.582009104565038</v>
      </c>
      <c r="K28" s="14">
        <f>(1+$D$25)^-K26</f>
        <v>0.543933742584148</v>
      </c>
      <c r="L28" s="14">
        <f>(1+$D$25)^-L26</f>
        <v>0.508349292134718</v>
      </c>
      <c r="M28" s="14">
        <f>(1+$D$25)^-M26</f>
        <v>0.475092796387587</v>
      </c>
      <c r="N28" s="14">
        <f>(1+$D$25)^-N26</f>
        <v>0.444011959240735</v>
      </c>
      <c r="O28" s="14">
        <f>(1+$D$25)^-O26</f>
        <v>0.414964447888537</v>
      </c>
      <c r="P28" s="14">
        <f>(1+$D$25)^-P26</f>
        <v>0.387817241017325</v>
      </c>
      <c r="Q28" s="14">
        <f>(1+$D$25)^-Q26</f>
        <v>0.362446019642359</v>
      </c>
      <c r="R28" s="14">
        <f>(1+$D$25)^-R26</f>
        <v>0.338734597796598</v>
      </c>
      <c r="S28" s="14">
        <f>(1+$D$25)^-S26</f>
        <v>0.31657439046411</v>
      </c>
      <c r="T28" s="14">
        <f>(1+$D$25)^-T26</f>
        <v>0.295863916321598</v>
      </c>
      <c r="U28" s="14">
        <f>(1+$D$25)^-U26</f>
        <v>0.276508333010839</v>
      </c>
      <c r="V28" s="14">
        <f>(1+$D$25)^-V26</f>
        <v>0.258419002813868</v>
      </c>
      <c r="W28" s="27"/>
    </row>
    <row r="29" spans="1:23">
      <c r="A29" s="17" t="s">
        <v>59</v>
      </c>
      <c r="B29" s="15">
        <f t="shared" ref="B29:V29" si="11">B27*B28</f>
        <v>0</v>
      </c>
      <c r="C29" s="15">
        <f t="shared" si="11"/>
        <v>-0.600467289719626</v>
      </c>
      <c r="D29" s="15">
        <f t="shared" si="11"/>
        <v>-0.561184382915539</v>
      </c>
      <c r="E29" s="15">
        <f t="shared" si="11"/>
        <v>-0.524471385902372</v>
      </c>
      <c r="F29" s="15">
        <f t="shared" si="11"/>
        <v>-0.490160173740535</v>
      </c>
      <c r="G29" s="15">
        <f t="shared" si="11"/>
        <v>0.967878738649079</v>
      </c>
      <c r="H29" s="15">
        <f t="shared" si="11"/>
        <v>0.723647655064732</v>
      </c>
      <c r="I29" s="15">
        <f t="shared" si="11"/>
        <v>0.676306219686666</v>
      </c>
      <c r="J29" s="15">
        <f t="shared" si="11"/>
        <v>0.632061887557631</v>
      </c>
      <c r="K29" s="15">
        <f t="shared" si="11"/>
        <v>0.590712044446385</v>
      </c>
      <c r="L29" s="15">
        <f t="shared" si="11"/>
        <v>0.552067331258304</v>
      </c>
      <c r="M29" s="15">
        <f t="shared" si="11"/>
        <v>0.515950776876919</v>
      </c>
      <c r="N29" s="15">
        <f t="shared" si="11"/>
        <v>0.482196987735438</v>
      </c>
      <c r="O29" s="15">
        <f t="shared" si="11"/>
        <v>0.450651390406951</v>
      </c>
      <c r="P29" s="15">
        <f t="shared" si="11"/>
        <v>0.421169523744815</v>
      </c>
      <c r="Q29" s="15">
        <f t="shared" si="11"/>
        <v>0.393616377331602</v>
      </c>
      <c r="R29" s="15">
        <f t="shared" si="11"/>
        <v>0.367865773207105</v>
      </c>
      <c r="S29" s="15">
        <f t="shared" si="11"/>
        <v>0.343799788044024</v>
      </c>
      <c r="T29" s="15">
        <f t="shared" si="11"/>
        <v>0.321308213125255</v>
      </c>
      <c r="U29" s="15">
        <f t="shared" si="11"/>
        <v>0.300288049649771</v>
      </c>
      <c r="V29" s="15">
        <f t="shared" si="11"/>
        <v>0.280643037055861</v>
      </c>
      <c r="W29" s="240">
        <f>SUM(B29:V29)</f>
        <v>5.84388056156247</v>
      </c>
    </row>
    <row r="54" spans="1:2">
      <c r="A54" s="3" t="s">
        <v>60</v>
      </c>
      <c r="B54" s="3"/>
    </row>
    <row r="56" spans="2:4">
      <c r="B56" s="18" t="s">
        <v>61</v>
      </c>
      <c r="C56" s="18"/>
      <c r="D56" s="19">
        <f>FORECAST(0,F61:O61,F62:O62)</f>
        <v>7.25361282263538</v>
      </c>
    </row>
    <row r="60" ht="75" spans="2:23">
      <c r="B60" s="17" t="s">
        <v>62</v>
      </c>
      <c r="C60" s="20">
        <f>'METHANOL SYNTHESIS 2'!Q4</f>
        <v>0</v>
      </c>
      <c r="D60" s="20">
        <f>'METHANOL SYNTHESIS 2'!Q5</f>
        <v>-0.584090909090909</v>
      </c>
      <c r="E60" s="20">
        <f>'METHANOL SYNTHESIS 2'!Q6</f>
        <v>-1.1150826446281</v>
      </c>
      <c r="F60" s="20">
        <f>'METHANOL SYNTHESIS 2'!Q7</f>
        <v>-1.59780240420736</v>
      </c>
      <c r="G60" s="20">
        <f>'METHANOL SYNTHESIS 2'!Q8</f>
        <v>-2.03663854927942</v>
      </c>
      <c r="H60" s="20">
        <f>'METHANOL SYNTHESIS 2'!Q9</f>
        <v>-1.19373785322662</v>
      </c>
      <c r="I60" s="20">
        <f>'METHANOL SYNTHESIS 2'!Q10</f>
        <v>-0.580719165188216</v>
      </c>
      <c r="J60" s="20">
        <f>'METHANOL SYNTHESIS 2'!Q11</f>
        <v>-0.0234294487896688</v>
      </c>
      <c r="K60" s="20">
        <f>'METHANOL SYNTHESIS 2'!Q12</f>
        <v>0.483197566118101</v>
      </c>
      <c r="L60" s="20">
        <f>'METHANOL SYNTHESIS 2'!Q13</f>
        <v>0.94376757967062</v>
      </c>
      <c r="M60" s="20">
        <f>'METHANOL SYNTHESIS 2'!Q14</f>
        <v>1.36246759199109</v>
      </c>
      <c r="N60" s="20">
        <f>'METHANOL SYNTHESIS 2'!Q15</f>
        <v>1.74310396682788</v>
      </c>
      <c r="O60" s="20">
        <f>'METHANOL SYNTHESIS 2'!Q16</f>
        <v>2.08913703486133</v>
      </c>
      <c r="P60" s="20">
        <f>'METHANOL SYNTHESIS 2'!Q17</f>
        <v>2.40371255125537</v>
      </c>
      <c r="Q60" s="20">
        <f>'METHANOL SYNTHESIS 2'!Q18</f>
        <v>2.68969029343178</v>
      </c>
      <c r="R60" s="20">
        <f>'METHANOL SYNTHESIS 2'!Q19</f>
        <v>2.94967005904669</v>
      </c>
      <c r="S60" s="20">
        <f>'METHANOL SYNTHESIS 2'!Q20</f>
        <v>3.18601530051479</v>
      </c>
      <c r="T60" s="20">
        <f>'METHANOL SYNTHESIS 2'!Q21</f>
        <v>3.40087461094034</v>
      </c>
      <c r="U60" s="20">
        <f>'METHANOL SYNTHESIS 2'!Q22</f>
        <v>3.59620125678174</v>
      </c>
      <c r="V60" s="20">
        <f>'METHANOL SYNTHESIS 2'!Q23</f>
        <v>3.77377093481938</v>
      </c>
      <c r="W60" s="20">
        <f>'METHANOL SYNTHESIS 2'!Q24</f>
        <v>3.9351979148536</v>
      </c>
    </row>
    <row r="61" spans="2:23">
      <c r="B61" s="16" t="s">
        <v>34</v>
      </c>
      <c r="C61" s="16">
        <v>0</v>
      </c>
      <c r="D61" s="16">
        <v>1</v>
      </c>
      <c r="E61" s="16">
        <v>2</v>
      </c>
      <c r="F61" s="16">
        <v>3</v>
      </c>
      <c r="G61" s="16">
        <v>4</v>
      </c>
      <c r="H61" s="16">
        <v>5</v>
      </c>
      <c r="I61" s="16">
        <v>6</v>
      </c>
      <c r="J61" s="16">
        <v>7</v>
      </c>
      <c r="K61" s="16">
        <v>8</v>
      </c>
      <c r="L61" s="16">
        <v>9</v>
      </c>
      <c r="M61" s="16">
        <v>10</v>
      </c>
      <c r="N61" s="16">
        <v>11</v>
      </c>
      <c r="O61" s="16">
        <v>12</v>
      </c>
      <c r="P61" s="16">
        <v>13</v>
      </c>
      <c r="Q61" s="16">
        <v>14</v>
      </c>
      <c r="R61" s="16">
        <v>15</v>
      </c>
      <c r="S61" s="16">
        <v>16</v>
      </c>
      <c r="T61" s="16">
        <v>17</v>
      </c>
      <c r="U61" s="16">
        <v>18</v>
      </c>
      <c r="V61" s="16">
        <v>19</v>
      </c>
      <c r="W61" s="16">
        <v>20</v>
      </c>
    </row>
    <row r="62" ht="75" spans="2:23">
      <c r="B62" s="17" t="s">
        <v>62</v>
      </c>
      <c r="C62" s="21">
        <f t="shared" ref="C62:W62" si="12">C60</f>
        <v>0</v>
      </c>
      <c r="D62" s="21">
        <f t="shared" si="12"/>
        <v>-0.584090909090909</v>
      </c>
      <c r="E62" s="21">
        <f t="shared" si="12"/>
        <v>-1.1150826446281</v>
      </c>
      <c r="F62" s="21">
        <f t="shared" si="12"/>
        <v>-1.59780240420736</v>
      </c>
      <c r="G62" s="21">
        <f t="shared" si="12"/>
        <v>-2.03663854927942</v>
      </c>
      <c r="H62" s="21">
        <f t="shared" si="12"/>
        <v>-1.19373785322662</v>
      </c>
      <c r="I62" s="21">
        <f t="shared" si="12"/>
        <v>-0.580719165188216</v>
      </c>
      <c r="J62" s="21">
        <f t="shared" si="12"/>
        <v>-0.0234294487896688</v>
      </c>
      <c r="K62" s="21">
        <f t="shared" si="12"/>
        <v>0.483197566118101</v>
      </c>
      <c r="L62" s="21">
        <f t="shared" si="12"/>
        <v>0.94376757967062</v>
      </c>
      <c r="M62" s="21">
        <f t="shared" si="12"/>
        <v>1.36246759199109</v>
      </c>
      <c r="N62" s="21">
        <f t="shared" si="12"/>
        <v>1.74310396682788</v>
      </c>
      <c r="O62" s="21">
        <f t="shared" si="12"/>
        <v>2.08913703486133</v>
      </c>
      <c r="P62" s="21">
        <f t="shared" si="12"/>
        <v>2.40371255125537</v>
      </c>
      <c r="Q62" s="21">
        <f t="shared" si="12"/>
        <v>2.68969029343178</v>
      </c>
      <c r="R62" s="21">
        <f t="shared" si="12"/>
        <v>2.94967005904669</v>
      </c>
      <c r="S62" s="21">
        <f t="shared" si="12"/>
        <v>3.18601530051479</v>
      </c>
      <c r="T62" s="21">
        <f t="shared" si="12"/>
        <v>3.40087461094034</v>
      </c>
      <c r="U62" s="21">
        <f t="shared" si="12"/>
        <v>3.59620125678174</v>
      </c>
      <c r="V62" s="21">
        <f t="shared" si="12"/>
        <v>3.77377093481938</v>
      </c>
      <c r="W62" s="21">
        <f t="shared" si="12"/>
        <v>3.9351979148536</v>
      </c>
    </row>
    <row r="98" spans="1:3">
      <c r="A98" s="3" t="s">
        <v>63</v>
      </c>
      <c r="B98" s="3"/>
      <c r="C98" s="3"/>
    </row>
    <row r="99" ht="18.75" spans="1:4">
      <c r="A99" s="30"/>
      <c r="B99" s="30"/>
      <c r="C99" s="30"/>
      <c r="D99" s="30"/>
    </row>
    <row r="100" spans="1:4">
      <c r="A100" s="31"/>
      <c r="B100" s="32" t="s">
        <v>64</v>
      </c>
      <c r="C100" s="32" t="s">
        <v>65</v>
      </c>
      <c r="D100" s="33"/>
    </row>
    <row r="101" spans="1:4">
      <c r="A101" s="31"/>
      <c r="B101" s="33" t="s">
        <v>66</v>
      </c>
      <c r="C101" s="33" t="s">
        <v>67</v>
      </c>
      <c r="D101" s="33"/>
    </row>
    <row r="102" spans="1:4">
      <c r="A102" s="31"/>
      <c r="B102" s="33" t="s">
        <v>68</v>
      </c>
      <c r="C102" s="33"/>
      <c r="D102" s="33"/>
    </row>
    <row r="103" spans="1:4">
      <c r="A103" s="31"/>
      <c r="B103" s="33" t="s">
        <v>69</v>
      </c>
      <c r="C103" s="33">
        <v>0</v>
      </c>
      <c r="D103" s="33" t="s">
        <v>70</v>
      </c>
    </row>
    <row r="104" spans="1:4">
      <c r="A104" s="31"/>
      <c r="B104" s="33" t="s">
        <v>71</v>
      </c>
      <c r="C104" s="34">
        <f>'METHANOL SYNTHESIS'!K16</f>
        <v>0.1</v>
      </c>
      <c r="D104" s="33"/>
    </row>
    <row r="105" spans="1:4">
      <c r="A105" s="31"/>
      <c r="B105" s="33" t="s">
        <v>72</v>
      </c>
      <c r="C105" s="33">
        <f>'METHANOL SYNTHESIS'!F8</f>
        <v>8000000</v>
      </c>
      <c r="D105" s="33" t="s">
        <v>73</v>
      </c>
    </row>
    <row r="106" spans="1:4">
      <c r="A106" s="31"/>
      <c r="B106" s="33" t="s">
        <v>74</v>
      </c>
      <c r="C106" s="33">
        <f>C7</f>
        <v>3.9351979148536</v>
      </c>
      <c r="D106" s="33" t="s">
        <v>73</v>
      </c>
    </row>
    <row r="107" spans="1:4">
      <c r="A107" s="31"/>
      <c r="B107" s="33" t="s">
        <v>66</v>
      </c>
      <c r="C107" s="33">
        <f>'METHANOL SYNTHESIS'!F8</f>
        <v>8000000</v>
      </c>
      <c r="D107" s="33"/>
    </row>
    <row r="108" spans="1:4">
      <c r="A108" s="31"/>
      <c r="B108" s="35" t="s">
        <v>64</v>
      </c>
      <c r="C108" s="35">
        <f>C106/C107</f>
        <v>4.918997393567e-7</v>
      </c>
      <c r="D108" s="35"/>
    </row>
    <row r="109" spans="1:4">
      <c r="A109" s="31"/>
      <c r="B109" s="31"/>
      <c r="C109" s="31"/>
      <c r="D109" s="31"/>
    </row>
    <row r="110" spans="1:4">
      <c r="A110" s="36" t="s">
        <v>75</v>
      </c>
      <c r="B110" s="36"/>
      <c r="C110" s="31"/>
      <c r="D110" s="31"/>
    </row>
    <row r="111" spans="1:4">
      <c r="A111" s="31"/>
      <c r="B111" s="32" t="s">
        <v>76</v>
      </c>
      <c r="C111" s="32" t="s">
        <v>77</v>
      </c>
      <c r="D111" s="31"/>
    </row>
    <row r="112" spans="1:4">
      <c r="A112" s="31"/>
      <c r="B112" s="33" t="s">
        <v>68</v>
      </c>
      <c r="C112" s="33"/>
      <c r="D112" s="31"/>
    </row>
    <row r="113" spans="1:4">
      <c r="A113" s="31"/>
      <c r="B113" s="33" t="s">
        <v>64</v>
      </c>
      <c r="C113" s="33">
        <f>C108</f>
        <v>4.918997393567e-7</v>
      </c>
      <c r="D113" s="31"/>
    </row>
    <row r="114" spans="1:4">
      <c r="A114" s="31"/>
      <c r="B114" s="37" t="s">
        <v>76</v>
      </c>
      <c r="C114" s="37">
        <f>1+C113</f>
        <v>1.00000049189974</v>
      </c>
      <c r="D114" s="31"/>
    </row>
    <row r="116" spans="1:1">
      <c r="A116" s="3" t="s">
        <v>78</v>
      </c>
    </row>
    <row r="118" spans="2:3">
      <c r="B118" s="38" t="s">
        <v>74</v>
      </c>
      <c r="C118" s="39" t="s">
        <v>79</v>
      </c>
    </row>
    <row r="119" spans="2:3">
      <c r="B119" s="6" t="s">
        <v>80</v>
      </c>
      <c r="C119" s="6"/>
    </row>
    <row r="120" spans="2:3">
      <c r="B120" s="6" t="s">
        <v>81</v>
      </c>
      <c r="C120" s="6"/>
    </row>
    <row r="121" spans="2:3">
      <c r="B121" s="8" t="s">
        <v>82</v>
      </c>
      <c r="C121" s="8">
        <f>C7</f>
        <v>3.9351979148536</v>
      </c>
    </row>
    <row r="123" spans="1:4">
      <c r="A123" s="3" t="s">
        <v>83</v>
      </c>
      <c r="B123" s="3"/>
      <c r="C123">
        <f>FORECAST(0,$C$125:$D$125,$C$126:$D$126)</f>
        <v>505.953841448693</v>
      </c>
      <c r="D123">
        <f>FORECAST(0,$C$125:$D$125,$C$126:$D$126)</f>
        <v>505.953841448693</v>
      </c>
    </row>
    <row r="125" spans="2:5">
      <c r="B125" t="s">
        <v>84</v>
      </c>
      <c r="C125" s="6">
        <f>'METHANOL SYNTHESIS'!L9</f>
        <v>650</v>
      </c>
      <c r="D125" s="6">
        <f>B131</f>
        <v>550</v>
      </c>
      <c r="E125" s="6">
        <f>B155</f>
        <v>450</v>
      </c>
    </row>
    <row r="126" spans="2:5">
      <c r="B126" t="s">
        <v>54</v>
      </c>
      <c r="C126" s="6">
        <f>'METHANOL SYNTHESIS 2'!Q24</f>
        <v>3.9351979148536</v>
      </c>
      <c r="D126" s="6">
        <f>Q153</f>
        <v>1.20329728353483</v>
      </c>
      <c r="E126" s="6">
        <f>Q177</f>
        <v>-2.18924147641832</v>
      </c>
    </row>
    <row r="131" spans="1:17">
      <c r="A131" s="6" t="s">
        <v>85</v>
      </c>
      <c r="B131" s="6">
        <f>C125-100</f>
        <v>550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ht="45" spans="1:17">
      <c r="A132" s="40" t="s">
        <v>34</v>
      </c>
      <c r="B132" s="274" t="s">
        <v>35</v>
      </c>
      <c r="C132" s="274" t="s">
        <v>36</v>
      </c>
      <c r="D132" s="274" t="s">
        <v>86</v>
      </c>
      <c r="E132" s="274" t="s">
        <v>87</v>
      </c>
      <c r="F132" s="274" t="s">
        <v>88</v>
      </c>
      <c r="G132" s="274" t="s">
        <v>40</v>
      </c>
      <c r="H132" s="274" t="s">
        <v>89</v>
      </c>
      <c r="I132" s="274" t="s">
        <v>90</v>
      </c>
      <c r="J132" s="274" t="s">
        <v>91</v>
      </c>
      <c r="K132" s="275" t="s">
        <v>92</v>
      </c>
      <c r="L132" s="276" t="s">
        <v>93</v>
      </c>
      <c r="M132" s="276" t="s">
        <v>94</v>
      </c>
      <c r="N132" s="276" t="s">
        <v>95</v>
      </c>
      <c r="O132" s="276" t="s">
        <v>48</v>
      </c>
      <c r="P132" s="276" t="s">
        <v>96</v>
      </c>
      <c r="Q132" s="276" t="s">
        <v>97</v>
      </c>
    </row>
    <row r="133" spans="1:17">
      <c r="A133" s="42">
        <v>0</v>
      </c>
      <c r="B133" s="43"/>
      <c r="C133" s="44"/>
      <c r="D133" s="45"/>
      <c r="E133" s="44"/>
      <c r="F133" s="44"/>
      <c r="G133" s="44">
        <f>'METHANOL SYNTHESIS'!F8</f>
        <v>8000000</v>
      </c>
      <c r="H133" s="44"/>
      <c r="I133" s="44"/>
      <c r="J133" s="44"/>
      <c r="K133" s="47">
        <f t="shared" ref="K133:K141" si="13">J133</f>
        <v>0</v>
      </c>
      <c r="L133" s="50">
        <f>IF(K133&gt;0,K133*'METHANOL SYNTHESIS'!$K$15,0)</f>
        <v>0</v>
      </c>
      <c r="M133" s="47">
        <f t="shared" ref="M133:M153" si="14">I133-L133</f>
        <v>0</v>
      </c>
      <c r="N133" s="47">
        <v>0</v>
      </c>
      <c r="O133" s="47">
        <f>(1+'METHANOL SYNTHESIS'!$K$16)^-A133</f>
        <v>1</v>
      </c>
      <c r="P133" s="51">
        <f>N133*O133</f>
        <v>0</v>
      </c>
      <c r="Q133" s="277">
        <f>P133</f>
        <v>0</v>
      </c>
    </row>
    <row r="134" spans="1:17">
      <c r="A134" s="46">
        <v>1</v>
      </c>
      <c r="B134" s="47">
        <f>'METHANOL SYNTHESIS'!$L$6</f>
        <v>4000</v>
      </c>
      <c r="C134" s="47">
        <f>B131</f>
        <v>550</v>
      </c>
      <c r="D134" s="47">
        <f t="shared" ref="D134:D153" si="15">B134*C134/10^6</f>
        <v>2.2</v>
      </c>
      <c r="E134" s="47">
        <f>'METHANOL SYNTHESIS'!$F$17/10^6</f>
        <v>1.2425</v>
      </c>
      <c r="F134" s="47">
        <f t="shared" ref="F134:F153" si="16">D134-E134</f>
        <v>0.9575</v>
      </c>
      <c r="G134" s="47"/>
      <c r="H134" s="47">
        <f>'METHANOL SYNTHESIS'!$F$8/'METHANOL SYNTHESIS'!$K$12/10^6</f>
        <v>2</v>
      </c>
      <c r="I134" s="47">
        <f t="shared" ref="I134:I153" si="17">F134-H134</f>
        <v>-1.0425</v>
      </c>
      <c r="J134" s="47">
        <f>I134</f>
        <v>-1.0425</v>
      </c>
      <c r="K134" s="47">
        <f t="shared" si="13"/>
        <v>-1.0425</v>
      </c>
      <c r="L134" s="50">
        <f>IF(K134&gt;0,K134*'METHANOL SYNTHESIS'!$K$15,0)</f>
        <v>0</v>
      </c>
      <c r="M134" s="47">
        <f t="shared" si="14"/>
        <v>-1.0425</v>
      </c>
      <c r="N134" s="47">
        <f t="shared" ref="N134:N153" si="18">N133+M134</f>
        <v>-1.0425</v>
      </c>
      <c r="O134" s="47">
        <f>(1+'METHANOL SYNTHESIS'!$K$16)^-A134</f>
        <v>0.909090909090909</v>
      </c>
      <c r="P134" s="51">
        <f t="shared" ref="P134:P153" si="19">M134*O134</f>
        <v>-0.947727272727272</v>
      </c>
      <c r="Q134" s="278">
        <f t="shared" ref="Q134:Q153" si="20">Q133+P134</f>
        <v>-0.947727272727272</v>
      </c>
    </row>
    <row r="135" spans="1:17">
      <c r="A135" s="42">
        <v>2</v>
      </c>
      <c r="B135" s="47">
        <f>'METHANOL SYNTHESIS'!$L$6</f>
        <v>4000</v>
      </c>
      <c r="C135" s="47">
        <f t="shared" ref="C135:C153" si="21">$C$134</f>
        <v>550</v>
      </c>
      <c r="D135" s="47">
        <f t="shared" si="15"/>
        <v>2.2</v>
      </c>
      <c r="E135" s="47">
        <f>'METHANOL SYNTHESIS'!$F$17/10^6</f>
        <v>1.2425</v>
      </c>
      <c r="F135" s="47">
        <f t="shared" si="16"/>
        <v>0.9575</v>
      </c>
      <c r="G135" s="47"/>
      <c r="H135" s="47">
        <f>'METHANOL SYNTHESIS'!$F$8/'METHANOL SYNTHESIS'!$K$12/10^6</f>
        <v>2</v>
      </c>
      <c r="I135" s="47">
        <f t="shared" si="17"/>
        <v>-1.0425</v>
      </c>
      <c r="J135" s="47">
        <f t="shared" ref="J135:J141" si="22">J134+I135</f>
        <v>-2.085</v>
      </c>
      <c r="K135" s="47">
        <f t="shared" si="13"/>
        <v>-2.085</v>
      </c>
      <c r="L135" s="50">
        <f>IF(K135&gt;0,K135*'METHANOL SYNTHESIS'!$K$15,0)</f>
        <v>0</v>
      </c>
      <c r="M135" s="47">
        <f t="shared" si="14"/>
        <v>-1.0425</v>
      </c>
      <c r="N135" s="47">
        <f t="shared" si="18"/>
        <v>-2.085</v>
      </c>
      <c r="O135" s="47">
        <f>(1+'METHANOL SYNTHESIS'!$K$16)^-A135</f>
        <v>0.826446280991735</v>
      </c>
      <c r="P135" s="51">
        <f t="shared" si="19"/>
        <v>-0.861570247933884</v>
      </c>
      <c r="Q135" s="278">
        <f t="shared" si="20"/>
        <v>-1.80929752066116</v>
      </c>
    </row>
    <row r="136" spans="1:17">
      <c r="A136" s="46">
        <v>3</v>
      </c>
      <c r="B136" s="47">
        <f>'METHANOL SYNTHESIS'!$L$6</f>
        <v>4000</v>
      </c>
      <c r="C136" s="47">
        <f t="shared" si="21"/>
        <v>550</v>
      </c>
      <c r="D136" s="47">
        <f t="shared" si="15"/>
        <v>2.2</v>
      </c>
      <c r="E136" s="47">
        <f>'METHANOL SYNTHESIS'!$F$17/10^6</f>
        <v>1.2425</v>
      </c>
      <c r="F136" s="47">
        <f t="shared" si="16"/>
        <v>0.9575</v>
      </c>
      <c r="G136" s="47"/>
      <c r="H136" s="47">
        <f>'METHANOL SYNTHESIS'!$F$8/'METHANOL SYNTHESIS'!$K$12/10^6</f>
        <v>2</v>
      </c>
      <c r="I136" s="47">
        <f t="shared" si="17"/>
        <v>-1.0425</v>
      </c>
      <c r="J136" s="47">
        <f t="shared" si="22"/>
        <v>-3.1275</v>
      </c>
      <c r="K136" s="47">
        <f t="shared" si="13"/>
        <v>-3.1275</v>
      </c>
      <c r="L136" s="50">
        <f>IF(K136&gt;0,K136*'METHANOL SYNTHESIS'!$K$15,0)</f>
        <v>0</v>
      </c>
      <c r="M136" s="47">
        <f t="shared" si="14"/>
        <v>-1.0425</v>
      </c>
      <c r="N136" s="47">
        <f t="shared" si="18"/>
        <v>-3.1275</v>
      </c>
      <c r="O136" s="47">
        <f>(1+'METHANOL SYNTHESIS'!$K$16)^-A136</f>
        <v>0.751314800901578</v>
      </c>
      <c r="P136" s="51">
        <f t="shared" si="19"/>
        <v>-0.783245679939895</v>
      </c>
      <c r="Q136" s="278">
        <f t="shared" si="20"/>
        <v>-2.59254320060105</v>
      </c>
    </row>
    <row r="137" spans="1:17">
      <c r="A137" s="42">
        <v>4</v>
      </c>
      <c r="B137" s="47">
        <f>'METHANOL SYNTHESIS'!$L$6</f>
        <v>4000</v>
      </c>
      <c r="C137" s="47">
        <f t="shared" si="21"/>
        <v>550</v>
      </c>
      <c r="D137" s="47">
        <f t="shared" si="15"/>
        <v>2.2</v>
      </c>
      <c r="E137" s="47">
        <f>'METHANOL SYNTHESIS'!$F$17/10^6</f>
        <v>1.2425</v>
      </c>
      <c r="F137" s="47">
        <f t="shared" si="16"/>
        <v>0.9575</v>
      </c>
      <c r="G137" s="47"/>
      <c r="H137" s="47">
        <f>'METHANOL SYNTHESIS'!$F$8/'METHANOL SYNTHESIS'!$K$12/10^6</f>
        <v>2</v>
      </c>
      <c r="I137" s="47">
        <f t="shared" si="17"/>
        <v>-1.0425</v>
      </c>
      <c r="J137" s="47">
        <f t="shared" si="22"/>
        <v>-4.17</v>
      </c>
      <c r="K137" s="47">
        <f t="shared" si="13"/>
        <v>-4.17</v>
      </c>
      <c r="L137" s="50">
        <f>IF(K137&gt;0,K137*'METHANOL SYNTHESIS'!$K$15,0)</f>
        <v>0</v>
      </c>
      <c r="M137" s="47">
        <f t="shared" si="14"/>
        <v>-1.0425</v>
      </c>
      <c r="N137" s="47">
        <f t="shared" si="18"/>
        <v>-4.17</v>
      </c>
      <c r="O137" s="47">
        <f>(1+'METHANOL SYNTHESIS'!$K$16)^-A137</f>
        <v>0.683013455365071</v>
      </c>
      <c r="P137" s="51">
        <f t="shared" si="19"/>
        <v>-0.712041527218086</v>
      </c>
      <c r="Q137" s="278">
        <f t="shared" si="20"/>
        <v>-3.30458472781914</v>
      </c>
    </row>
    <row r="138" spans="1:17">
      <c r="A138" s="46">
        <v>5</v>
      </c>
      <c r="B138" s="47">
        <f>'METHANOL SYNTHESIS'!$L$6</f>
        <v>4000</v>
      </c>
      <c r="C138" s="47">
        <f t="shared" si="21"/>
        <v>550</v>
      </c>
      <c r="D138" s="47">
        <f t="shared" si="15"/>
        <v>2.2</v>
      </c>
      <c r="E138" s="47">
        <f>'METHANOL SYNTHESIS'!$F$17/10^6</f>
        <v>1.2425</v>
      </c>
      <c r="F138" s="47">
        <f t="shared" si="16"/>
        <v>0.9575</v>
      </c>
      <c r="G138" s="47"/>
      <c r="H138" s="47"/>
      <c r="I138" s="47">
        <f t="shared" si="17"/>
        <v>0.9575</v>
      </c>
      <c r="J138" s="47">
        <f t="shared" si="22"/>
        <v>-3.2125</v>
      </c>
      <c r="K138" s="47">
        <f t="shared" si="13"/>
        <v>-3.2125</v>
      </c>
      <c r="L138" s="50">
        <f>IF(K138&gt;0,K138*'METHANOL SYNTHESIS'!$K$15,0)</f>
        <v>0</v>
      </c>
      <c r="M138" s="47">
        <f t="shared" si="14"/>
        <v>0.9575</v>
      </c>
      <c r="N138" s="47">
        <f t="shared" si="18"/>
        <v>-3.2125</v>
      </c>
      <c r="O138" s="47">
        <f>(1+'METHANOL SYNTHESIS'!$K$16)^-A138</f>
        <v>0.620921323059155</v>
      </c>
      <c r="P138" s="51">
        <f t="shared" si="19"/>
        <v>0.594532166829141</v>
      </c>
      <c r="Q138" s="278">
        <f t="shared" si="20"/>
        <v>-2.71005256099</v>
      </c>
    </row>
    <row r="139" spans="1:17">
      <c r="A139" s="42">
        <v>6</v>
      </c>
      <c r="B139" s="47">
        <f>'METHANOL SYNTHESIS'!$L$6</f>
        <v>4000</v>
      </c>
      <c r="C139" s="47">
        <f t="shared" si="21"/>
        <v>550</v>
      </c>
      <c r="D139" s="47">
        <f t="shared" si="15"/>
        <v>2.2</v>
      </c>
      <c r="E139" s="47">
        <f>'METHANOL SYNTHESIS'!$F$17/10^6</f>
        <v>1.2425</v>
      </c>
      <c r="F139" s="47">
        <f t="shared" si="16"/>
        <v>0.9575</v>
      </c>
      <c r="G139" s="47"/>
      <c r="H139" s="47"/>
      <c r="I139" s="47">
        <f t="shared" si="17"/>
        <v>0.9575</v>
      </c>
      <c r="J139" s="47">
        <f t="shared" si="22"/>
        <v>-2.255</v>
      </c>
      <c r="K139" s="47">
        <f t="shared" si="13"/>
        <v>-2.255</v>
      </c>
      <c r="L139" s="50">
        <f>IF(K139&gt;0,K139*'METHANOL SYNTHESIS'!$K$15,0)</f>
        <v>0</v>
      </c>
      <c r="M139" s="47">
        <f t="shared" si="14"/>
        <v>0.9575</v>
      </c>
      <c r="N139" s="47">
        <f t="shared" si="18"/>
        <v>-2.255</v>
      </c>
      <c r="O139" s="47">
        <f>(1+'METHANOL SYNTHESIS'!$K$16)^-A139</f>
        <v>0.564473930053777</v>
      </c>
      <c r="P139" s="51">
        <f t="shared" si="19"/>
        <v>0.540483788026492</v>
      </c>
      <c r="Q139" s="278">
        <f t="shared" si="20"/>
        <v>-2.1695687729635</v>
      </c>
    </row>
    <row r="140" spans="1:17">
      <c r="A140" s="46">
        <v>7</v>
      </c>
      <c r="B140" s="47">
        <f>'METHANOL SYNTHESIS'!$L$6</f>
        <v>4000</v>
      </c>
      <c r="C140" s="47">
        <f t="shared" si="21"/>
        <v>550</v>
      </c>
      <c r="D140" s="47">
        <f t="shared" si="15"/>
        <v>2.2</v>
      </c>
      <c r="E140" s="47">
        <f>'METHANOL SYNTHESIS'!$F$17/10^6</f>
        <v>1.2425</v>
      </c>
      <c r="F140" s="47">
        <f t="shared" si="16"/>
        <v>0.9575</v>
      </c>
      <c r="G140" s="47"/>
      <c r="H140" s="47"/>
      <c r="I140" s="47">
        <f t="shared" si="17"/>
        <v>0.9575</v>
      </c>
      <c r="J140" s="47">
        <f t="shared" si="22"/>
        <v>-1.2975</v>
      </c>
      <c r="K140" s="47">
        <f t="shared" si="13"/>
        <v>-1.2975</v>
      </c>
      <c r="L140" s="50">
        <f>IF(K140&gt;0,K140*'METHANOL SYNTHESIS'!$K$15,0)</f>
        <v>0</v>
      </c>
      <c r="M140" s="47">
        <f t="shared" si="14"/>
        <v>0.9575</v>
      </c>
      <c r="N140" s="47">
        <f t="shared" si="18"/>
        <v>-1.2975</v>
      </c>
      <c r="O140" s="47">
        <f>(1+'METHANOL SYNTHESIS'!$K$16)^-A140</f>
        <v>0.513158118230706</v>
      </c>
      <c r="P140" s="51">
        <f t="shared" si="19"/>
        <v>0.491348898205901</v>
      </c>
      <c r="Q140" s="278">
        <f t="shared" si="20"/>
        <v>-1.6782198747576</v>
      </c>
    </row>
    <row r="141" spans="1:17">
      <c r="A141" s="42">
        <v>8</v>
      </c>
      <c r="B141" s="47">
        <f>'METHANOL SYNTHESIS'!$L$6</f>
        <v>4000</v>
      </c>
      <c r="C141" s="47">
        <f t="shared" si="21"/>
        <v>550</v>
      </c>
      <c r="D141" s="47">
        <f t="shared" si="15"/>
        <v>2.2</v>
      </c>
      <c r="E141" s="47">
        <f>'METHANOL SYNTHESIS'!$F$17/10^6</f>
        <v>1.2425</v>
      </c>
      <c r="F141" s="47">
        <f t="shared" si="16"/>
        <v>0.9575</v>
      </c>
      <c r="G141" s="47"/>
      <c r="H141" s="47"/>
      <c r="I141" s="47">
        <f t="shared" si="17"/>
        <v>0.9575</v>
      </c>
      <c r="J141" s="47">
        <f t="shared" si="22"/>
        <v>-0.339999999999998</v>
      </c>
      <c r="K141" s="47">
        <f t="shared" si="13"/>
        <v>-0.339999999999998</v>
      </c>
      <c r="L141" s="50">
        <f>IF(K141&gt;0,K141*'METHANOL SYNTHESIS'!$K$15,0)</f>
        <v>0</v>
      </c>
      <c r="M141" s="47">
        <f t="shared" si="14"/>
        <v>0.9575</v>
      </c>
      <c r="N141" s="47">
        <f t="shared" si="18"/>
        <v>-0.339999999999998</v>
      </c>
      <c r="O141" s="47">
        <f>(1+'METHANOL SYNTHESIS'!$K$16)^-A141</f>
        <v>0.466507380209733</v>
      </c>
      <c r="P141" s="51">
        <f t="shared" si="19"/>
        <v>0.446680816550819</v>
      </c>
      <c r="Q141" s="278">
        <f t="shared" si="20"/>
        <v>-1.23153905820678</v>
      </c>
    </row>
    <row r="142" spans="1:17">
      <c r="A142" s="46">
        <v>9</v>
      </c>
      <c r="B142" s="47">
        <f>'METHANOL SYNTHESIS'!$L$6</f>
        <v>4000</v>
      </c>
      <c r="C142" s="47">
        <f t="shared" si="21"/>
        <v>550</v>
      </c>
      <c r="D142" s="47">
        <f t="shared" si="15"/>
        <v>2.2</v>
      </c>
      <c r="E142" s="47">
        <f>'METHANOL SYNTHESIS'!$F$17/10^6</f>
        <v>1.2425</v>
      </c>
      <c r="F142" s="47">
        <f t="shared" si="16"/>
        <v>0.9575</v>
      </c>
      <c r="G142" s="47"/>
      <c r="H142" s="47"/>
      <c r="I142" s="47">
        <f t="shared" si="17"/>
        <v>0.9575</v>
      </c>
      <c r="J142" s="47"/>
      <c r="K142" s="47">
        <f t="shared" ref="K142:K153" si="23">I142</f>
        <v>0.9575</v>
      </c>
      <c r="L142" s="50">
        <f>IF(K142&gt;0,K142*'METHANOL SYNTHESIS'!$K$15,0)</f>
        <v>0.1915</v>
      </c>
      <c r="M142" s="47">
        <f t="shared" si="14"/>
        <v>0.766</v>
      </c>
      <c r="N142" s="47">
        <f t="shared" si="18"/>
        <v>0.426000000000003</v>
      </c>
      <c r="O142" s="47">
        <f>(1+'METHANOL SYNTHESIS'!$K$16)^-A142</f>
        <v>0.424097618372485</v>
      </c>
      <c r="P142" s="51">
        <f t="shared" si="19"/>
        <v>0.324858775673324</v>
      </c>
      <c r="Q142" s="278">
        <f t="shared" si="20"/>
        <v>-0.90668028253346</v>
      </c>
    </row>
    <row r="143" spans="1:17">
      <c r="A143" s="42">
        <v>10</v>
      </c>
      <c r="B143" s="47">
        <f>'METHANOL SYNTHESIS'!$L$6</f>
        <v>4000</v>
      </c>
      <c r="C143" s="47">
        <f t="shared" si="21"/>
        <v>550</v>
      </c>
      <c r="D143" s="47">
        <f t="shared" si="15"/>
        <v>2.2</v>
      </c>
      <c r="E143" s="47">
        <f>'METHANOL SYNTHESIS'!$F$17/10^6</f>
        <v>1.2425</v>
      </c>
      <c r="F143" s="47">
        <f t="shared" si="16"/>
        <v>0.9575</v>
      </c>
      <c r="G143" s="47"/>
      <c r="H143" s="47"/>
      <c r="I143" s="47">
        <f t="shared" si="17"/>
        <v>0.9575</v>
      </c>
      <c r="J143" s="47"/>
      <c r="K143" s="47">
        <f t="shared" si="23"/>
        <v>0.9575</v>
      </c>
      <c r="L143" s="50">
        <f>IF(K143&gt;0,K143*'METHANOL SYNTHESIS'!$K$15,0)</f>
        <v>0.1915</v>
      </c>
      <c r="M143" s="47">
        <f t="shared" si="14"/>
        <v>0.766</v>
      </c>
      <c r="N143" s="47">
        <f t="shared" si="18"/>
        <v>1.192</v>
      </c>
      <c r="O143" s="47">
        <f>(1+'METHANOL SYNTHESIS'!$K$16)^-A143</f>
        <v>0.385543289429531</v>
      </c>
      <c r="P143" s="51">
        <f t="shared" si="19"/>
        <v>0.295326159703021</v>
      </c>
      <c r="Q143" s="278">
        <f t="shared" si="20"/>
        <v>-0.611354122830439</v>
      </c>
    </row>
    <row r="144" spans="1:17">
      <c r="A144" s="46">
        <v>11</v>
      </c>
      <c r="B144" s="47">
        <f>'METHANOL SYNTHESIS'!$L$6</f>
        <v>4000</v>
      </c>
      <c r="C144" s="47">
        <f t="shared" si="21"/>
        <v>550</v>
      </c>
      <c r="D144" s="47">
        <f t="shared" si="15"/>
        <v>2.2</v>
      </c>
      <c r="E144" s="47">
        <f>'METHANOL SYNTHESIS'!$F$17/10^6</f>
        <v>1.2425</v>
      </c>
      <c r="F144" s="47">
        <f t="shared" si="16"/>
        <v>0.9575</v>
      </c>
      <c r="G144" s="47"/>
      <c r="H144" s="47"/>
      <c r="I144" s="47">
        <f t="shared" si="17"/>
        <v>0.9575</v>
      </c>
      <c r="J144" s="47"/>
      <c r="K144" s="47">
        <f t="shared" si="23"/>
        <v>0.9575</v>
      </c>
      <c r="L144" s="50">
        <f>IF(K144&gt;0,K144*'METHANOL SYNTHESIS'!$K$15,0)</f>
        <v>0.1915</v>
      </c>
      <c r="M144" s="47">
        <f t="shared" si="14"/>
        <v>0.766</v>
      </c>
      <c r="N144" s="47">
        <f t="shared" si="18"/>
        <v>1.958</v>
      </c>
      <c r="O144" s="47">
        <f>(1+'METHANOL SYNTHESIS'!$K$16)^-A144</f>
        <v>0.350493899481392</v>
      </c>
      <c r="P144" s="51">
        <f t="shared" si="19"/>
        <v>0.268478327002746</v>
      </c>
      <c r="Q144" s="278">
        <f t="shared" si="20"/>
        <v>-0.342875795827693</v>
      </c>
    </row>
    <row r="145" spans="1:17">
      <c r="A145" s="42">
        <v>12</v>
      </c>
      <c r="B145" s="47">
        <f>'METHANOL SYNTHESIS'!$L$6</f>
        <v>4000</v>
      </c>
      <c r="C145" s="47">
        <f t="shared" si="21"/>
        <v>550</v>
      </c>
      <c r="D145" s="47">
        <f t="shared" si="15"/>
        <v>2.2</v>
      </c>
      <c r="E145" s="47">
        <f>'METHANOL SYNTHESIS'!$F$17/10^6</f>
        <v>1.2425</v>
      </c>
      <c r="F145" s="47">
        <f t="shared" si="16"/>
        <v>0.9575</v>
      </c>
      <c r="G145" s="47"/>
      <c r="H145" s="47"/>
      <c r="I145" s="47">
        <f t="shared" si="17"/>
        <v>0.9575</v>
      </c>
      <c r="J145" s="47"/>
      <c r="K145" s="47">
        <f t="shared" si="23"/>
        <v>0.9575</v>
      </c>
      <c r="L145" s="50">
        <f>IF(K145&gt;0,K145*'METHANOL SYNTHESIS'!$K$15,0)</f>
        <v>0.1915</v>
      </c>
      <c r="M145" s="47">
        <f t="shared" si="14"/>
        <v>0.766</v>
      </c>
      <c r="N145" s="47">
        <f t="shared" si="18"/>
        <v>2.724</v>
      </c>
      <c r="O145" s="47">
        <f>(1+'METHANOL SYNTHESIS'!$K$16)^-A145</f>
        <v>0.318630817710357</v>
      </c>
      <c r="P145" s="51">
        <f t="shared" si="19"/>
        <v>0.244071206366134</v>
      </c>
      <c r="Q145" s="278">
        <f t="shared" si="20"/>
        <v>-0.0988045894615595</v>
      </c>
    </row>
    <row r="146" spans="1:17">
      <c r="A146" s="46">
        <v>13</v>
      </c>
      <c r="B146" s="47">
        <f>'METHANOL SYNTHESIS'!$L$6</f>
        <v>4000</v>
      </c>
      <c r="C146" s="47">
        <f t="shared" si="21"/>
        <v>550</v>
      </c>
      <c r="D146" s="47">
        <f t="shared" si="15"/>
        <v>2.2</v>
      </c>
      <c r="E146" s="47">
        <f>'METHANOL SYNTHESIS'!$F$17/10^6</f>
        <v>1.2425</v>
      </c>
      <c r="F146" s="47">
        <f t="shared" si="16"/>
        <v>0.9575</v>
      </c>
      <c r="G146" s="47"/>
      <c r="H146" s="47"/>
      <c r="I146" s="47">
        <f t="shared" si="17"/>
        <v>0.9575</v>
      </c>
      <c r="J146" s="47"/>
      <c r="K146" s="47">
        <f t="shared" si="23"/>
        <v>0.9575</v>
      </c>
      <c r="L146" s="50">
        <f>IF(K146&gt;0,K146*'METHANOL SYNTHESIS'!$K$15,0)</f>
        <v>0.1915</v>
      </c>
      <c r="M146" s="47">
        <f t="shared" si="14"/>
        <v>0.766</v>
      </c>
      <c r="N146" s="47">
        <f t="shared" si="18"/>
        <v>3.49</v>
      </c>
      <c r="O146" s="47">
        <f>(1+'METHANOL SYNTHESIS'!$K$16)^-A146</f>
        <v>0.289664379736688</v>
      </c>
      <c r="P146" s="51">
        <f t="shared" si="19"/>
        <v>0.221882914878303</v>
      </c>
      <c r="Q146" s="278">
        <f t="shared" si="20"/>
        <v>0.123078325416744</v>
      </c>
    </row>
    <row r="147" spans="1:17">
      <c r="A147" s="42">
        <v>14</v>
      </c>
      <c r="B147" s="47">
        <f>'METHANOL SYNTHESIS'!$L$6</f>
        <v>4000</v>
      </c>
      <c r="C147" s="47">
        <f t="shared" si="21"/>
        <v>550</v>
      </c>
      <c r="D147" s="47">
        <f t="shared" si="15"/>
        <v>2.2</v>
      </c>
      <c r="E147" s="47">
        <f>'METHANOL SYNTHESIS'!$F$17/10^6</f>
        <v>1.2425</v>
      </c>
      <c r="F147" s="47">
        <f t="shared" si="16"/>
        <v>0.9575</v>
      </c>
      <c r="G147" s="47"/>
      <c r="H147" s="47"/>
      <c r="I147" s="47">
        <f t="shared" si="17"/>
        <v>0.9575</v>
      </c>
      <c r="J147" s="47"/>
      <c r="K147" s="47">
        <f t="shared" si="23"/>
        <v>0.9575</v>
      </c>
      <c r="L147" s="50">
        <f>IF(K147&gt;0,K147*'METHANOL SYNTHESIS'!$K$15,0)</f>
        <v>0.1915</v>
      </c>
      <c r="M147" s="47">
        <f t="shared" si="14"/>
        <v>0.766</v>
      </c>
      <c r="N147" s="47">
        <f t="shared" si="18"/>
        <v>4.256</v>
      </c>
      <c r="O147" s="47">
        <f>(1+'METHANOL SYNTHESIS'!$K$16)^-A147</f>
        <v>0.26333125430608</v>
      </c>
      <c r="P147" s="51">
        <f t="shared" si="19"/>
        <v>0.201711740798457</v>
      </c>
      <c r="Q147" s="278">
        <f t="shared" si="20"/>
        <v>0.324790066215201</v>
      </c>
    </row>
    <row r="148" spans="1:17">
      <c r="A148" s="46">
        <v>15</v>
      </c>
      <c r="B148" s="47">
        <f>'METHANOL SYNTHESIS'!$L$6</f>
        <v>4000</v>
      </c>
      <c r="C148" s="47">
        <f t="shared" si="21"/>
        <v>550</v>
      </c>
      <c r="D148" s="47">
        <f t="shared" si="15"/>
        <v>2.2</v>
      </c>
      <c r="E148" s="47">
        <f>'METHANOL SYNTHESIS'!$F$17/10^6</f>
        <v>1.2425</v>
      </c>
      <c r="F148" s="47">
        <f t="shared" si="16"/>
        <v>0.9575</v>
      </c>
      <c r="G148" s="47"/>
      <c r="H148" s="47"/>
      <c r="I148" s="47">
        <f t="shared" si="17"/>
        <v>0.9575</v>
      </c>
      <c r="J148" s="47"/>
      <c r="K148" s="47">
        <f t="shared" si="23"/>
        <v>0.9575</v>
      </c>
      <c r="L148" s="50">
        <f>IF(K148&gt;0,K148*'METHANOL SYNTHESIS'!$K$15,0)</f>
        <v>0.1915</v>
      </c>
      <c r="M148" s="47">
        <f t="shared" si="14"/>
        <v>0.766</v>
      </c>
      <c r="N148" s="47">
        <f t="shared" si="18"/>
        <v>5.022</v>
      </c>
      <c r="O148" s="47">
        <f>(1+'METHANOL SYNTHESIS'!$K$16)^-A148</f>
        <v>0.239392049369163</v>
      </c>
      <c r="P148" s="51">
        <f t="shared" si="19"/>
        <v>0.183374309816779</v>
      </c>
      <c r="Q148" s="278">
        <f t="shared" si="20"/>
        <v>0.50816437603198</v>
      </c>
    </row>
    <row r="149" spans="1:17">
      <c r="A149" s="42">
        <v>16</v>
      </c>
      <c r="B149" s="47">
        <f>'METHANOL SYNTHESIS'!$L$6</f>
        <v>4000</v>
      </c>
      <c r="C149" s="47">
        <f t="shared" si="21"/>
        <v>550</v>
      </c>
      <c r="D149" s="47">
        <f t="shared" si="15"/>
        <v>2.2</v>
      </c>
      <c r="E149" s="47">
        <f>'METHANOL SYNTHESIS'!$F$17/10^6</f>
        <v>1.2425</v>
      </c>
      <c r="F149" s="47">
        <f t="shared" si="16"/>
        <v>0.9575</v>
      </c>
      <c r="G149" s="47"/>
      <c r="H149" s="47"/>
      <c r="I149" s="47">
        <f t="shared" si="17"/>
        <v>0.9575</v>
      </c>
      <c r="J149" s="47"/>
      <c r="K149" s="47">
        <f t="shared" si="23"/>
        <v>0.9575</v>
      </c>
      <c r="L149" s="50">
        <f>IF(K149&gt;0,K149*'METHANOL SYNTHESIS'!$K$15,0)</f>
        <v>0.1915</v>
      </c>
      <c r="M149" s="47">
        <f t="shared" si="14"/>
        <v>0.766</v>
      </c>
      <c r="N149" s="47">
        <f t="shared" si="18"/>
        <v>5.788</v>
      </c>
      <c r="O149" s="47">
        <f>(1+'METHANOL SYNTHESIS'!$K$16)^-A149</f>
        <v>0.217629135790149</v>
      </c>
      <c r="P149" s="51">
        <f t="shared" si="19"/>
        <v>0.166703918015254</v>
      </c>
      <c r="Q149" s="278">
        <f t="shared" si="20"/>
        <v>0.674868294047234</v>
      </c>
    </row>
    <row r="150" spans="1:17">
      <c r="A150" s="46">
        <v>17</v>
      </c>
      <c r="B150" s="47">
        <f>'METHANOL SYNTHESIS'!$L$6</f>
        <v>4000</v>
      </c>
      <c r="C150" s="47">
        <f t="shared" si="21"/>
        <v>550</v>
      </c>
      <c r="D150" s="47">
        <f t="shared" si="15"/>
        <v>2.2</v>
      </c>
      <c r="E150" s="47">
        <f>'METHANOL SYNTHESIS'!$F$17/10^6</f>
        <v>1.2425</v>
      </c>
      <c r="F150" s="47">
        <f t="shared" si="16"/>
        <v>0.9575</v>
      </c>
      <c r="G150" s="47"/>
      <c r="H150" s="47"/>
      <c r="I150" s="47">
        <f t="shared" si="17"/>
        <v>0.9575</v>
      </c>
      <c r="J150" s="47"/>
      <c r="K150" s="47">
        <f t="shared" si="23"/>
        <v>0.9575</v>
      </c>
      <c r="L150" s="50">
        <f>IF(K150&gt;0,K150*'METHANOL SYNTHESIS'!$K$15,0)</f>
        <v>0.1915</v>
      </c>
      <c r="M150" s="47">
        <f t="shared" si="14"/>
        <v>0.766</v>
      </c>
      <c r="N150" s="47">
        <f t="shared" si="18"/>
        <v>6.554</v>
      </c>
      <c r="O150" s="47">
        <f>(1+'METHANOL SYNTHESIS'!$K$16)^-A150</f>
        <v>0.197844668900135</v>
      </c>
      <c r="P150" s="51">
        <f t="shared" si="19"/>
        <v>0.151549016377503</v>
      </c>
      <c r="Q150" s="278">
        <f t="shared" si="20"/>
        <v>0.826417310424738</v>
      </c>
    </row>
    <row r="151" spans="1:17">
      <c r="A151" s="42">
        <v>18</v>
      </c>
      <c r="B151" s="47">
        <f>'METHANOL SYNTHESIS'!$L$6</f>
        <v>4000</v>
      </c>
      <c r="C151" s="47">
        <f t="shared" si="21"/>
        <v>550</v>
      </c>
      <c r="D151" s="47">
        <f t="shared" si="15"/>
        <v>2.2</v>
      </c>
      <c r="E151" s="47">
        <f>'METHANOL SYNTHESIS'!$F$17/10^6</f>
        <v>1.2425</v>
      </c>
      <c r="F151" s="47">
        <f t="shared" si="16"/>
        <v>0.9575</v>
      </c>
      <c r="G151" s="47"/>
      <c r="H151" s="47"/>
      <c r="I151" s="47">
        <f t="shared" si="17"/>
        <v>0.9575</v>
      </c>
      <c r="J151" s="47"/>
      <c r="K151" s="47">
        <f t="shared" si="23"/>
        <v>0.9575</v>
      </c>
      <c r="L151" s="50">
        <f>IF(K151&gt;0,K151*'METHANOL SYNTHESIS'!$K$15,0)</f>
        <v>0.1915</v>
      </c>
      <c r="M151" s="47">
        <f t="shared" si="14"/>
        <v>0.766</v>
      </c>
      <c r="N151" s="47">
        <f t="shared" si="18"/>
        <v>7.32</v>
      </c>
      <c r="O151" s="47">
        <f>(1+'METHANOL SYNTHESIS'!$K$16)^-A151</f>
        <v>0.179858789909214</v>
      </c>
      <c r="P151" s="51">
        <f t="shared" si="19"/>
        <v>0.137771833070458</v>
      </c>
      <c r="Q151" s="278">
        <f t="shared" si="20"/>
        <v>0.964189143495196</v>
      </c>
    </row>
    <row r="152" spans="1:17">
      <c r="A152" s="46">
        <v>19</v>
      </c>
      <c r="B152" s="47">
        <f>'METHANOL SYNTHESIS'!$L$6</f>
        <v>4000</v>
      </c>
      <c r="C152" s="47">
        <f t="shared" si="21"/>
        <v>550</v>
      </c>
      <c r="D152" s="47">
        <f t="shared" si="15"/>
        <v>2.2</v>
      </c>
      <c r="E152" s="47">
        <f>'METHANOL SYNTHESIS'!$F$17/10^6</f>
        <v>1.2425</v>
      </c>
      <c r="F152" s="47">
        <f t="shared" si="16"/>
        <v>0.9575</v>
      </c>
      <c r="G152" s="47"/>
      <c r="H152" s="47"/>
      <c r="I152" s="47">
        <f t="shared" si="17"/>
        <v>0.9575</v>
      </c>
      <c r="J152" s="47"/>
      <c r="K152" s="47">
        <f t="shared" si="23"/>
        <v>0.9575</v>
      </c>
      <c r="L152" s="50">
        <f>IF(K152&gt;0,K152*'METHANOL SYNTHESIS'!$K$15,0)</f>
        <v>0.1915</v>
      </c>
      <c r="M152" s="47">
        <f t="shared" si="14"/>
        <v>0.766</v>
      </c>
      <c r="N152" s="47">
        <f t="shared" si="18"/>
        <v>8.086</v>
      </c>
      <c r="O152" s="47">
        <f>(1+'METHANOL SYNTHESIS'!$K$16)^-A152</f>
        <v>0.163507990826558</v>
      </c>
      <c r="P152" s="51">
        <f t="shared" si="19"/>
        <v>0.125247120973143</v>
      </c>
      <c r="Q152" s="278">
        <f t="shared" si="20"/>
        <v>1.08943626446834</v>
      </c>
    </row>
    <row r="153" spans="1:17">
      <c r="A153" s="42">
        <v>20</v>
      </c>
      <c r="B153" s="47">
        <f>'METHANOL SYNTHESIS'!$L$6</f>
        <v>4000</v>
      </c>
      <c r="C153" s="47">
        <f t="shared" si="21"/>
        <v>550</v>
      </c>
      <c r="D153" s="47">
        <f t="shared" si="15"/>
        <v>2.2</v>
      </c>
      <c r="E153" s="47">
        <f>'METHANOL SYNTHESIS'!$F$17/10^6</f>
        <v>1.2425</v>
      </c>
      <c r="F153" s="47">
        <f t="shared" si="16"/>
        <v>0.9575</v>
      </c>
      <c r="G153" s="47"/>
      <c r="H153" s="47"/>
      <c r="I153" s="47">
        <f t="shared" si="17"/>
        <v>0.9575</v>
      </c>
      <c r="J153" s="47"/>
      <c r="K153" s="47">
        <f t="shared" si="23"/>
        <v>0.9575</v>
      </c>
      <c r="L153" s="50">
        <f>IF(K153&gt;0,K153*'METHANOL SYNTHESIS'!$K$15,0)</f>
        <v>0.1915</v>
      </c>
      <c r="M153" s="47">
        <f t="shared" si="14"/>
        <v>0.766</v>
      </c>
      <c r="N153" s="47">
        <f t="shared" si="18"/>
        <v>8.852</v>
      </c>
      <c r="O153" s="47">
        <f>(1+'METHANOL SYNTHESIS'!$K$16)^-A153</f>
        <v>0.148643628024143</v>
      </c>
      <c r="P153" s="51">
        <f t="shared" si="19"/>
        <v>0.113861019066494</v>
      </c>
      <c r="Q153" s="278">
        <f t="shared" si="20"/>
        <v>1.20329728353483</v>
      </c>
    </row>
    <row r="154" spans="1:17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52">
        <f>SUM(P133:P153)</f>
        <v>1.20329728353483</v>
      </c>
      <c r="Q154" s="47"/>
    </row>
    <row r="155" spans="1:17">
      <c r="A155" s="6" t="s">
        <v>85</v>
      </c>
      <c r="B155" s="6">
        <f>B131-100</f>
        <v>450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ht="45" spans="1:17">
      <c r="A156" s="40" t="s">
        <v>34</v>
      </c>
      <c r="B156" s="274" t="s">
        <v>35</v>
      </c>
      <c r="C156" s="274" t="s">
        <v>36</v>
      </c>
      <c r="D156" s="274" t="s">
        <v>86</v>
      </c>
      <c r="E156" s="274" t="s">
        <v>87</v>
      </c>
      <c r="F156" s="274" t="s">
        <v>88</v>
      </c>
      <c r="G156" s="274" t="s">
        <v>40</v>
      </c>
      <c r="H156" s="274" t="s">
        <v>89</v>
      </c>
      <c r="I156" s="274" t="s">
        <v>42</v>
      </c>
      <c r="J156" s="274" t="s">
        <v>91</v>
      </c>
      <c r="K156" s="275" t="s">
        <v>92</v>
      </c>
      <c r="L156" s="276" t="s">
        <v>93</v>
      </c>
      <c r="M156" s="276" t="s">
        <v>94</v>
      </c>
      <c r="N156" s="276" t="s">
        <v>95</v>
      </c>
      <c r="O156" s="276" t="s">
        <v>48</v>
      </c>
      <c r="P156" s="276" t="s">
        <v>96</v>
      </c>
      <c r="Q156" s="276" t="s">
        <v>97</v>
      </c>
    </row>
    <row r="157" spans="1:17">
      <c r="A157" s="42">
        <v>0</v>
      </c>
      <c r="B157" s="43"/>
      <c r="C157" s="44"/>
      <c r="D157" s="45"/>
      <c r="E157" s="44"/>
      <c r="F157" s="44"/>
      <c r="G157" s="44">
        <f>'METHANOL SYNTHESIS'!F8</f>
        <v>8000000</v>
      </c>
      <c r="H157" s="44"/>
      <c r="I157" s="44"/>
      <c r="J157" s="44"/>
      <c r="K157" s="47">
        <f>J157</f>
        <v>0</v>
      </c>
      <c r="L157" s="50">
        <f>IF(K157&gt;0,K157*'METHANOL SYNTHESIS'!$K$15,0)</f>
        <v>0</v>
      </c>
      <c r="M157" s="47">
        <f t="shared" ref="M157:M177" si="24">I157-L157</f>
        <v>0</v>
      </c>
      <c r="N157" s="47">
        <v>0</v>
      </c>
      <c r="O157" s="47">
        <f>(1+'METHANOL SYNTHESIS'!$K$16)^-A157</f>
        <v>1</v>
      </c>
      <c r="P157" s="51">
        <f>N157*O157</f>
        <v>0</v>
      </c>
      <c r="Q157" s="277">
        <f>P157</f>
        <v>0</v>
      </c>
    </row>
    <row r="158" spans="1:17">
      <c r="A158" s="46">
        <v>1</v>
      </c>
      <c r="B158" s="47">
        <f t="shared" ref="B158:B177" si="25">$B$134</f>
        <v>4000</v>
      </c>
      <c r="C158" s="47">
        <f>B155</f>
        <v>450</v>
      </c>
      <c r="D158" s="47">
        <f t="shared" ref="D158:D177" si="26">B158*C158/10^6</f>
        <v>1.8</v>
      </c>
      <c r="E158" s="47">
        <f>'METHANOL SYNTHESIS'!$F$17/10^6</f>
        <v>1.2425</v>
      </c>
      <c r="F158" s="47">
        <f t="shared" ref="F158:F177" si="27">D158-E158</f>
        <v>0.5575</v>
      </c>
      <c r="G158" s="47"/>
      <c r="H158" s="47">
        <f>'METHANOL SYNTHESIS'!$F$8/'METHANOL SYNTHESIS'!$K$12/10^6</f>
        <v>2</v>
      </c>
      <c r="I158" s="47">
        <f>(F158-H158)</f>
        <v>-1.4425</v>
      </c>
      <c r="J158" s="47"/>
      <c r="K158" s="47">
        <f>IF(J158&lt;0,J158,I158)</f>
        <v>-1.4425</v>
      </c>
      <c r="L158" s="50">
        <f>IF(K158&gt;0,K158*'METHANOL SYNTHESIS'!$K$15,0)</f>
        <v>0</v>
      </c>
      <c r="M158" s="47">
        <f t="shared" si="24"/>
        <v>-1.4425</v>
      </c>
      <c r="N158" s="47">
        <f t="shared" ref="N158:N177" si="28">N157+M158</f>
        <v>-1.4425</v>
      </c>
      <c r="O158" s="47">
        <f>(1+'METHANOL SYNTHESIS'!$K$16)^-A158</f>
        <v>0.909090909090909</v>
      </c>
      <c r="P158" s="51">
        <f t="shared" ref="P158:P177" si="29">M158*O158</f>
        <v>-1.31136363636364</v>
      </c>
      <c r="Q158" s="278">
        <f t="shared" ref="Q158:Q177" si="30">Q157+P158</f>
        <v>-1.31136363636364</v>
      </c>
    </row>
    <row r="159" spans="1:17">
      <c r="A159" s="42">
        <v>2</v>
      </c>
      <c r="B159" s="47">
        <f t="shared" si="25"/>
        <v>4000</v>
      </c>
      <c r="C159" s="47">
        <f t="shared" ref="C159:C177" si="31">$C$158</f>
        <v>450</v>
      </c>
      <c r="D159" s="47">
        <f t="shared" si="26"/>
        <v>1.8</v>
      </c>
      <c r="E159" s="47">
        <f>'METHANOL SYNTHESIS'!$F$17/10^6</f>
        <v>1.2425</v>
      </c>
      <c r="F159" s="47">
        <f t="shared" si="27"/>
        <v>0.5575</v>
      </c>
      <c r="G159" s="47"/>
      <c r="H159" s="47">
        <f>'METHANOL SYNTHESIS'!$F$8/'METHANOL SYNTHESIS'!$K$12/10^6</f>
        <v>2</v>
      </c>
      <c r="I159" s="47">
        <f t="shared" ref="I159:I177" si="32">(F159-H159)</f>
        <v>-1.4425</v>
      </c>
      <c r="J159" s="47"/>
      <c r="K159" s="47">
        <f t="shared" ref="K159:K165" si="33">IF(J159&lt;0,J159,I159)</f>
        <v>-1.4425</v>
      </c>
      <c r="L159" s="50">
        <f>IF(K159&gt;0,K159*'METHANOL SYNTHESIS'!$K$15,0)</f>
        <v>0</v>
      </c>
      <c r="M159" s="47">
        <f t="shared" si="24"/>
        <v>-1.4425</v>
      </c>
      <c r="N159" s="47">
        <f t="shared" si="28"/>
        <v>-2.885</v>
      </c>
      <c r="O159" s="47">
        <f>(1+'METHANOL SYNTHESIS'!$K$16)^-A159</f>
        <v>0.826446280991735</v>
      </c>
      <c r="P159" s="51">
        <f t="shared" si="29"/>
        <v>-1.19214876033058</v>
      </c>
      <c r="Q159" s="278">
        <f t="shared" si="30"/>
        <v>-2.50351239669421</v>
      </c>
    </row>
    <row r="160" spans="1:17">
      <c r="A160" s="46">
        <v>3</v>
      </c>
      <c r="B160" s="47">
        <f t="shared" si="25"/>
        <v>4000</v>
      </c>
      <c r="C160" s="47">
        <f t="shared" si="31"/>
        <v>450</v>
      </c>
      <c r="D160" s="47">
        <f t="shared" si="26"/>
        <v>1.8</v>
      </c>
      <c r="E160" s="47">
        <f>'METHANOL SYNTHESIS'!$F$17/10^6</f>
        <v>1.2425</v>
      </c>
      <c r="F160" s="47">
        <f t="shared" si="27"/>
        <v>0.5575</v>
      </c>
      <c r="G160" s="47"/>
      <c r="H160" s="47">
        <f>'METHANOL SYNTHESIS'!$F$8/'METHANOL SYNTHESIS'!$K$12/10^6</f>
        <v>2</v>
      </c>
      <c r="I160" s="47">
        <f t="shared" si="32"/>
        <v>-1.4425</v>
      </c>
      <c r="J160" s="47"/>
      <c r="K160" s="47">
        <f t="shared" si="33"/>
        <v>-1.4425</v>
      </c>
      <c r="L160" s="50">
        <f>IF(K160&gt;0,K160*'METHANOL SYNTHESIS'!$K$15,0)</f>
        <v>0</v>
      </c>
      <c r="M160" s="47">
        <f t="shared" si="24"/>
        <v>-1.4425</v>
      </c>
      <c r="N160" s="47">
        <f t="shared" si="28"/>
        <v>-4.3275</v>
      </c>
      <c r="O160" s="47">
        <f>(1+'METHANOL SYNTHESIS'!$K$16)^-A160</f>
        <v>0.751314800901578</v>
      </c>
      <c r="P160" s="51">
        <f t="shared" si="29"/>
        <v>-1.08377160030053</v>
      </c>
      <c r="Q160" s="278">
        <f t="shared" si="30"/>
        <v>-3.58728399699474</v>
      </c>
    </row>
    <row r="161" spans="1:17">
      <c r="A161" s="42">
        <v>4</v>
      </c>
      <c r="B161" s="47">
        <f t="shared" si="25"/>
        <v>4000</v>
      </c>
      <c r="C161" s="47">
        <f t="shared" si="31"/>
        <v>450</v>
      </c>
      <c r="D161" s="47">
        <f t="shared" si="26"/>
        <v>1.8</v>
      </c>
      <c r="E161" s="47">
        <f>'METHANOL SYNTHESIS'!$F$17/10^6</f>
        <v>1.2425</v>
      </c>
      <c r="F161" s="47">
        <f t="shared" si="27"/>
        <v>0.5575</v>
      </c>
      <c r="G161" s="47"/>
      <c r="H161" s="47">
        <f>'METHANOL SYNTHESIS'!$F$8/'METHANOL SYNTHESIS'!$K$12/10^6</f>
        <v>2</v>
      </c>
      <c r="I161" s="47">
        <f t="shared" si="32"/>
        <v>-1.4425</v>
      </c>
      <c r="J161" s="47"/>
      <c r="K161" s="47">
        <f t="shared" si="33"/>
        <v>-1.4425</v>
      </c>
      <c r="L161" s="50">
        <f>IF(K161&gt;0,K161*'METHANOL SYNTHESIS'!$K$15,0)</f>
        <v>0</v>
      </c>
      <c r="M161" s="47">
        <f t="shared" si="24"/>
        <v>-1.4425</v>
      </c>
      <c r="N161" s="47">
        <f t="shared" si="28"/>
        <v>-5.77</v>
      </c>
      <c r="O161" s="47">
        <f>(1+'METHANOL SYNTHESIS'!$K$16)^-A161</f>
        <v>0.683013455365071</v>
      </c>
      <c r="P161" s="51">
        <f t="shared" si="29"/>
        <v>-0.985246909364115</v>
      </c>
      <c r="Q161" s="278">
        <f t="shared" si="30"/>
        <v>-4.57253090635886</v>
      </c>
    </row>
    <row r="162" spans="1:17">
      <c r="A162" s="46">
        <v>5</v>
      </c>
      <c r="B162" s="47">
        <f t="shared" si="25"/>
        <v>4000</v>
      </c>
      <c r="C162" s="47">
        <f t="shared" si="31"/>
        <v>450</v>
      </c>
      <c r="D162" s="47">
        <f t="shared" si="26"/>
        <v>1.8</v>
      </c>
      <c r="E162" s="47">
        <f>'METHANOL SYNTHESIS'!$F$17/10^6</f>
        <v>1.2425</v>
      </c>
      <c r="F162" s="47">
        <f t="shared" si="27"/>
        <v>0.5575</v>
      </c>
      <c r="G162" s="47"/>
      <c r="H162" s="47"/>
      <c r="I162" s="47">
        <f t="shared" si="32"/>
        <v>0.5575</v>
      </c>
      <c r="J162" s="47"/>
      <c r="K162" s="47">
        <f t="shared" si="33"/>
        <v>0.5575</v>
      </c>
      <c r="L162" s="50">
        <f>IF(K162&gt;0,K162*'METHANOL SYNTHESIS'!$K$15,0)</f>
        <v>0.1115</v>
      </c>
      <c r="M162" s="47">
        <f t="shared" si="24"/>
        <v>0.446</v>
      </c>
      <c r="N162" s="47">
        <f t="shared" si="28"/>
        <v>-5.324</v>
      </c>
      <c r="O162" s="47">
        <f>(1+'METHANOL SYNTHESIS'!$K$16)^-A162</f>
        <v>0.620921323059155</v>
      </c>
      <c r="P162" s="51">
        <f t="shared" si="29"/>
        <v>0.276930910084383</v>
      </c>
      <c r="Q162" s="278">
        <f t="shared" si="30"/>
        <v>-4.29559999627447</v>
      </c>
    </row>
    <row r="163" spans="1:17">
      <c r="A163" s="42">
        <v>6</v>
      </c>
      <c r="B163" s="47">
        <f t="shared" si="25"/>
        <v>4000</v>
      </c>
      <c r="C163" s="47">
        <f t="shared" si="31"/>
        <v>450</v>
      </c>
      <c r="D163" s="47">
        <f t="shared" si="26"/>
        <v>1.8</v>
      </c>
      <c r="E163" s="47">
        <f>'METHANOL SYNTHESIS'!$F$17/10^6</f>
        <v>1.2425</v>
      </c>
      <c r="F163" s="47">
        <f t="shared" si="27"/>
        <v>0.5575</v>
      </c>
      <c r="G163" s="47"/>
      <c r="H163" s="47"/>
      <c r="I163" s="47">
        <f t="shared" si="32"/>
        <v>0.5575</v>
      </c>
      <c r="J163" s="47"/>
      <c r="K163" s="47">
        <f t="shared" si="33"/>
        <v>0.5575</v>
      </c>
      <c r="L163" s="50">
        <f>IF(K163&gt;0,K163*'METHANOL SYNTHESIS'!$K$15,0)</f>
        <v>0.1115</v>
      </c>
      <c r="M163" s="47">
        <f t="shared" si="24"/>
        <v>0.446</v>
      </c>
      <c r="N163" s="47">
        <f t="shared" si="28"/>
        <v>-4.878</v>
      </c>
      <c r="O163" s="47">
        <f>(1+'METHANOL SYNTHESIS'!$K$16)^-A163</f>
        <v>0.564473930053777</v>
      </c>
      <c r="P163" s="51">
        <f t="shared" si="29"/>
        <v>0.251755372803985</v>
      </c>
      <c r="Q163" s="278">
        <f t="shared" si="30"/>
        <v>-4.04384462347049</v>
      </c>
    </row>
    <row r="164" spans="1:17">
      <c r="A164" s="46">
        <v>7</v>
      </c>
      <c r="B164" s="47">
        <f t="shared" si="25"/>
        <v>4000</v>
      </c>
      <c r="C164" s="47">
        <f t="shared" si="31"/>
        <v>450</v>
      </c>
      <c r="D164" s="47">
        <f t="shared" si="26"/>
        <v>1.8</v>
      </c>
      <c r="E164" s="47">
        <f>'METHANOL SYNTHESIS'!$F$17/10^6</f>
        <v>1.2425</v>
      </c>
      <c r="F164" s="47">
        <f t="shared" si="27"/>
        <v>0.5575</v>
      </c>
      <c r="G164" s="47"/>
      <c r="H164" s="47"/>
      <c r="I164" s="47">
        <f t="shared" si="32"/>
        <v>0.5575</v>
      </c>
      <c r="J164" s="47"/>
      <c r="K164" s="47">
        <f t="shared" si="33"/>
        <v>0.5575</v>
      </c>
      <c r="L164" s="50">
        <f>IF(K164&gt;0,K164*'METHANOL SYNTHESIS'!$K$15,0)</f>
        <v>0.1115</v>
      </c>
      <c r="M164" s="47">
        <f t="shared" si="24"/>
        <v>0.446</v>
      </c>
      <c r="N164" s="47">
        <f t="shared" si="28"/>
        <v>-4.432</v>
      </c>
      <c r="O164" s="47">
        <f>(1+'METHANOL SYNTHESIS'!$K$16)^-A164</f>
        <v>0.513158118230706</v>
      </c>
      <c r="P164" s="51">
        <f t="shared" si="29"/>
        <v>0.228868520730895</v>
      </c>
      <c r="Q164" s="278">
        <f t="shared" si="30"/>
        <v>-3.81497610273959</v>
      </c>
    </row>
    <row r="165" spans="1:17">
      <c r="A165" s="42">
        <v>8</v>
      </c>
      <c r="B165" s="47">
        <f t="shared" si="25"/>
        <v>4000</v>
      </c>
      <c r="C165" s="47">
        <f t="shared" si="31"/>
        <v>450</v>
      </c>
      <c r="D165" s="47">
        <f t="shared" si="26"/>
        <v>1.8</v>
      </c>
      <c r="E165" s="47">
        <f>'METHANOL SYNTHESIS'!$F$17/10^6</f>
        <v>1.2425</v>
      </c>
      <c r="F165" s="47">
        <f t="shared" si="27"/>
        <v>0.5575</v>
      </c>
      <c r="G165" s="47"/>
      <c r="H165" s="47"/>
      <c r="I165" s="47">
        <f t="shared" si="32"/>
        <v>0.5575</v>
      </c>
      <c r="J165" s="47"/>
      <c r="K165" s="47">
        <f t="shared" si="33"/>
        <v>0.5575</v>
      </c>
      <c r="L165" s="50">
        <f>IF(K165&gt;0,K165*'METHANOL SYNTHESIS'!$K$15,0)</f>
        <v>0.1115</v>
      </c>
      <c r="M165" s="47">
        <f t="shared" si="24"/>
        <v>0.446</v>
      </c>
      <c r="N165" s="47">
        <f t="shared" si="28"/>
        <v>-3.986</v>
      </c>
      <c r="O165" s="47">
        <f>(1+'METHANOL SYNTHESIS'!$K$16)^-A165</f>
        <v>0.466507380209733</v>
      </c>
      <c r="P165" s="51">
        <f t="shared" si="29"/>
        <v>0.208062291573541</v>
      </c>
      <c r="Q165" s="278">
        <f t="shared" si="30"/>
        <v>-3.60691381116605</v>
      </c>
    </row>
    <row r="166" spans="1:17">
      <c r="A166" s="46">
        <v>9</v>
      </c>
      <c r="B166" s="47">
        <f t="shared" si="25"/>
        <v>4000</v>
      </c>
      <c r="C166" s="47">
        <f t="shared" si="31"/>
        <v>450</v>
      </c>
      <c r="D166" s="47">
        <f t="shared" si="26"/>
        <v>1.8</v>
      </c>
      <c r="E166" s="47">
        <f>'METHANOL SYNTHESIS'!$F$17/10^6</f>
        <v>1.2425</v>
      </c>
      <c r="F166" s="47">
        <f t="shared" si="27"/>
        <v>0.5575</v>
      </c>
      <c r="G166" s="47"/>
      <c r="H166" s="47"/>
      <c r="I166" s="47">
        <f t="shared" si="32"/>
        <v>0.5575</v>
      </c>
      <c r="J166" s="47"/>
      <c r="K166" s="47">
        <f t="shared" ref="K166:K177" si="34">I166</f>
        <v>0.5575</v>
      </c>
      <c r="L166" s="50">
        <f>IF(K166&gt;0,K166*'METHANOL SYNTHESIS'!$K$15,0)</f>
        <v>0.1115</v>
      </c>
      <c r="M166" s="47">
        <f t="shared" si="24"/>
        <v>0.446</v>
      </c>
      <c r="N166" s="47">
        <f t="shared" si="28"/>
        <v>-3.54</v>
      </c>
      <c r="O166" s="47">
        <f>(1+'METHANOL SYNTHESIS'!$K$16)^-A166</f>
        <v>0.424097618372485</v>
      </c>
      <c r="P166" s="51">
        <f t="shared" si="29"/>
        <v>0.189147537794128</v>
      </c>
      <c r="Q166" s="278">
        <f t="shared" si="30"/>
        <v>-3.41776627337192</v>
      </c>
    </row>
    <row r="167" spans="1:17">
      <c r="A167" s="42">
        <v>10</v>
      </c>
      <c r="B167" s="47">
        <f t="shared" si="25"/>
        <v>4000</v>
      </c>
      <c r="C167" s="47">
        <f t="shared" si="31"/>
        <v>450</v>
      </c>
      <c r="D167" s="47">
        <f t="shared" si="26"/>
        <v>1.8</v>
      </c>
      <c r="E167" s="47">
        <f>'METHANOL SYNTHESIS'!$F$17/10^6</f>
        <v>1.2425</v>
      </c>
      <c r="F167" s="47">
        <f t="shared" si="27"/>
        <v>0.5575</v>
      </c>
      <c r="G167" s="47"/>
      <c r="H167" s="47"/>
      <c r="I167" s="47">
        <f t="shared" si="32"/>
        <v>0.5575</v>
      </c>
      <c r="J167" s="47"/>
      <c r="K167" s="47">
        <f t="shared" si="34"/>
        <v>0.5575</v>
      </c>
      <c r="L167" s="50">
        <f>IF(K167&gt;0,K167*'METHANOL SYNTHESIS'!$K$15,0)</f>
        <v>0.1115</v>
      </c>
      <c r="M167" s="47">
        <f t="shared" si="24"/>
        <v>0.446</v>
      </c>
      <c r="N167" s="47">
        <f t="shared" si="28"/>
        <v>-3.094</v>
      </c>
      <c r="O167" s="47">
        <f>(1+'METHANOL SYNTHESIS'!$K$16)^-A167</f>
        <v>0.385543289429531</v>
      </c>
      <c r="P167" s="51">
        <f t="shared" si="29"/>
        <v>0.171952307085571</v>
      </c>
      <c r="Q167" s="278">
        <f t="shared" si="30"/>
        <v>-3.24581396628635</v>
      </c>
    </row>
    <row r="168" spans="1:17">
      <c r="A168" s="46">
        <v>11</v>
      </c>
      <c r="B168" s="47">
        <f t="shared" si="25"/>
        <v>4000</v>
      </c>
      <c r="C168" s="47">
        <f t="shared" si="31"/>
        <v>450</v>
      </c>
      <c r="D168" s="47">
        <f t="shared" si="26"/>
        <v>1.8</v>
      </c>
      <c r="E168" s="47">
        <f>'METHANOL SYNTHESIS'!$F$17/10^6</f>
        <v>1.2425</v>
      </c>
      <c r="F168" s="47">
        <f t="shared" si="27"/>
        <v>0.5575</v>
      </c>
      <c r="G168" s="47"/>
      <c r="H168" s="47"/>
      <c r="I168" s="47">
        <f t="shared" si="32"/>
        <v>0.5575</v>
      </c>
      <c r="J168" s="47"/>
      <c r="K168" s="47">
        <f t="shared" si="34"/>
        <v>0.5575</v>
      </c>
      <c r="L168" s="50">
        <f>IF(K168&gt;0,K168*'METHANOL SYNTHESIS'!$K$15,0)</f>
        <v>0.1115</v>
      </c>
      <c r="M168" s="47">
        <f t="shared" si="24"/>
        <v>0.446</v>
      </c>
      <c r="N168" s="47">
        <f t="shared" si="28"/>
        <v>-2.648</v>
      </c>
      <c r="O168" s="47">
        <f>(1+'METHANOL SYNTHESIS'!$K$16)^-A168</f>
        <v>0.350493899481392</v>
      </c>
      <c r="P168" s="51">
        <f t="shared" si="29"/>
        <v>0.156320279168701</v>
      </c>
      <c r="Q168" s="278">
        <f t="shared" si="30"/>
        <v>-3.08949368711765</v>
      </c>
    </row>
    <row r="169" spans="1:17">
      <c r="A169" s="42">
        <v>12</v>
      </c>
      <c r="B169" s="47">
        <f t="shared" si="25"/>
        <v>4000</v>
      </c>
      <c r="C169" s="47">
        <f t="shared" si="31"/>
        <v>450</v>
      </c>
      <c r="D169" s="47">
        <f t="shared" si="26"/>
        <v>1.8</v>
      </c>
      <c r="E169" s="47">
        <f>'METHANOL SYNTHESIS'!$F$17/10^6</f>
        <v>1.2425</v>
      </c>
      <c r="F169" s="47">
        <f t="shared" si="27"/>
        <v>0.5575</v>
      </c>
      <c r="G169" s="47"/>
      <c r="H169" s="47"/>
      <c r="I169" s="47">
        <f t="shared" si="32"/>
        <v>0.5575</v>
      </c>
      <c r="J169" s="47"/>
      <c r="K169" s="47">
        <f t="shared" si="34"/>
        <v>0.5575</v>
      </c>
      <c r="L169" s="50">
        <f>IF(K169&gt;0,K169*'METHANOL SYNTHESIS'!$K$15,0)</f>
        <v>0.1115</v>
      </c>
      <c r="M169" s="47">
        <f t="shared" si="24"/>
        <v>0.446</v>
      </c>
      <c r="N169" s="47">
        <f t="shared" si="28"/>
        <v>-2.202</v>
      </c>
      <c r="O169" s="47">
        <f>(1+'METHANOL SYNTHESIS'!$K$16)^-A169</f>
        <v>0.318630817710357</v>
      </c>
      <c r="P169" s="51">
        <f t="shared" si="29"/>
        <v>0.142109344698819</v>
      </c>
      <c r="Q169" s="278">
        <f t="shared" si="30"/>
        <v>-2.94738434241883</v>
      </c>
    </row>
    <row r="170" spans="1:17">
      <c r="A170" s="46">
        <v>13</v>
      </c>
      <c r="B170" s="47">
        <f t="shared" si="25"/>
        <v>4000</v>
      </c>
      <c r="C170" s="47">
        <f t="shared" si="31"/>
        <v>450</v>
      </c>
      <c r="D170" s="47">
        <f t="shared" si="26"/>
        <v>1.8</v>
      </c>
      <c r="E170" s="47">
        <f>'METHANOL SYNTHESIS'!$F$17/10^6</f>
        <v>1.2425</v>
      </c>
      <c r="F170" s="47">
        <f t="shared" si="27"/>
        <v>0.5575</v>
      </c>
      <c r="G170" s="47"/>
      <c r="H170" s="47"/>
      <c r="I170" s="47">
        <f t="shared" si="32"/>
        <v>0.5575</v>
      </c>
      <c r="J170" s="47"/>
      <c r="K170" s="47">
        <f t="shared" si="34"/>
        <v>0.5575</v>
      </c>
      <c r="L170" s="50">
        <f>IF(K170&gt;0,K170*'METHANOL SYNTHESIS'!$K$15,0)</f>
        <v>0.1115</v>
      </c>
      <c r="M170" s="47">
        <f t="shared" si="24"/>
        <v>0.446</v>
      </c>
      <c r="N170" s="47">
        <f t="shared" si="28"/>
        <v>-1.756</v>
      </c>
      <c r="O170" s="47">
        <f>(1+'METHANOL SYNTHESIS'!$K$16)^-A170</f>
        <v>0.289664379736688</v>
      </c>
      <c r="P170" s="51">
        <f t="shared" si="29"/>
        <v>0.129190313362563</v>
      </c>
      <c r="Q170" s="278">
        <f t="shared" si="30"/>
        <v>-2.81819402905627</v>
      </c>
    </row>
    <row r="171" spans="1:17">
      <c r="A171" s="42">
        <v>14</v>
      </c>
      <c r="B171" s="47">
        <f t="shared" si="25"/>
        <v>4000</v>
      </c>
      <c r="C171" s="47">
        <f t="shared" si="31"/>
        <v>450</v>
      </c>
      <c r="D171" s="47">
        <f t="shared" si="26"/>
        <v>1.8</v>
      </c>
      <c r="E171" s="47">
        <f>'METHANOL SYNTHESIS'!$F$17/10^6</f>
        <v>1.2425</v>
      </c>
      <c r="F171" s="47">
        <f t="shared" si="27"/>
        <v>0.5575</v>
      </c>
      <c r="G171" s="47"/>
      <c r="H171" s="47"/>
      <c r="I171" s="47">
        <f t="shared" si="32"/>
        <v>0.5575</v>
      </c>
      <c r="J171" s="47"/>
      <c r="K171" s="47">
        <f t="shared" si="34"/>
        <v>0.5575</v>
      </c>
      <c r="L171" s="50">
        <f>IF(K171&gt;0,K171*'METHANOL SYNTHESIS'!$K$15,0)</f>
        <v>0.1115</v>
      </c>
      <c r="M171" s="47">
        <f t="shared" si="24"/>
        <v>0.446</v>
      </c>
      <c r="N171" s="47">
        <f t="shared" si="28"/>
        <v>-1.31</v>
      </c>
      <c r="O171" s="47">
        <f>(1+'METHANOL SYNTHESIS'!$K$16)^-A171</f>
        <v>0.26333125430608</v>
      </c>
      <c r="P171" s="51">
        <f t="shared" si="29"/>
        <v>0.117445739420512</v>
      </c>
      <c r="Q171" s="278">
        <f t="shared" si="30"/>
        <v>-2.70074828963576</v>
      </c>
    </row>
    <row r="172" spans="1:17">
      <c r="A172" s="46">
        <v>15</v>
      </c>
      <c r="B172" s="47">
        <f t="shared" si="25"/>
        <v>4000</v>
      </c>
      <c r="C172" s="47">
        <f t="shared" si="31"/>
        <v>450</v>
      </c>
      <c r="D172" s="47">
        <f t="shared" si="26"/>
        <v>1.8</v>
      </c>
      <c r="E172" s="47">
        <f>'METHANOL SYNTHESIS'!$F$17/10^6</f>
        <v>1.2425</v>
      </c>
      <c r="F172" s="47">
        <f t="shared" si="27"/>
        <v>0.5575</v>
      </c>
      <c r="G172" s="47"/>
      <c r="H172" s="47"/>
      <c r="I172" s="47">
        <f t="shared" si="32"/>
        <v>0.5575</v>
      </c>
      <c r="J172" s="47"/>
      <c r="K172" s="53">
        <f t="shared" si="34"/>
        <v>0.5575</v>
      </c>
      <c r="L172" s="50">
        <f>IF(K172&gt;0,K172*'METHANOL SYNTHESIS'!$K$15,0)</f>
        <v>0.1115</v>
      </c>
      <c r="M172" s="47">
        <f t="shared" si="24"/>
        <v>0.446</v>
      </c>
      <c r="N172" s="47">
        <f t="shared" si="28"/>
        <v>-0.863999999999999</v>
      </c>
      <c r="O172" s="47">
        <f>(1+'METHANOL SYNTHESIS'!$K$16)^-A172</f>
        <v>0.239392049369163</v>
      </c>
      <c r="P172" s="51">
        <f t="shared" si="29"/>
        <v>0.106768854018647</v>
      </c>
      <c r="Q172" s="278">
        <f t="shared" si="30"/>
        <v>-2.59397943561711</v>
      </c>
    </row>
    <row r="173" spans="1:17">
      <c r="A173" s="42">
        <v>16</v>
      </c>
      <c r="B173" s="47">
        <f t="shared" si="25"/>
        <v>4000</v>
      </c>
      <c r="C173" s="47">
        <f t="shared" si="31"/>
        <v>450</v>
      </c>
      <c r="D173" s="47">
        <f t="shared" si="26"/>
        <v>1.8</v>
      </c>
      <c r="E173" s="47">
        <f>'METHANOL SYNTHESIS'!$F$17/10^6</f>
        <v>1.2425</v>
      </c>
      <c r="F173" s="47">
        <f t="shared" si="27"/>
        <v>0.5575</v>
      </c>
      <c r="G173" s="47"/>
      <c r="H173" s="47"/>
      <c r="I173" s="47">
        <f t="shared" si="32"/>
        <v>0.5575</v>
      </c>
      <c r="J173" s="47"/>
      <c r="K173" s="47">
        <f t="shared" si="34"/>
        <v>0.5575</v>
      </c>
      <c r="L173" s="50">
        <f>IF(K173&gt;0,K173*'METHANOL SYNTHESIS'!$K$15,0)</f>
        <v>0.1115</v>
      </c>
      <c r="M173" s="47">
        <f t="shared" si="24"/>
        <v>0.446</v>
      </c>
      <c r="N173" s="47">
        <f t="shared" si="28"/>
        <v>-0.417999999999999</v>
      </c>
      <c r="O173" s="47">
        <f>(1+'METHANOL SYNTHESIS'!$K$16)^-A173</f>
        <v>0.217629135790149</v>
      </c>
      <c r="P173" s="51">
        <f t="shared" si="29"/>
        <v>0.0970625945624065</v>
      </c>
      <c r="Q173" s="278">
        <f t="shared" si="30"/>
        <v>-2.4969168410547</v>
      </c>
    </row>
    <row r="174" spans="1:17">
      <c r="A174" s="46">
        <v>17</v>
      </c>
      <c r="B174" s="47">
        <f t="shared" si="25"/>
        <v>4000</v>
      </c>
      <c r="C174" s="47">
        <f t="shared" si="31"/>
        <v>450</v>
      </c>
      <c r="D174" s="47">
        <f t="shared" si="26"/>
        <v>1.8</v>
      </c>
      <c r="E174" s="47">
        <f>'METHANOL SYNTHESIS'!$F$17/10^6</f>
        <v>1.2425</v>
      </c>
      <c r="F174" s="47">
        <f t="shared" si="27"/>
        <v>0.5575</v>
      </c>
      <c r="G174" s="47"/>
      <c r="H174" s="47"/>
      <c r="I174" s="47">
        <f t="shared" si="32"/>
        <v>0.5575</v>
      </c>
      <c r="J174" s="47"/>
      <c r="K174" s="47">
        <f t="shared" si="34"/>
        <v>0.5575</v>
      </c>
      <c r="L174" s="50">
        <f>IF(K174&gt;0,K174*'METHANOL SYNTHESIS'!$K$15,0)</f>
        <v>0.1115</v>
      </c>
      <c r="M174" s="47">
        <f t="shared" si="24"/>
        <v>0.446</v>
      </c>
      <c r="N174" s="47">
        <f t="shared" si="28"/>
        <v>0.028000000000001</v>
      </c>
      <c r="O174" s="47">
        <f>(1+'METHANOL SYNTHESIS'!$K$16)^-A174</f>
        <v>0.197844668900135</v>
      </c>
      <c r="P174" s="51">
        <f t="shared" si="29"/>
        <v>0.0882387223294602</v>
      </c>
      <c r="Q174" s="278">
        <f t="shared" si="30"/>
        <v>-2.40867811872524</v>
      </c>
    </row>
    <row r="175" spans="1:17">
      <c r="A175" s="42">
        <v>18</v>
      </c>
      <c r="B175" s="47">
        <f t="shared" si="25"/>
        <v>4000</v>
      </c>
      <c r="C175" s="47">
        <f t="shared" si="31"/>
        <v>450</v>
      </c>
      <c r="D175" s="47">
        <f t="shared" si="26"/>
        <v>1.8</v>
      </c>
      <c r="E175" s="47">
        <f>'METHANOL SYNTHESIS'!$F$17/10^6</f>
        <v>1.2425</v>
      </c>
      <c r="F175" s="47">
        <f t="shared" si="27"/>
        <v>0.5575</v>
      </c>
      <c r="G175" s="47"/>
      <c r="H175" s="47"/>
      <c r="I175" s="47">
        <f t="shared" si="32"/>
        <v>0.5575</v>
      </c>
      <c r="J175" s="47"/>
      <c r="K175" s="47">
        <f t="shared" si="34"/>
        <v>0.5575</v>
      </c>
      <c r="L175" s="50">
        <f>IF(K175&gt;0,K175*'METHANOL SYNTHESIS'!$K$15,0)</f>
        <v>0.1115</v>
      </c>
      <c r="M175" s="47">
        <f t="shared" si="24"/>
        <v>0.446</v>
      </c>
      <c r="N175" s="47">
        <f t="shared" si="28"/>
        <v>0.474000000000001</v>
      </c>
      <c r="O175" s="47">
        <f>(1+'METHANOL SYNTHESIS'!$K$16)^-A175</f>
        <v>0.179858789909214</v>
      </c>
      <c r="P175" s="51">
        <f t="shared" si="29"/>
        <v>0.0802170202995095</v>
      </c>
      <c r="Q175" s="278">
        <f t="shared" si="30"/>
        <v>-2.32846109842573</v>
      </c>
    </row>
    <row r="176" spans="1:17">
      <c r="A176" s="46">
        <v>19</v>
      </c>
      <c r="B176" s="47">
        <f t="shared" si="25"/>
        <v>4000</v>
      </c>
      <c r="C176" s="47">
        <f t="shared" si="31"/>
        <v>450</v>
      </c>
      <c r="D176" s="47">
        <f t="shared" si="26"/>
        <v>1.8</v>
      </c>
      <c r="E176" s="47">
        <f>'METHANOL SYNTHESIS'!$F$17/10^6</f>
        <v>1.2425</v>
      </c>
      <c r="F176" s="47">
        <f t="shared" si="27"/>
        <v>0.5575</v>
      </c>
      <c r="G176" s="47"/>
      <c r="H176" s="47"/>
      <c r="I176" s="47">
        <f t="shared" si="32"/>
        <v>0.5575</v>
      </c>
      <c r="J176" s="47"/>
      <c r="K176" s="47">
        <f t="shared" si="34"/>
        <v>0.5575</v>
      </c>
      <c r="L176" s="50">
        <f>IF(K176&gt;0,K176*'METHANOL SYNTHESIS'!$K$15,0)</f>
        <v>0.1115</v>
      </c>
      <c r="M176" s="47">
        <f t="shared" si="24"/>
        <v>0.446</v>
      </c>
      <c r="N176" s="47">
        <f t="shared" si="28"/>
        <v>0.920000000000001</v>
      </c>
      <c r="O176" s="47">
        <f>(1+'METHANOL SYNTHESIS'!$K$16)^-A176</f>
        <v>0.163507990826558</v>
      </c>
      <c r="P176" s="51">
        <f t="shared" si="29"/>
        <v>0.0729245639086449</v>
      </c>
      <c r="Q176" s="278">
        <f t="shared" si="30"/>
        <v>-2.25553653451709</v>
      </c>
    </row>
    <row r="177" spans="1:17">
      <c r="A177" s="42">
        <v>20</v>
      </c>
      <c r="B177" s="47">
        <f t="shared" si="25"/>
        <v>4000</v>
      </c>
      <c r="C177" s="47">
        <f t="shared" si="31"/>
        <v>450</v>
      </c>
      <c r="D177" s="47">
        <f t="shared" si="26"/>
        <v>1.8</v>
      </c>
      <c r="E177" s="47">
        <f>'METHANOL SYNTHESIS'!$F$17/10^6</f>
        <v>1.2425</v>
      </c>
      <c r="F177" s="47">
        <f t="shared" si="27"/>
        <v>0.5575</v>
      </c>
      <c r="G177" s="47"/>
      <c r="H177" s="47"/>
      <c r="I177" s="47">
        <f t="shared" si="32"/>
        <v>0.5575</v>
      </c>
      <c r="J177" s="47"/>
      <c r="K177" s="47">
        <f t="shared" si="34"/>
        <v>0.5575</v>
      </c>
      <c r="L177" s="50">
        <f>IF(K177&gt;0,K177*'METHANOL SYNTHESIS'!$K$15,0)</f>
        <v>0.1115</v>
      </c>
      <c r="M177" s="47">
        <f t="shared" si="24"/>
        <v>0.446</v>
      </c>
      <c r="N177" s="47">
        <f t="shared" si="28"/>
        <v>1.366</v>
      </c>
      <c r="O177" s="47">
        <f>(1+'METHANOL SYNTHESIS'!$K$16)^-A177</f>
        <v>0.148643628024143</v>
      </c>
      <c r="P177" s="51">
        <f t="shared" si="29"/>
        <v>0.0662950580987678</v>
      </c>
      <c r="Q177" s="278">
        <f t="shared" si="30"/>
        <v>-2.18924147641832</v>
      </c>
    </row>
    <row r="178" spans="1:17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52">
        <f>SUM(P157:P177)</f>
        <v>-2.18924147641832</v>
      </c>
      <c r="Q178" s="47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MINERAL CARBONATION</vt:lpstr>
      <vt:lpstr>MINERAL CARBONATION 2</vt:lpstr>
      <vt:lpstr>MINERAL CARBONATION 3</vt:lpstr>
      <vt:lpstr>UREA SYNTHESIS</vt:lpstr>
      <vt:lpstr>UREA SYNTHESIS 2</vt:lpstr>
      <vt:lpstr>UREA SYNTHESIS 3</vt:lpstr>
      <vt:lpstr>METHANOL SYNTHESIS</vt:lpstr>
      <vt:lpstr>METHANOL SYNTHESIS 2</vt:lpstr>
      <vt:lpstr>METHANOL SYNTHESIS 3</vt:lpstr>
      <vt:lpstr>POLYOL</vt:lpstr>
      <vt:lpstr>POLYOL 2</vt:lpstr>
      <vt:lpstr>POLYOL 3</vt:lpstr>
      <vt:lpstr>ENHANCED OIL RECOVERY</vt:lpstr>
      <vt:lpstr>ENHANCED OIL RECOVERY 2</vt:lpstr>
      <vt:lpstr>ENHANCED OIL RECOVERY 3</vt:lpstr>
      <vt:lpstr>SALICYLIC ACID</vt:lpstr>
      <vt:lpstr>SALICYLIC ACID 2</vt:lpstr>
      <vt:lpstr>SALICYLIC ACID 3</vt:lpstr>
      <vt:lpstr>Sheet1</vt:lpstr>
      <vt:lpstr>ILAUNDRY</vt:lpstr>
      <vt:lpstr>ILAUNDRY 2</vt:lpstr>
      <vt:lpstr>ILAUNDRY 3</vt:lpstr>
      <vt:lpstr>JLAUNDRY</vt:lpstr>
      <vt:lpstr>JLAUNDRY 2</vt:lpstr>
      <vt:lpstr>JLAUNDRY 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Atuma Samuel</dc:creator>
  <cp:lastModifiedBy>Atuma Samuel</cp:lastModifiedBy>
  <dcterms:created xsi:type="dcterms:W3CDTF">2019-09-20T07:55:00Z</dcterms:created>
  <dcterms:modified xsi:type="dcterms:W3CDTF">2019-12-19T05:28:57Z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