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I70"/>
  <sheetViews>
    <sheetView workbookViewId="0"/>
  </sheetViews>
  <sheetData>
    <row r="1">
      <c r="I1" t="str">
        <v>NB v1.2_20200504</v>
      </c>
    </row>
    <row r="2">
      <c r="G2" t="str">
        <f>C6</f>
        <v>2123-123XX(x)</v>
      </c>
    </row>
    <row r="3">
      <c r="C3" t="str">
        <v xml:space="preserve"> </v>
      </c>
      <c r="G3" t="str">
        <f>"BEAM Plus " &amp; C9 &amp; " Report For"</f>
        <v>BEAM Plus Provisional Assessment Report For</v>
      </c>
    </row>
    <row r="4">
      <c r="A4" t="str">
        <v xml:space="preserve"> Project Summary</v>
      </c>
      <c r="C4" t="str">
        <v xml:space="preserve"> </v>
      </c>
      <c r="G4" t="str">
        <f>C7</f>
        <v>ABC Residential Development</v>
      </c>
    </row>
    <row r="6">
      <c r="A6" t="str">
        <v>Project Number:</v>
      </c>
      <c r="C6" t="str">
        <v>2123-123XX(x)</v>
      </c>
    </row>
    <row r="7">
      <c r="A7" t="str">
        <v>Project Name:</v>
      </c>
      <c r="C7" t="str">
        <v>ABC Residential Development</v>
      </c>
    </row>
    <row r="8">
      <c r="A8" t="str">
        <v>BEAM Version:</v>
      </c>
      <c r="B8" t="str">
        <v xml:space="preserve"> </v>
      </c>
      <c r="C8" t="str">
        <v>BEAM Plus New Buildings Version 1.2</v>
      </c>
    </row>
    <row r="9">
      <c r="A9" t="str">
        <v>Assessment</v>
      </c>
      <c r="C9" t="str">
        <v>Provisional Assessment</v>
      </c>
    </row>
    <row r="10">
      <c r="A10" t="str">
        <v>Owner:</v>
      </c>
    </row>
    <row r="11">
      <c r="A11" t="str">
        <v>Target Rating:</v>
      </c>
    </row>
    <row r="12">
      <c r="A12" t="str">
        <v>Day Used:</v>
      </c>
      <c r="C12" t="str">
        <v>xx working days as of xx</v>
      </c>
    </row>
    <row r="13">
      <c r="A13" t="str">
        <v>BEAM Assessor :</v>
      </c>
      <c r="B13" t="str">
        <v xml:space="preserve"> </v>
      </c>
      <c r="C13" t="str">
        <v xml:space="preserve">Name: </v>
      </c>
    </row>
    <row r="14">
      <c r="B14" t="str">
        <v xml:space="preserve"> </v>
      </c>
      <c r="C14" t="str">
        <v>Responsible Discipline(s): (e.g. Energy, Water and Indoor Environmental Quality aspects)</v>
      </c>
    </row>
    <row r="15">
      <c r="A15" t="str">
        <v>BEAM Assessor :</v>
      </c>
      <c r="B15" t="str">
        <v xml:space="preserve"> </v>
      </c>
      <c r="C15" t="str">
        <v xml:space="preserve">Name:  </v>
      </c>
    </row>
    <row r="16">
      <c r="C16" t="str">
        <v>Responsible Discipline(s): (e.g. Energy, Water and Indoor Environmental Quality aspects)</v>
      </c>
    </row>
    <row r="17">
      <c r="A17" t="str">
        <v>Proposed Rating:</v>
      </c>
      <c r="C17" t="e">
        <f>'Result and Graph'!H12</f>
        <v>#DIV/0!</v>
      </c>
    </row>
    <row r="20">
      <c r="A20" t="str">
        <v>Category</v>
      </c>
      <c r="B20" t="str">
        <v>Applicable Credits</v>
      </c>
      <c r="C20" t="str">
        <v>Achieved Credits</v>
      </c>
      <c r="D20" t="str">
        <v>% of Achieved Credits</v>
      </c>
      <c r="E20" t="str">
        <v>Weighting Factor</v>
      </c>
      <c r="F20" t="str">
        <v>Weighted Achieved Score</v>
      </c>
      <c r="G20" t="str">
        <v>Achieved Sub-Rating</v>
      </c>
      <c r="H20" t="str">
        <v>PTRC</v>
      </c>
    </row>
    <row r="21">
      <c r="A21" t="str">
        <v>SA</v>
      </c>
      <c r="B21">
        <f>'Result and Graph'!B6</f>
        <v>21</v>
      </c>
      <c r="C21">
        <f>'Result and Graph'!C6</f>
        <v>13</v>
      </c>
      <c r="D21">
        <f>'Result and Graph'!E6</f>
        <v>0.6190476190476191</v>
      </c>
      <c r="E21">
        <v>0.25</v>
      </c>
      <c r="F21">
        <f>'Result and Graph'!G6</f>
        <v>15.5</v>
      </c>
      <c r="G21" t="str">
        <f>'Result and Graph'!H6</f>
        <v>Gold</v>
      </c>
    </row>
    <row r="22">
      <c r="A22" t="str">
        <v>MA</v>
      </c>
      <c r="B22">
        <f>'Result and Graph'!B7</f>
        <v>0</v>
      </c>
      <c r="C22">
        <f>'Result and Graph'!C7</f>
        <v>0</v>
      </c>
      <c r="D22" t="str">
        <f>'Result and Graph'!E7</f>
        <v>n/a</v>
      </c>
      <c r="E22">
        <v>0.08</v>
      </c>
      <c r="F22" t="str">
        <f>'Result and Graph'!G7</f>
        <v>n/a</v>
      </c>
      <c r="G22" t="str">
        <f>'Result and Graph'!H7</f>
        <v>Cannot be Assessed</v>
      </c>
    </row>
    <row r="23">
      <c r="A23" t="str">
        <v>EU</v>
      </c>
      <c r="B23" t="e">
        <f>'Result and Graph'!B8</f>
        <v>#DIV/0!</v>
      </c>
      <c r="C23" t="e">
        <f>'Result and Graph'!C8</f>
        <v>#DIV/0!</v>
      </c>
      <c r="D23" t="e">
        <f>'Result and Graph'!E8</f>
        <v>#DIV/0!</v>
      </c>
      <c r="E23">
        <v>0.35</v>
      </c>
      <c r="F23" t="e">
        <f>'Result and Graph'!G8</f>
        <v>#DIV/0!</v>
      </c>
      <c r="G23" t="e">
        <f>'Result and Graph'!H8</f>
        <v>#DIV/0!</v>
      </c>
    </row>
    <row r="24">
      <c r="A24" t="str">
        <v>WU</v>
      </c>
      <c r="B24">
        <f>'Result and Graph'!B9</f>
        <v>7</v>
      </c>
      <c r="C24">
        <f>'Result and Graph'!C9</f>
        <v>5</v>
      </c>
      <c r="D24">
        <f>'Result and Graph'!E9</f>
        <v>0.7142857142857143</v>
      </c>
      <c r="E24">
        <v>0.12</v>
      </c>
      <c r="F24">
        <f>'Result and Graph'!G9</f>
        <v>8.6</v>
      </c>
      <c r="G24" t="str">
        <f>'Result and Graph'!H9</f>
        <v/>
      </c>
    </row>
    <row r="25">
      <c r="A25" t="str">
        <v>IEQ</v>
      </c>
      <c r="B25" t="e">
        <f>'Result and Graph'!B10</f>
        <v>#DIV/0!</v>
      </c>
      <c r="C25" t="e">
        <f>'Result and Graph'!C10</f>
        <v>#DIV/0!</v>
      </c>
      <c r="D25" t="e">
        <f>'Result and Graph'!E10</f>
        <v>#DIV/0!</v>
      </c>
      <c r="E25">
        <v>0.2</v>
      </c>
      <c r="F25" t="e">
        <f>'Result and Graph'!G10</f>
        <v>#DIV/0!</v>
      </c>
      <c r="G25" t="str">
        <f>'Result and Graph'!H10</f>
        <v>Cannot be Assessed</v>
      </c>
    </row>
    <row r="26">
      <c r="A26" t="str">
        <v>IA</v>
      </c>
      <c r="B26" t="str">
        <v>1 + 5 Bonus</v>
      </c>
      <c r="C26">
        <f>'Result and Graph'!C11</f>
        <v>3</v>
      </c>
      <c r="E26">
        <v>1</v>
      </c>
      <c r="F26">
        <f>'Result and Graph'!G11</f>
        <v>3</v>
      </c>
      <c r="G26" t="str">
        <f>'Result and Graph'!H11</f>
        <v>Platinum</v>
      </c>
    </row>
    <row r="27">
      <c r="E27" t="str">
        <v>Overall Rating</v>
      </c>
      <c r="F27" t="e">
        <f>SUM(F21:F26)</f>
        <v>#DIV/0!</v>
      </c>
      <c r="G27" t="e">
        <f>'Result and Graph'!H12</f>
        <v>#DIV/0!</v>
      </c>
    </row>
    <row r="30">
      <c r="A30" t="str">
        <v xml:space="preserve">1.       DISCUSSION </v>
      </c>
    </row>
    <row r="32" xml:space="preserve">
      <c r="A32" t="str" xml:space="preserve">
        <v xml:space="preserve">BAS can write down the uncertainties during their assessment process which can be discussed in the TRC meeting. Supporting information e.g. drawing, specification floor plan, etc should be provided._x000d_
</v>
      </c>
    </row>
    <row r="35">
      <c r="A35" t="str">
        <v>2.       SCHEDULE OF CONTESTED CREDITS</v>
      </c>
    </row>
    <row r="36">
      <c r="A36" t="str">
        <v>2.1 The following table summary indicates credits where the Assessor has disagreed with the Applicant’s claim and will be discussed in TRC meeting:</v>
      </c>
    </row>
    <row r="39">
      <c r="A39" t="str">
        <v>Credit</v>
      </c>
      <c r="B39" t="str">
        <v>Applicant Claimed</v>
      </c>
      <c r="E39" t="str">
        <v>BAS Comment</v>
      </c>
    </row>
    <row r="40">
      <c r="A40" t="str">
        <v>[xxxx]</v>
      </c>
      <c r="B40" t="str">
        <v>[insert Applicants opinion/ comment]</v>
      </c>
      <c r="C40" t="str">
        <v xml:space="preserve"> </v>
      </c>
      <c r="E40" t="str">
        <v>[insert your comment]</v>
      </c>
    </row>
    <row r="41">
      <c r="A41" t="str">
        <v>[xxxx]</v>
      </c>
      <c r="B41" t="str">
        <v>[insert Applicants opinion/ comment]</v>
      </c>
      <c r="C41" t="str">
        <v xml:space="preserve"> </v>
      </c>
      <c r="E41" t="str">
        <v>[insert your comment]</v>
      </c>
    </row>
    <row r="42">
      <c r="A42" t="str">
        <v>[xxxx]</v>
      </c>
      <c r="B42" t="str">
        <v>[insert Applicants opinion/ comment]</v>
      </c>
      <c r="C42" t="str">
        <v xml:space="preserve"> </v>
      </c>
      <c r="E42" t="str">
        <v>[insert your comment]</v>
      </c>
    </row>
    <row r="43">
      <c r="A43" t="str">
        <v>[xxxx]</v>
      </c>
      <c r="B43" t="str">
        <v>[insert Applicants opinion/ comment]</v>
      </c>
      <c r="C43" t="str">
        <v xml:space="preserve"> </v>
      </c>
      <c r="E43" t="str">
        <v>[insert your comment]</v>
      </c>
    </row>
    <row r="44">
      <c r="A44" t="str">
        <v>[xxxx]</v>
      </c>
      <c r="B44" t="str">
        <v>[insert Applicants opinion/ comment]</v>
      </c>
      <c r="C44" t="str">
        <v xml:space="preserve"> </v>
      </c>
      <c r="E44" t="str">
        <v>[insert your comment]</v>
      </c>
    </row>
    <row r="45">
      <c r="A45" t="str">
        <v>[xxxx]</v>
      </c>
      <c r="B45" t="str">
        <v>[insert Applicants opinion/ comment]</v>
      </c>
      <c r="C45" t="str">
        <v xml:space="preserve"> </v>
      </c>
      <c r="E45" t="str">
        <v>[insert your comment]</v>
      </c>
    </row>
    <row r="46">
      <c r="A46" t="str">
        <v>[xxxx]</v>
      </c>
      <c r="B46" t="str">
        <v>[insert Applicants opinion/ comment]</v>
      </c>
      <c r="C46" t="str">
        <v xml:space="preserve"> </v>
      </c>
      <c r="E46" t="str">
        <v>[insert your comment]</v>
      </c>
    </row>
    <row r="47">
      <c r="A47" t="str">
        <v>[xxxx]</v>
      </c>
      <c r="B47" t="str">
        <v>[insert Applicants opinion/ comment]</v>
      </c>
      <c r="C47" t="str">
        <v xml:space="preserve"> </v>
      </c>
      <c r="E47" t="str">
        <v>[insert your comment]</v>
      </c>
    </row>
    <row r="48">
      <c r="A48" t="str">
        <v>[xxxx]</v>
      </c>
      <c r="B48" t="str">
        <v>[insert Applicants opinion/ comment]</v>
      </c>
      <c r="C48" t="str">
        <v xml:space="preserve"> </v>
      </c>
      <c r="E48" t="str">
        <v>[insert your comment]</v>
      </c>
    </row>
    <row r="49">
      <c r="A49" t="str">
        <v>[xxxx]</v>
      </c>
      <c r="B49" t="str">
        <v>[insert Applicants opinion/ comment]</v>
      </c>
      <c r="C49" t="str">
        <v xml:space="preserve"> </v>
      </c>
      <c r="E49" t="str">
        <v>[insert your comment]</v>
      </c>
    </row>
    <row r="50">
      <c r="A50" t="str">
        <v>[xxxx]</v>
      </c>
      <c r="B50" t="str">
        <v>[insert Applicants opinion/ comment]</v>
      </c>
      <c r="C50" t="str">
        <v xml:space="preserve"> </v>
      </c>
      <c r="E50" t="str">
        <v>[insert your comment]</v>
      </c>
    </row>
    <row r="51">
      <c r="A51" t="str">
        <v>[xxxx]</v>
      </c>
      <c r="B51" t="str">
        <v>[insert Applicants opinion/ comment]</v>
      </c>
      <c r="C51" t="str">
        <v xml:space="preserve"> </v>
      </c>
      <c r="E51" t="str">
        <v>[insert your comment]</v>
      </c>
    </row>
    <row r="52">
      <c r="A52" t="str">
        <v>2.2 The following table summary indicates credits where the Assessor has disagreed with the Applicant’s claim and due to its straight forward nature, it will not be discussed:</v>
      </c>
    </row>
    <row r="53">
      <c r="A53" t="str">
        <v>Credit</v>
      </c>
      <c r="B53" t="str">
        <v>Applicant Claimed</v>
      </c>
      <c r="E53" t="str">
        <v>BAS Comment</v>
      </c>
    </row>
    <row r="54">
      <c r="A54" t="str">
        <v>[xxxx]</v>
      </c>
      <c r="B54" t="str">
        <v>[insert Applicants opinion/ comment]</v>
      </c>
      <c r="C54" t="str">
        <v xml:space="preserve"> </v>
      </c>
      <c r="E54" t="str">
        <v>[insert your comment]</v>
      </c>
    </row>
    <row r="55">
      <c r="A55" t="str">
        <v>[xxxx]</v>
      </c>
      <c r="B55" t="str">
        <v>[insert Applicants opinion/ comment]</v>
      </c>
      <c r="C55" t="str">
        <v xml:space="preserve"> </v>
      </c>
      <c r="E55" t="str">
        <v>[insert your comment]</v>
      </c>
    </row>
    <row r="56">
      <c r="A56" t="str">
        <v>[xxxx]</v>
      </c>
      <c r="B56" t="str">
        <v>[insert Applicants opinion/ comment]</v>
      </c>
      <c r="C56" t="str">
        <v xml:space="preserve"> </v>
      </c>
      <c r="E56" t="str">
        <v>[insert your comment]</v>
      </c>
    </row>
    <row r="57">
      <c r="A57" t="str">
        <v>[xxxx]</v>
      </c>
      <c r="B57" t="str">
        <v>[insert Applicants opinion/ comment]</v>
      </c>
      <c r="C57" t="str">
        <v xml:space="preserve"> </v>
      </c>
      <c r="E57" t="str">
        <v>[insert your comment]</v>
      </c>
    </row>
    <row r="58">
      <c r="A58" t="str">
        <v>[xxxx]</v>
      </c>
      <c r="B58" t="str">
        <v>[insert Applicants opinion/ comment]</v>
      </c>
      <c r="C58" t="str">
        <v xml:space="preserve"> </v>
      </c>
      <c r="E58" t="str">
        <v>[insert your comment]</v>
      </c>
    </row>
    <row r="59">
      <c r="A59" t="str">
        <v>[xxxx]</v>
      </c>
      <c r="B59" t="str">
        <v>[insert Applicants opinion/ comment]</v>
      </c>
      <c r="C59" t="str">
        <v xml:space="preserve"> </v>
      </c>
      <c r="E59" t="str">
        <v>[insert your comment]</v>
      </c>
    </row>
    <row r="60">
      <c r="A60" t="str">
        <v>[xxxx]</v>
      </c>
      <c r="B60" t="str">
        <v>[insert Applicants opinion/ comment]</v>
      </c>
      <c r="C60" t="str">
        <v xml:space="preserve"> </v>
      </c>
      <c r="E60" t="str">
        <v>[insert your comment]</v>
      </c>
    </row>
    <row r="61">
      <c r="A61" t="str">
        <v>[xxxx]</v>
      </c>
      <c r="B61" t="str">
        <v>[insert Applicants opinion/ comment]</v>
      </c>
      <c r="C61" t="str">
        <v xml:space="preserve"> </v>
      </c>
      <c r="E61" t="str">
        <v>[insert your comment]</v>
      </c>
    </row>
    <row r="62">
      <c r="A62" t="str">
        <v>[xxxx]</v>
      </c>
      <c r="B62" t="str">
        <v>[insert Applicants opinion/ comment]</v>
      </c>
      <c r="C62" t="str">
        <v xml:space="preserve"> </v>
      </c>
      <c r="E62" t="str">
        <v>[insert your comment]</v>
      </c>
    </row>
    <row r="63">
      <c r="A63" t="str">
        <v>[xxxx]</v>
      </c>
      <c r="B63" t="str">
        <v>[insert Applicants opinion/ comment]</v>
      </c>
      <c r="C63" t="str">
        <v xml:space="preserve"> </v>
      </c>
      <c r="E63" t="str">
        <v>[insert your comment]</v>
      </c>
    </row>
    <row r="64">
      <c r="A64" t="str">
        <v>[xxxx]</v>
      </c>
      <c r="B64" t="str">
        <v>[insert Applicants opinion/ comment]</v>
      </c>
      <c r="C64" t="str">
        <v xml:space="preserve"> </v>
      </c>
      <c r="E64" t="str">
        <v>[insert your comment]</v>
      </c>
    </row>
    <row r="65">
      <c r="A65" t="str">
        <v>[xxxx]</v>
      </c>
      <c r="B65" t="str">
        <v>[insert Applicants opinion/ comment]</v>
      </c>
      <c r="C65" t="str">
        <v xml:space="preserve"> </v>
      </c>
      <c r="E65" t="str">
        <v>[insert your comment]</v>
      </c>
    </row>
    <row r="66">
      <c r="A66" t="str">
        <v>[xxxx]</v>
      </c>
      <c r="B66" t="str">
        <v>[insert Applicants opinion/ comment]</v>
      </c>
      <c r="C66" t="str">
        <v xml:space="preserve"> </v>
      </c>
      <c r="E66" t="str">
        <v>[insert your comment]</v>
      </c>
    </row>
    <row r="67">
      <c r="A67" t="str">
        <v>[xxxx]</v>
      </c>
      <c r="B67" t="str">
        <v>[insert Applicants opinion/ comment]</v>
      </c>
      <c r="C67" t="str">
        <v xml:space="preserve"> </v>
      </c>
      <c r="E67" t="str">
        <v>[insert your comment]</v>
      </c>
    </row>
    <row r="68">
      <c r="A68" t="str">
        <v>[xxxx]</v>
      </c>
      <c r="B68" t="str">
        <v>[insert Applicants opinion/ comment]</v>
      </c>
      <c r="C68" t="str">
        <v xml:space="preserve"> </v>
      </c>
      <c r="E68" t="str">
        <v>[insert your comment]</v>
      </c>
    </row>
    <row r="69">
      <c r="A69" t="str">
        <v>[xxxx]</v>
      </c>
      <c r="B69" t="str">
        <v>[insert Applicants opinion/ comment]</v>
      </c>
      <c r="C69" t="str">
        <v xml:space="preserve"> </v>
      </c>
      <c r="E69" t="str">
        <v>[insert your comment]</v>
      </c>
    </row>
    <row r="70">
      <c r="A70" t="str">
        <v>[xxxx]</v>
      </c>
      <c r="B70" t="str">
        <v>[insert Applicants opinion/ comment]</v>
      </c>
      <c r="C70" t="str">
        <v xml:space="preserve"> </v>
      </c>
      <c r="E70" t="str">
        <v>[insert your comment]</v>
      </c>
    </row>
  </sheetData>
  <mergeCells count="89">
    <mergeCell ref="E63:G63"/>
    <mergeCell ref="B57:D57"/>
    <mergeCell ref="E57:G57"/>
    <mergeCell ref="B58:D58"/>
    <mergeCell ref="E58:G58"/>
    <mergeCell ref="B59:D59"/>
    <mergeCell ref="E59:G59"/>
    <mergeCell ref="B40:D40"/>
    <mergeCell ref="B53:D53"/>
    <mergeCell ref="E53:G53"/>
    <mergeCell ref="A52:G52"/>
    <mergeCell ref="C16:G16"/>
    <mergeCell ref="A32:G32"/>
    <mergeCell ref="A35:G35"/>
    <mergeCell ref="A36:G37"/>
    <mergeCell ref="E40:G40"/>
    <mergeCell ref="A17:B17"/>
    <mergeCell ref="A15:B16"/>
    <mergeCell ref="A30:G30"/>
    <mergeCell ref="B42:D42"/>
    <mergeCell ref="E42:G42"/>
    <mergeCell ref="B43:D43"/>
    <mergeCell ref="E43:G43"/>
    <mergeCell ref="C7:G7"/>
    <mergeCell ref="C8:G8"/>
    <mergeCell ref="C10:G10"/>
    <mergeCell ref="A6:B6"/>
    <mergeCell ref="C6:G6"/>
    <mergeCell ref="A9:B9"/>
    <mergeCell ref="C9:G9"/>
    <mergeCell ref="A7:B7"/>
    <mergeCell ref="A8:B8"/>
    <mergeCell ref="A10:B10"/>
    <mergeCell ref="C14:G14"/>
    <mergeCell ref="C15:G15"/>
    <mergeCell ref="C17:G17"/>
    <mergeCell ref="B70:D70"/>
    <mergeCell ref="E70:G70"/>
    <mergeCell ref="B50:D50"/>
    <mergeCell ref="E50:G50"/>
    <mergeCell ref="B51:D51"/>
    <mergeCell ref="E51:G51"/>
    <mergeCell ref="B65:D65"/>
    <mergeCell ref="E65:G65"/>
    <mergeCell ref="B55:D55"/>
    <mergeCell ref="E55:G55"/>
    <mergeCell ref="B68:D68"/>
    <mergeCell ref="E68:G68"/>
    <mergeCell ref="B67:D67"/>
    <mergeCell ref="E67:G67"/>
    <mergeCell ref="B54:D54"/>
    <mergeCell ref="E54:G54"/>
    <mergeCell ref="B69:D69"/>
    <mergeCell ref="E69:G69"/>
    <mergeCell ref="B56:D56"/>
    <mergeCell ref="E56:G56"/>
    <mergeCell ref="B64:D64"/>
    <mergeCell ref="E64:G64"/>
    <mergeCell ref="B60:D60"/>
    <mergeCell ref="E60:G60"/>
    <mergeCell ref="B61:D61"/>
    <mergeCell ref="E61:G61"/>
    <mergeCell ref="B62:D62"/>
    <mergeCell ref="E62:G62"/>
    <mergeCell ref="B63:D63"/>
    <mergeCell ref="B44:D44"/>
    <mergeCell ref="E48:G48"/>
    <mergeCell ref="B49:D49"/>
    <mergeCell ref="E49:G49"/>
    <mergeCell ref="E44:G44"/>
    <mergeCell ref="B45:D45"/>
    <mergeCell ref="E45:G45"/>
    <mergeCell ref="E47:G47"/>
    <mergeCell ref="A12:B12"/>
    <mergeCell ref="C12:G12"/>
    <mergeCell ref="B66:D66"/>
    <mergeCell ref="E66:G66"/>
    <mergeCell ref="A11:B11"/>
    <mergeCell ref="C11:G11"/>
    <mergeCell ref="B39:D39"/>
    <mergeCell ref="E39:G39"/>
    <mergeCell ref="E41:G41"/>
    <mergeCell ref="B41:D41"/>
    <mergeCell ref="B47:D47"/>
    <mergeCell ref="B48:D48"/>
    <mergeCell ref="B46:D46"/>
    <mergeCell ref="E46:G46"/>
    <mergeCell ref="A13:B14"/>
    <mergeCell ref="C13:G13"/>
  </mergeCells>
  <pageMargins left="0.7086614173228347" right="0.7086614173228347" top="0.7480314960629921" bottom="0.7480314960629921" header="0.31496062992125984" footer="0.31496062992125984"/>
  <ignoredErrors>
    <ignoredError numberStoredAsText="1" sqref="A1:I70"/>
  </ignoredErrors>
</worksheet>
</file>

<file path=xl/worksheets/sheet10.xml><?xml version="1.0" encoding="utf-8"?>
<worksheet xmlns="http://schemas.openxmlformats.org/spreadsheetml/2006/main" xmlns:r="http://schemas.openxmlformats.org/officeDocument/2006/relationships">
  <dimension ref="A1:I54"/>
  <sheetViews>
    <sheetView workbookViewId="0"/>
  </sheetViews>
  <sheetData>
    <row r="1">
      <c r="I1" t="str">
        <v>NB v1.2_20200504</v>
      </c>
    </row>
    <row r="2">
      <c r="E2" t="str">
        <f>'Project Summary'!C6</f>
        <v>2123-123XX(x)</v>
      </c>
    </row>
    <row r="3">
      <c r="E3" t="str">
        <f>"BEAM Plus " &amp; 'Project Summary'!C9 &amp; " Report For"</f>
        <v>BEAM Plus Provisional Assessment Report For</v>
      </c>
    </row>
    <row r="4">
      <c r="A4" t="str">
        <v>Appendix B - Schedule of Not Applicable (NA) Credits</v>
      </c>
      <c r="E4" t="str">
        <f>'Project Summary'!C7</f>
        <v>ABC Residential Development</v>
      </c>
    </row>
    <row r="5">
      <c r="H5" t="str">
        <v>Credit</v>
      </c>
      <c r="I5" t="str">
        <v>No. of NA</v>
      </c>
    </row>
    <row r="6">
      <c r="A6" t="str">
        <v>APPENDIX B - Schedule of Not Applicable (NA) Credits</v>
      </c>
      <c r="H6" t="str">
        <v>SA</v>
      </c>
      <c r="I6">
        <f>COUNTIF('SA Comment'!G8:G1278,"NA")</f>
        <v>2</v>
      </c>
    </row>
    <row r="7">
      <c r="H7" t="str">
        <v>MA</v>
      </c>
      <c r="I7">
        <f>COUNTIF('MA Comment'!G8:G1168,"NA")</f>
        <v>0</v>
      </c>
    </row>
    <row r="8">
      <c r="A8" t="str">
        <v>The following table summarizes the credits which are Not Applicable to this project:</v>
      </c>
      <c r="H8" t="str">
        <v>EU</v>
      </c>
      <c r="I8">
        <f>COUNTIF('EU Comment'!R10:R218,"NA")</f>
        <v>8</v>
      </c>
    </row>
    <row r="9">
      <c r="H9" t="str">
        <v>WU</v>
      </c>
      <c r="I9">
        <f>COUNTIF('WU Comment'!G8:G60,"NA")</f>
        <v>2</v>
      </c>
    </row>
    <row r="10">
      <c r="H10" t="str">
        <v>IEQ</v>
      </c>
      <c r="I10">
        <f>COUNTIF('IEQ Comment'!R10:R265,"NA")</f>
        <v>0</v>
      </c>
    </row>
    <row r="11">
      <c r="A11" t="str">
        <v>Credit</v>
      </c>
      <c r="B11" t="str">
        <v>Description</v>
      </c>
    </row>
    <row r="12">
      <c r="A12" t="str">
        <v>[xxxx]</v>
      </c>
      <c r="C12" t="str">
        <v>[insert reason for NA]</v>
      </c>
    </row>
    <row r="13">
      <c r="A13" t="str">
        <v>[xxxx]</v>
      </c>
      <c r="C13" t="str">
        <v>[insert reason for NA]</v>
      </c>
    </row>
    <row r="14">
      <c r="A14" t="str">
        <v>[xxxx]</v>
      </c>
      <c r="C14" t="str">
        <v>[insert reason for NA]</v>
      </c>
    </row>
    <row r="15">
      <c r="A15" t="str">
        <v>[xxxx]</v>
      </c>
      <c r="C15" t="str">
        <v>[insert reason for NA]</v>
      </c>
    </row>
    <row r="16">
      <c r="A16" t="str">
        <v>[xxxx]</v>
      </c>
      <c r="C16" t="str">
        <v>[insert reason for NA]</v>
      </c>
    </row>
    <row r="17">
      <c r="A17" t="str">
        <v>[xxxx]</v>
      </c>
      <c r="C17" t="str">
        <v>[insert reason for NA]</v>
      </c>
    </row>
    <row r="18">
      <c r="A18" t="str">
        <v>[xxxx]</v>
      </c>
      <c r="C18" t="str">
        <v>[insert reason for NA]</v>
      </c>
    </row>
    <row r="19">
      <c r="A19" t="str">
        <v>[xxxx]</v>
      </c>
      <c r="C19" t="str">
        <v>[insert reason for NA]</v>
      </c>
    </row>
    <row r="20">
      <c r="A20" t="str">
        <v>[xxxx]</v>
      </c>
      <c r="C20" t="str">
        <v>[insert reason for NA]</v>
      </c>
    </row>
    <row r="21">
      <c r="A21" t="str">
        <v>[xxxx]</v>
      </c>
      <c r="C21" t="str">
        <v>[insert reason for NA]</v>
      </c>
    </row>
    <row r="22">
      <c r="A22" t="str">
        <v>[xxxx]</v>
      </c>
      <c r="C22" t="str">
        <v>[insert reason for NA]</v>
      </c>
    </row>
    <row r="23">
      <c r="A23" t="str">
        <v>[xxxx]</v>
      </c>
      <c r="C23" t="str">
        <v>[insert reason for NA]</v>
      </c>
    </row>
    <row r="24">
      <c r="A24" t="str">
        <v>[xxxx]</v>
      </c>
      <c r="C24" t="str">
        <v>[insert reason for NA]</v>
      </c>
    </row>
    <row r="25">
      <c r="A25" t="str">
        <v>[xxxx]</v>
      </c>
      <c r="C25" t="str">
        <v>[insert reason for NA]</v>
      </c>
    </row>
    <row r="26">
      <c r="A26" t="str">
        <v>[xxxx]</v>
      </c>
      <c r="C26" t="str">
        <v>[insert reason for NA]</v>
      </c>
    </row>
    <row r="27">
      <c r="A27" t="str">
        <v>[xxxx]</v>
      </c>
      <c r="C27" t="str">
        <v>[insert reason for NA]</v>
      </c>
    </row>
    <row r="28">
      <c r="A28" t="str">
        <v>[xxxx]</v>
      </c>
      <c r="C28" t="str">
        <v>[insert reason for NA]</v>
      </c>
    </row>
    <row r="29">
      <c r="A29" t="str">
        <v>[xxxx]</v>
      </c>
      <c r="C29" t="str">
        <v>[insert reason for NA]</v>
      </c>
    </row>
    <row r="30">
      <c r="A30" t="str">
        <v>[xxxx]</v>
      </c>
      <c r="C30" t="str">
        <v>[insert reason for NA]</v>
      </c>
    </row>
    <row r="31">
      <c r="A31" t="str">
        <v>[xxxx]</v>
      </c>
      <c r="C31" t="str">
        <v>[insert reason for NA]</v>
      </c>
    </row>
    <row r="32">
      <c r="A32" t="str">
        <v>[xxxx]</v>
      </c>
      <c r="C32" t="str">
        <v>[insert reason for NA]</v>
      </c>
    </row>
    <row r="33">
      <c r="A33" t="str">
        <v>[xxxx]</v>
      </c>
      <c r="C33" t="str">
        <v>[insert reason for NA]</v>
      </c>
    </row>
    <row r="34">
      <c r="A34" t="str">
        <v>[xxxx]</v>
      </c>
      <c r="C34" t="str">
        <v>[insert reason for NA]</v>
      </c>
    </row>
    <row r="35">
      <c r="A35" t="str">
        <v>[xxxx]</v>
      </c>
      <c r="C35" t="str">
        <v>[insert reason for NA]</v>
      </c>
    </row>
    <row r="36">
      <c r="A36" t="str">
        <v>[xxxx]</v>
      </c>
      <c r="C36" t="str">
        <v>[insert reason for NA]</v>
      </c>
    </row>
    <row r="37">
      <c r="A37" t="str">
        <v>[xxxx]</v>
      </c>
      <c r="C37" t="str">
        <v>[insert reason for NA]</v>
      </c>
    </row>
    <row r="38">
      <c r="A38" t="str">
        <v>[xxxx]</v>
      </c>
      <c r="C38" t="str">
        <v>[insert reason for NA]</v>
      </c>
    </row>
    <row r="39">
      <c r="A39" t="str">
        <v>[xxxx]</v>
      </c>
      <c r="C39" t="str">
        <v>[insert reason for NA]</v>
      </c>
    </row>
    <row r="40">
      <c r="A40" t="str">
        <v>[xxxx]</v>
      </c>
      <c r="C40" t="str">
        <v>[insert reason for NA]</v>
      </c>
    </row>
    <row r="41">
      <c r="A41" t="str">
        <v>[xxxx]</v>
      </c>
      <c r="C41" t="str">
        <v>[insert reason for NA]</v>
      </c>
    </row>
    <row r="42">
      <c r="A42" t="str">
        <v>[xxxx]</v>
      </c>
      <c r="C42" t="str">
        <v>[insert reason for NA]</v>
      </c>
    </row>
    <row r="43">
      <c r="A43" t="str">
        <v>[xxxx]</v>
      </c>
      <c r="C43" t="str">
        <v>[insert reason for NA]</v>
      </c>
    </row>
    <row r="44">
      <c r="A44" t="str">
        <v>[xxxx]</v>
      </c>
      <c r="C44" t="str">
        <v>[insert reason for NA]</v>
      </c>
    </row>
    <row r="45">
      <c r="A45" t="str">
        <v>[xxxx]</v>
      </c>
      <c r="C45" t="str">
        <v>[insert reason for NA]</v>
      </c>
    </row>
    <row r="46">
      <c r="A46" t="str">
        <v>[xxxx]</v>
      </c>
      <c r="C46" t="str">
        <v>[insert reason for NA]</v>
      </c>
    </row>
    <row r="47">
      <c r="A47" t="str">
        <v>[xxxx]</v>
      </c>
      <c r="C47" t="str">
        <v>[insert reason for NA]</v>
      </c>
    </row>
    <row r="48">
      <c r="A48" t="str">
        <v>[xxxx]</v>
      </c>
      <c r="C48" t="str">
        <v>[insert reason for NA]</v>
      </c>
    </row>
    <row r="49">
      <c r="A49" t="str">
        <v>[xxxx]</v>
      </c>
      <c r="C49" t="str">
        <v>[insert reason for NA]</v>
      </c>
    </row>
    <row r="50">
      <c r="A50" t="str">
        <v>[xxxx]</v>
      </c>
      <c r="C50" t="str">
        <v>[insert reason for NA]</v>
      </c>
    </row>
  </sheetData>
  <mergeCells count="41">
    <mergeCell ref="C49:D49"/>
    <mergeCell ref="C50:D50"/>
    <mergeCell ref="C43:D43"/>
    <mergeCell ref="C44:D44"/>
    <mergeCell ref="C45:D45"/>
    <mergeCell ref="C46:D46"/>
    <mergeCell ref="C47:D47"/>
    <mergeCell ref="C48:D48"/>
    <mergeCell ref="A8:D9"/>
    <mergeCell ref="C12:D12"/>
    <mergeCell ref="C13:D13"/>
    <mergeCell ref="C14:D14"/>
    <mergeCell ref="C15:D15"/>
    <mergeCell ref="C16:D16"/>
    <mergeCell ref="C17:D17"/>
    <mergeCell ref="C18:D18"/>
    <mergeCell ref="C19:D19"/>
    <mergeCell ref="C41:D41"/>
    <mergeCell ref="C20:D20"/>
    <mergeCell ref="C21:D21"/>
    <mergeCell ref="C30:D30"/>
    <mergeCell ref="C31:D31"/>
    <mergeCell ref="C32:D32"/>
    <mergeCell ref="C33:D33"/>
    <mergeCell ref="C39:D39"/>
    <mergeCell ref="C42:D42"/>
    <mergeCell ref="B11:E11"/>
    <mergeCell ref="C24:D24"/>
    <mergeCell ref="C25:D25"/>
    <mergeCell ref="C26:D26"/>
    <mergeCell ref="C27:D27"/>
    <mergeCell ref="C28:D28"/>
    <mergeCell ref="C29:D29"/>
    <mergeCell ref="C23:D23"/>
    <mergeCell ref="C22:D22"/>
    <mergeCell ref="C40:D40"/>
    <mergeCell ref="C34:D34"/>
    <mergeCell ref="C35:D35"/>
    <mergeCell ref="C36:D36"/>
    <mergeCell ref="C37:D37"/>
    <mergeCell ref="C38:D38"/>
  </mergeCells>
  <pageMargins left="0.7874015748031497" right="0.5511811023622047" top="0.5118110236220472" bottom="0.7480314960629921" header="0.31496062992125984" footer="0.31496062992125984"/>
  <ignoredErrors>
    <ignoredError numberStoredAsText="1" sqref="A1:I54"/>
  </ignoredErrors>
</worksheet>
</file>

<file path=xl/worksheets/sheet11.xml><?xml version="1.0" encoding="utf-8"?>
<worksheet xmlns="http://schemas.openxmlformats.org/spreadsheetml/2006/main" xmlns:r="http://schemas.openxmlformats.org/officeDocument/2006/relationships">
  <dimension ref="A1:K51"/>
  <sheetViews>
    <sheetView workbookViewId="0"/>
  </sheetViews>
  <sheetData>
    <row r="1">
      <c r="I1" t="str">
        <v>NB v1.2_20200504</v>
      </c>
    </row>
    <row r="2">
      <c r="G2" t="str">
        <f>'Project Summary'!C6</f>
        <v>2123-123XX(x)</v>
      </c>
    </row>
    <row r="3">
      <c r="G3" t="str">
        <f>"BEAM Plus " &amp; 'Project Summary'!C9 &amp; " Report For"</f>
        <v>BEAM Plus Provisional Assessment Report For</v>
      </c>
    </row>
    <row r="4">
      <c r="A4" t="str">
        <v>Appendix C - Contested Credit</v>
      </c>
      <c r="G4" t="str">
        <f>'Project Summary'!C7</f>
        <v>ABC Residential Development</v>
      </c>
    </row>
    <row r="5">
      <c r="J5" t="str">
        <v>Credit</v>
      </c>
      <c r="K5" t="str">
        <v>No. of Contested</v>
      </c>
    </row>
    <row r="6">
      <c r="A6" t="str">
        <v>APPENDIX C - Schedule of Contested Credits</v>
      </c>
      <c r="J6" t="str">
        <v>SA</v>
      </c>
      <c r="K6">
        <f>COUNTIF('SA Comment'!G8:G128,0)</f>
        <v>3</v>
      </c>
    </row>
    <row r="7">
      <c r="J7" t="str">
        <v>MA</v>
      </c>
      <c r="K7">
        <f>COUNTIF('MA Comment'!G8:G117,0)</f>
        <v>0</v>
      </c>
    </row>
    <row r="8">
      <c r="A8" t="str">
        <v>The following table summary indicates credits where the Assessor has disagreed with the Applicant’s claim:</v>
      </c>
      <c r="J8" t="str">
        <v>EU</v>
      </c>
      <c r="K8">
        <f>COUNTIF('EU Comment'!S10:S218,0)</f>
        <v>3</v>
      </c>
    </row>
    <row r="9">
      <c r="J9" t="str">
        <v>WU</v>
      </c>
      <c r="K9">
        <f>COUNTIF('WU Comment'!G8:G60,0)</f>
        <v>0</v>
      </c>
    </row>
    <row r="10">
      <c r="J10" t="str">
        <v>IEQ</v>
      </c>
      <c r="K10">
        <f>COUNTIF('IEQ Comment'!S10:S265,0)</f>
        <v>0</v>
      </c>
    </row>
    <row r="11">
      <c r="A11" t="str">
        <v>Credit</v>
      </c>
      <c r="C11" t="str">
        <v>Applicant Claimed</v>
      </c>
      <c r="F11" t="str">
        <v>BAS Comment</v>
      </c>
    </row>
    <row r="12">
      <c r="A12" t="str">
        <v xml:space="preserve">SA 3c </v>
      </c>
      <c r="C12" t="str">
        <v>[insert Applicants opinion/ comment]</v>
      </c>
      <c r="F12" t="str">
        <v>no undertaking letter is submitted to demonstrate the claimed 5 basic services within the site will be in operation no later than one year after the OP obtained and open to public. Thus, the credit is not given</v>
      </c>
    </row>
    <row r="13" xml:space="preserve">
      <c r="A13" t="str">
        <v xml:space="preserve">SA 8b(ii) </v>
      </c>
      <c r="C13" t="str">
        <v>[insert Applicants opinion/ comment]</v>
      </c>
      <c r="F13" t="str" xml:space="preserve">
        <v xml:space="preserve">some of the counted high SRI roof area is actually covered by other material, such as gondola track, plinth, dog house, fall arrest system, etc._x000d_
_x000d_
2. unreasonable to consider whole 355.19sqm roof area with E&amp;M equipment without any maintenance area.</v>
      </c>
    </row>
    <row r="14" xml:space="preserve">
      <c r="A14" t="str">
        <v xml:space="preserve">SA 14 </v>
      </c>
      <c r="C14" t="str">
        <v>[insert Applicants opinion/ comment]</v>
      </c>
      <c r="F14" t="str" xml:space="preserve">
        <v xml:space="preserve">No information on the location of the Noise Sensitive Receiver(s) [NSR(s)], (b) the location of the identified major fixed noise sources and (c) the shortest distances between the NSRs and those fixed noise sources. _x000d_
the applicant has applied window effect (-10 db) without justification.</v>
      </c>
    </row>
    <row r="15">
      <c r="A15" t="str">
        <v>EU 5</v>
      </c>
      <c r="C15" t="str">
        <v>[insert Applicants opinion/ comment]</v>
      </c>
      <c r="F15" t="str">
        <v>it is noted that the submitted input power for simulation does not match with the input power at the calculation template. Thus, the credit is not given.</v>
      </c>
    </row>
    <row r="16">
      <c r="A16" t="str">
        <v>EU 6</v>
      </c>
      <c r="C16" t="str">
        <v>[insert Applicants opinion/ comment]</v>
      </c>
      <c r="F16" t="str">
        <v>However, refers to the catalogue it is noted that the input rated power is around 10% more than the submitted catalogue. If the PV generation reduce 10%, the saving is less than 0.5% of Building Energy Consumption</v>
      </c>
    </row>
    <row r="17">
      <c r="A17" t="str">
        <v>EU 13</v>
      </c>
      <c r="C17" t="str">
        <v>[insert Applicants opinion/ comment]</v>
      </c>
      <c r="F17" t="str">
        <v>However, in general the saving is relative small ranging from 0.01% to 0.05%. Also, for 1st item, 180 deg is more effective than current design. And for 2nd item, the staircase design only adopt at JUB Building, but not at North Building. Thus, the credit is not given.</v>
      </c>
    </row>
    <row r="18">
      <c r="A18" t="str">
        <v>[xxxx]</v>
      </c>
      <c r="C18" t="str">
        <v>[insert Applicants opinion/ comment]</v>
      </c>
      <c r="F18" t="str">
        <v>[insert your comment]</v>
      </c>
    </row>
    <row r="19">
      <c r="A19" t="str">
        <v>[xxxx]</v>
      </c>
      <c r="C19" t="str">
        <v>[insert Applicants opinion/ comment]</v>
      </c>
      <c r="F19" t="str">
        <v>[insert your comment]</v>
      </c>
    </row>
    <row r="20">
      <c r="A20" t="str">
        <v>[xxxx]</v>
      </c>
      <c r="C20" t="str">
        <v>[insert Applicants opinion/ comment]</v>
      </c>
      <c r="F20" t="str">
        <v>[insert your comment]</v>
      </c>
    </row>
    <row r="21">
      <c r="A21" t="str">
        <v>[xxxx]</v>
      </c>
      <c r="C21" t="str">
        <v>[insert Applicants opinion/ comment]</v>
      </c>
      <c r="F21" t="str">
        <v>[insert your comment]</v>
      </c>
    </row>
    <row r="22">
      <c r="A22" t="str">
        <v>[xxxx]</v>
      </c>
      <c r="C22" t="str">
        <v>[insert Applicants opinion/ comment]</v>
      </c>
      <c r="F22" t="str">
        <v>[insert your comment]</v>
      </c>
    </row>
    <row r="23">
      <c r="A23" t="str">
        <v>[xxxx]</v>
      </c>
      <c r="C23" t="str">
        <v>[insert Applicants opinion/ comment]</v>
      </c>
      <c r="F23" t="str">
        <v>[insert your comment]</v>
      </c>
    </row>
    <row r="24">
      <c r="A24" t="str">
        <v>[xxxx]</v>
      </c>
      <c r="C24" t="str">
        <v>[insert Applicants opinion/ comment]</v>
      </c>
      <c r="F24" t="str">
        <v>[insert your comment]</v>
      </c>
    </row>
    <row r="25">
      <c r="A25" t="str">
        <v>[xxxx]</v>
      </c>
      <c r="C25" t="str">
        <v>[insert Applicants opinion/ comment]</v>
      </c>
      <c r="F25" t="str">
        <v>[insert your comment]</v>
      </c>
    </row>
    <row r="26">
      <c r="A26" t="str">
        <v>[xxxx]</v>
      </c>
      <c r="C26" t="str">
        <v>[insert Applicants opinion/ comment]</v>
      </c>
      <c r="F26" t="str">
        <v>[insert your comment]</v>
      </c>
    </row>
    <row r="27">
      <c r="A27" t="str">
        <v>[xxxx]</v>
      </c>
      <c r="C27" t="str">
        <v>[insert Applicants opinion/ comment]</v>
      </c>
      <c r="F27" t="str">
        <v>[insert your comment]</v>
      </c>
    </row>
    <row r="28">
      <c r="A28" t="str">
        <v>[xxxx]</v>
      </c>
      <c r="C28" t="str">
        <v>[insert Applicants opinion/ comment]</v>
      </c>
      <c r="F28" t="str">
        <v>[insert your comment]</v>
      </c>
    </row>
    <row r="29">
      <c r="A29" t="str">
        <v>[xxxx]</v>
      </c>
      <c r="C29" t="str">
        <v>[insert Applicants opinion/ comment]</v>
      </c>
      <c r="F29" t="str">
        <v>[insert your comment]</v>
      </c>
    </row>
    <row r="30">
      <c r="A30" t="str">
        <v>[xxxx]</v>
      </c>
      <c r="C30" t="str">
        <v>[insert Applicants opinion/ comment]</v>
      </c>
      <c r="F30" t="str">
        <v>[insert your comment]</v>
      </c>
    </row>
    <row r="31">
      <c r="A31" t="str">
        <v>[xxxx]</v>
      </c>
      <c r="C31" t="str">
        <v>[insert Applicants opinion/ comment]</v>
      </c>
      <c r="F31" t="str">
        <v>[insert your comment]</v>
      </c>
    </row>
    <row r="32">
      <c r="A32" t="str">
        <v>[xxxx]</v>
      </c>
      <c r="C32" t="str">
        <v>[insert Applicants opinion/ comment]</v>
      </c>
      <c r="F32" t="str">
        <v>[insert your comment]</v>
      </c>
    </row>
    <row r="33">
      <c r="A33" t="str">
        <v>[xxxx]</v>
      </c>
      <c r="C33" t="str">
        <v>[insert Applicants opinion/ comment]</v>
      </c>
      <c r="F33" t="str">
        <v>[insert your comment]</v>
      </c>
    </row>
    <row r="34">
      <c r="A34" t="str">
        <v>[xxxx]</v>
      </c>
      <c r="C34" t="str">
        <v>[insert Applicants opinion/ comment]</v>
      </c>
      <c r="F34" t="str">
        <v>[insert your comment]</v>
      </c>
    </row>
    <row r="35">
      <c r="A35" t="str">
        <v>[xxxx]</v>
      </c>
      <c r="C35" t="str">
        <v>[insert Applicants opinion/ comment]</v>
      </c>
      <c r="F35" t="str">
        <v>[insert your comment]</v>
      </c>
    </row>
    <row r="36">
      <c r="A36" t="str">
        <v>[xxxx]</v>
      </c>
      <c r="C36" t="str">
        <v>[insert Applicants opinion/ comment]</v>
      </c>
      <c r="F36" t="str">
        <v>[insert your comment]</v>
      </c>
    </row>
    <row r="37">
      <c r="A37" t="str">
        <v>[xxxx]</v>
      </c>
      <c r="C37" t="str">
        <v>[insert Applicants opinion/ comment]</v>
      </c>
      <c r="F37" t="str">
        <v>[insert your comment]</v>
      </c>
    </row>
    <row r="38">
      <c r="A38" t="str">
        <v>[xxxx]</v>
      </c>
      <c r="C38" t="str">
        <v>[insert Applicants opinion/ comment]</v>
      </c>
      <c r="F38" t="str">
        <v>[insert your comment]</v>
      </c>
    </row>
    <row r="39">
      <c r="A39" t="str">
        <v>[xxxx]</v>
      </c>
      <c r="C39" t="str">
        <v>[insert Applicants opinion/ comment]</v>
      </c>
      <c r="F39" t="str">
        <v>[insert your comment]</v>
      </c>
    </row>
    <row r="40">
      <c r="A40" t="str">
        <v>[xxxx]</v>
      </c>
      <c r="C40" t="str">
        <v>[insert Applicants opinion/ comment]</v>
      </c>
      <c r="F40" t="str">
        <v>[insert your comment]</v>
      </c>
    </row>
    <row r="41">
      <c r="A41" t="str">
        <v>[xxxx]</v>
      </c>
      <c r="C41" t="str">
        <v>[insert Applicants opinion/ comment]</v>
      </c>
      <c r="F41" t="str">
        <v>[insert your comment]</v>
      </c>
    </row>
    <row r="42">
      <c r="A42" t="str">
        <v>[xxxx]</v>
      </c>
      <c r="C42" t="str">
        <v>[insert Applicants opinion/ comment]</v>
      </c>
      <c r="F42" t="str">
        <v>[insert your comment]</v>
      </c>
    </row>
    <row r="43">
      <c r="A43" t="str">
        <v>[xxxx]</v>
      </c>
      <c r="C43" t="str">
        <v>[insert Applicants opinion/ comment]</v>
      </c>
      <c r="F43" t="str">
        <v>[insert your comment]</v>
      </c>
    </row>
    <row r="44">
      <c r="A44" t="str">
        <v>[xxxx]</v>
      </c>
      <c r="C44" t="str">
        <v>[insert Applicants opinion/ comment]</v>
      </c>
      <c r="F44" t="str">
        <v>[insert your comment]</v>
      </c>
    </row>
    <row r="45">
      <c r="A45" t="str">
        <v>[xxxx]</v>
      </c>
      <c r="C45" t="str">
        <v>[insert Applicants opinion/ comment]</v>
      </c>
      <c r="F45" t="str">
        <v>[insert your comment]</v>
      </c>
    </row>
    <row r="46">
      <c r="A46" t="str">
        <v>[xxxx]</v>
      </c>
      <c r="C46" t="str">
        <v>[insert Applicants opinion/ comment]</v>
      </c>
      <c r="F46" t="str">
        <v>[insert your comment]</v>
      </c>
    </row>
    <row r="47">
      <c r="A47" t="str">
        <v>[xxxx]</v>
      </c>
      <c r="C47" t="str">
        <v>[insert Applicants opinion/ comment]</v>
      </c>
      <c r="F47" t="str">
        <v>[insert your comment]</v>
      </c>
    </row>
    <row r="48">
      <c r="A48" t="str">
        <v>[xxxx]</v>
      </c>
      <c r="C48" t="str">
        <v>[insert Applicants opinion/ comment]</v>
      </c>
      <c r="F48" t="str">
        <v>[insert your comment]</v>
      </c>
    </row>
    <row r="49">
      <c r="A49" t="str">
        <v>[xxxx]</v>
      </c>
      <c r="C49" t="str">
        <v>[insert Applicants opinion/ comment]</v>
      </c>
      <c r="F49" t="str">
        <v>[insert your comment]</v>
      </c>
    </row>
    <row r="50">
      <c r="A50" t="str">
        <v>[xxxx]</v>
      </c>
      <c r="C50" t="str">
        <v>[insert Applicants opinion/ comment]</v>
      </c>
      <c r="F50" t="str">
        <v>[insert your comment]</v>
      </c>
    </row>
  </sheetData>
  <mergeCells count="1">
    <mergeCell ref="A8:F9"/>
  </mergeCells>
  <pageMargins left="0.7874015748031497" right="0.5511811023622047" top="0.5118110236220472" bottom="0.7480314960629921" header="0.31496062992125984" footer="0.31496062992125984"/>
  <ignoredErrors>
    <ignoredError numberStoredAsText="1" sqref="A1:K51"/>
  </ignoredErrors>
</worksheet>
</file>

<file path=xl/worksheets/sheet12.xml><?xml version="1.0" encoding="utf-8"?>
<worksheet xmlns="http://schemas.openxmlformats.org/spreadsheetml/2006/main" xmlns:r="http://schemas.openxmlformats.org/officeDocument/2006/relationships">
  <dimension ref="A1:X38"/>
  <sheetViews>
    <sheetView workbookViewId="0"/>
  </sheetViews>
  <sheetData>
    <row r="1">
      <c r="A1" t="str">
        <v>BEAM Plus Scoring Spreadsheet</v>
      </c>
    </row>
    <row r="2">
      <c r="A2" t="str">
        <v>v1.4.5</v>
      </c>
    </row>
    <row r="3">
      <c r="A3" t="str">
        <v>Result</v>
      </c>
    </row>
    <row r="4">
      <c r="Q4" t="str">
        <v>Table to calculate project rating</v>
      </c>
    </row>
    <row r="5">
      <c r="A5" t="str">
        <v>Category</v>
      </c>
      <c r="B5" t="str">
        <v>Applicable Credits</v>
      </c>
      <c r="C5" t="str">
        <v>Achieved Credit(AP)</v>
      </c>
      <c r="D5" t="str">
        <v>Not achieved Credit</v>
      </c>
      <c r="E5" t="str">
        <v>% of Achieved Credit</v>
      </c>
      <c r="F5" t="str">
        <v>Category Weight Factor</v>
      </c>
      <c r="G5" t="str">
        <v>Weighted Achieved Score</v>
      </c>
      <c r="H5" t="str">
        <v>Achieved Sub-Rating</v>
      </c>
      <c r="J5" t="str">
        <f>IF('EU Comment'!V2&lt;&gt;'IEQ Comment'!V2,"Please ensure the area in EU and IEQ are the same.","-")</f>
        <v>-</v>
      </c>
      <c r="S5" t="str">
        <v>Overall</v>
      </c>
      <c r="T5" t="str">
        <v>SA</v>
      </c>
      <c r="U5" t="str">
        <v>EU</v>
      </c>
      <c r="V5" t="str">
        <v>IEQ</v>
      </c>
      <c r="W5" t="str">
        <v>IA</v>
      </c>
    </row>
    <row r="6">
      <c r="A6" t="str">
        <v>Site Aspects</v>
      </c>
      <c r="B6">
        <f>'SA Comment'!E129</f>
        <v>21</v>
      </c>
      <c r="C6">
        <f>'SA Comment'!E130</f>
        <v>13</v>
      </c>
      <c r="D6">
        <f>IF((B6-C6)&gt;0,(B6-C6), 0)</f>
        <v>8</v>
      </c>
      <c r="E6">
        <f>IF(B6&gt;0,IF(C6&gt;0,(C6/B6),"n/a"),"n/a")</f>
        <v>0.6190476190476191</v>
      </c>
      <c r="F6">
        <v>0.25</v>
      </c>
      <c r="G6">
        <f>IF(E6&lt;&gt;"n/a",ROUND(E6*F6*100,1),"n/a")</f>
        <v>15.5</v>
      </c>
      <c r="H6" t="str">
        <f>IF(S15="YES",R30,"Cannot be Assessed")</f>
        <v>Gold</v>
      </c>
      <c r="Q6">
        <v>5</v>
      </c>
      <c r="R6" t="str">
        <v>Platinum</v>
      </c>
      <c r="S6">
        <v>75</v>
      </c>
      <c r="T6">
        <v>70</v>
      </c>
      <c r="U6">
        <v>70</v>
      </c>
      <c r="V6">
        <v>70</v>
      </c>
      <c r="W6">
        <v>3</v>
      </c>
      <c r="X6" t="str">
        <v>(Excellent)</v>
      </c>
    </row>
    <row r="7">
      <c r="A7" t="str">
        <v>Materials Aspects</v>
      </c>
      <c r="B7">
        <f>'MA Comment'!E118</f>
        <v>0</v>
      </c>
      <c r="C7">
        <f>'MA Comment'!E119</f>
        <v>0</v>
      </c>
      <c r="D7">
        <f>IF((B7-C7)&gt;0,(B7-C7), 0)</f>
        <v>0</v>
      </c>
      <c r="E7" t="str">
        <f>IF(B7&gt;0,IF(C7&gt;0,(C7/B7),"n/a"),"n/a")</f>
        <v>n/a</v>
      </c>
      <c r="F7">
        <v>0.08</v>
      </c>
      <c r="G7" t="str">
        <f>IF(E7&lt;&gt;"n/a",ROUND(E7*F7*100,1),"n/a")</f>
        <v>n/a</v>
      </c>
      <c r="H7" t="str">
        <f>IF(AND(S16="Yes",S17="Yes",S18="Yes",S19="Yes"),"","Cannot be Assessed")</f>
        <v>Cannot be Assessed</v>
      </c>
      <c r="Q7">
        <v>4</v>
      </c>
      <c r="R7" t="str">
        <v>Gold</v>
      </c>
      <c r="S7">
        <v>65</v>
      </c>
      <c r="T7">
        <v>60</v>
      </c>
      <c r="U7">
        <v>60</v>
      </c>
      <c r="V7">
        <v>60</v>
      </c>
      <c r="W7">
        <v>2</v>
      </c>
      <c r="X7" t="str">
        <v>(Very Good)</v>
      </c>
    </row>
    <row r="8">
      <c r="A8" t="str">
        <v>Energy Use</v>
      </c>
      <c r="B8" t="e">
        <f>EU_Chart!G15</f>
        <v>#DIV/0!</v>
      </c>
      <c r="C8" t="e">
        <f>EU_Chart!H15</f>
        <v>#DIV/0!</v>
      </c>
      <c r="D8" t="e">
        <f>IF((B8-C8)&gt;0,(B8-C8), 0)</f>
        <v>#DIV/0!</v>
      </c>
      <c r="E8" t="e">
        <f>IF(B8&gt;0,IF(C8&gt;0,(C8/B8),"n/a"),"n/a")</f>
        <v>#DIV/0!</v>
      </c>
      <c r="F8">
        <v>0.35</v>
      </c>
      <c r="G8" t="e">
        <f>IF(E8&lt;&gt;"n/a",ROUND(E8*F8*100,1),"n/a")</f>
        <v>#DIV/0!</v>
      </c>
      <c r="H8" t="e">
        <f>IF(S20="Yes",R32,"Cannot be Assessed")</f>
        <v>#DIV/0!</v>
      </c>
      <c r="Q8">
        <v>3</v>
      </c>
      <c r="R8" t="str">
        <v>Silver</v>
      </c>
      <c r="S8">
        <v>55</v>
      </c>
      <c r="T8">
        <v>50</v>
      </c>
      <c r="U8">
        <v>50</v>
      </c>
      <c r="V8">
        <v>50</v>
      </c>
      <c r="W8">
        <v>1</v>
      </c>
      <c r="X8" t="str">
        <v>(Good)</v>
      </c>
    </row>
    <row r="9">
      <c r="A9" t="str">
        <v>Water Use</v>
      </c>
      <c r="B9">
        <f>'WU Comment'!E61</f>
        <v>7</v>
      </c>
      <c r="C9">
        <f>'WU Comment'!E62</f>
        <v>5</v>
      </c>
      <c r="D9">
        <f>IF((B9-C9)&gt;0,(B9-C9), 0)</f>
        <v>2</v>
      </c>
      <c r="E9">
        <f>IF(B9&gt;0,IF(C9&gt;0,(C9/B9),"n/a"),"n/a")</f>
        <v>0.7142857142857143</v>
      </c>
      <c r="F9">
        <v>0.12</v>
      </c>
      <c r="G9">
        <f>IF(E9&lt;&gt;"n/a",ROUND(E9*F9*100,1),"n/a")</f>
        <v>8.6</v>
      </c>
      <c r="H9" t="str">
        <f>IF(AND(S21="Yes",S22="Yes"),"","Cannot be Assessed")</f>
        <v/>
      </c>
      <c r="Q9">
        <v>2</v>
      </c>
      <c r="R9" t="str">
        <v>Bronze</v>
      </c>
      <c r="S9">
        <v>40</v>
      </c>
      <c r="T9">
        <v>40</v>
      </c>
      <c r="U9">
        <v>40</v>
      </c>
      <c r="V9">
        <v>40</v>
      </c>
      <c r="X9" t="str">
        <v>(Average)</v>
      </c>
    </row>
    <row r="10">
      <c r="A10" t="str">
        <v>Indoor Environmental Quality</v>
      </c>
      <c r="B10" t="e">
        <f>IEQ_Chart!G15</f>
        <v>#DIV/0!</v>
      </c>
      <c r="C10" t="e">
        <f>IEQ_Chart!H15</f>
        <v>#DIV/0!</v>
      </c>
      <c r="D10" t="e">
        <f>IF((B10-C10)&gt;0,(B10-C10), 0)</f>
        <v>#DIV/0!</v>
      </c>
      <c r="E10" t="e">
        <f>IF(B10&gt;0,IF(C10&gt;0,(C10/B10),"n/a"),"n/a")</f>
        <v>#DIV/0!</v>
      </c>
      <c r="F10">
        <v>0.2</v>
      </c>
      <c r="G10" t="e">
        <f>IF(E10&lt;&gt;"n/a",ROUND(E10*F10*100,1),"n/a")</f>
        <v>#DIV/0!</v>
      </c>
      <c r="H10" t="str">
        <f>IF(S23="Yes",R34,"Cannot be Assessed")</f>
        <v>Cannot be Assessed</v>
      </c>
      <c r="Q10">
        <v>1</v>
      </c>
      <c r="R10" t="str">
        <v>Unclassified</v>
      </c>
    </row>
    <row r="11">
      <c r="A11" t="str">
        <v>Innovations and Additions</v>
      </c>
      <c r="B11" t="str">
        <v>1 + 5 Bonus</v>
      </c>
      <c r="C11">
        <f>'IA Comment'!E66</f>
        <v>3</v>
      </c>
      <c r="D11" t="str">
        <v>--</v>
      </c>
      <c r="E11" t="str">
        <v xml:space="preserve"> </v>
      </c>
      <c r="F11">
        <v>1</v>
      </c>
      <c r="G11">
        <f>C11</f>
        <v>3</v>
      </c>
      <c r="H11" t="str">
        <f>VLOOKUP(S35,$Q$6:$R$11,2,FALSE)</f>
        <v>Platinum</v>
      </c>
      <c r="Q11">
        <v>0</v>
      </c>
      <c r="R11" t="str">
        <v>Cannot be Assessed</v>
      </c>
    </row>
    <row r="12">
      <c r="A12" t="str">
        <v>*  All BONUS credits shall ONLY be counted in Innovation section</v>
      </c>
      <c r="F12" t="str">
        <v>Overall Performance</v>
      </c>
      <c r="G12" t="e">
        <f>SUM(G6:G11)</f>
        <v>#DIV/0!</v>
      </c>
      <c r="H12" t="e">
        <f>VLOOKUP(S38,$Q$6:$R$11,2,FALSE)</f>
        <v>#DIV/0!</v>
      </c>
    </row>
    <row r="13">
      <c r="A13" t="str">
        <v xml:space="preserve"> </v>
      </c>
      <c r="F13" t="str">
        <v xml:space="preserve"> </v>
      </c>
      <c r="R13" t="str">
        <v>Table to determine if all prerequisite have be met</v>
      </c>
    </row>
    <row r="14">
      <c r="R14" t="str">
        <v>Prerequisite</v>
      </c>
      <c r="S14" t="str">
        <v>Compliance (Yes/No)</v>
      </c>
    </row>
    <row r="15">
      <c r="A15" t="str">
        <v>Graph</v>
      </c>
      <c r="R15" t="str">
        <v>SA P1</v>
      </c>
      <c r="S15" t="str">
        <f>IF(OR('SA Comment'!G8="PR",'SA Comment'!G8="NA"),"Yes","No")</f>
        <v>Yes</v>
      </c>
    </row>
    <row r="16">
      <c r="A16" t="str">
        <v xml:space="preserve"> </v>
      </c>
      <c r="B16">
        <v>0</v>
      </c>
      <c r="C16">
        <v>2</v>
      </c>
      <c r="R16" t="str">
        <v>MA P1</v>
      </c>
      <c r="S16" t="str">
        <f>IF(OR('MA Comment'!G8="PR",'MA Comment'!G8="NA"),"Yes","No")</f>
        <v>No</v>
      </c>
    </row>
    <row r="17">
      <c r="A17" t="str">
        <v>Table for use in plotting the horizontal line in Fig 3., Fig 4., Fig 6. &amp; Fig 8.</v>
      </c>
      <c r="R17" t="str">
        <v>MA P2</v>
      </c>
      <c r="S17" t="str">
        <f>IF(OR('MA Comment'!G13="PR",'MA Comment'!G13="NA"),"Yes","No")</f>
        <v>No</v>
      </c>
    </row>
    <row r="18">
      <c r="B18" t="str">
        <v>Overall</v>
      </c>
      <c r="C18" t="str">
        <v>Overall</v>
      </c>
      <c r="D18" t="str">
        <v>SA</v>
      </c>
      <c r="E18" t="str">
        <v>SA</v>
      </c>
      <c r="F18" t="str">
        <v>EU</v>
      </c>
      <c r="G18" t="str">
        <v>EU</v>
      </c>
      <c r="H18" t="str">
        <v>IEQ</v>
      </c>
      <c r="I18" t="str">
        <v>IEQ</v>
      </c>
      <c r="J18" t="str">
        <v>WU</v>
      </c>
      <c r="K18" t="str">
        <v>WU</v>
      </c>
      <c r="L18" t="str">
        <v>MA</v>
      </c>
      <c r="M18" t="str">
        <v>MA</v>
      </c>
      <c r="R18" t="str">
        <v>MA P3</v>
      </c>
      <c r="S18" t="str">
        <f>IF(OR('MA Comment'!G18="PR",'MA Comment'!G18="NA"),"Yes","No")</f>
        <v>No</v>
      </c>
    </row>
    <row r="19">
      <c r="A19" t="str">
        <v>Bronze</v>
      </c>
      <c r="B19">
        <v>40</v>
      </c>
      <c r="C19">
        <f>B19</f>
        <v>40</v>
      </c>
      <c r="D19">
        <f>B6*0.4</f>
        <v>8.4</v>
      </c>
      <c r="E19">
        <f>D19</f>
        <v>8.4</v>
      </c>
      <c r="F19" t="e">
        <f>B8*0.4</f>
        <v>#DIV/0!</v>
      </c>
      <c r="G19" t="e">
        <f>F19</f>
        <v>#DIV/0!</v>
      </c>
      <c r="H19" t="e">
        <f>B10*0.4</f>
        <v>#DIV/0!</v>
      </c>
      <c r="I19" t="e">
        <f>H19</f>
        <v>#DIV/0!</v>
      </c>
      <c r="J19">
        <f>B9*0.4</f>
        <v>2.8000000000000003</v>
      </c>
      <c r="K19">
        <f>J19</f>
        <v>2.8000000000000003</v>
      </c>
      <c r="L19">
        <f>B7*0.4</f>
        <v>0</v>
      </c>
      <c r="M19">
        <f>L19</f>
        <v>0</v>
      </c>
      <c r="R19" t="str">
        <v>MA P4</v>
      </c>
      <c r="S19" t="str">
        <f>IF(OR('MA Comment'!G23="PR",'MA Comment'!G23="NA"),"Yes","No")</f>
        <v>No</v>
      </c>
    </row>
    <row r="20">
      <c r="A20" t="str">
        <v>Silver</v>
      </c>
      <c r="B20">
        <v>55</v>
      </c>
      <c r="C20">
        <f>B20</f>
        <v>55</v>
      </c>
      <c r="D20">
        <f>B6*0.5</f>
        <v>10.5</v>
      </c>
      <c r="E20">
        <f>D20</f>
        <v>10.5</v>
      </c>
      <c r="F20" t="e">
        <f>B8*0.5</f>
        <v>#DIV/0!</v>
      </c>
      <c r="G20" t="e">
        <f>F20</f>
        <v>#DIV/0!</v>
      </c>
      <c r="H20" t="e">
        <f>B10*0.5</f>
        <v>#DIV/0!</v>
      </c>
      <c r="I20" t="e">
        <f>H20</f>
        <v>#DIV/0!</v>
      </c>
      <c r="J20">
        <f>B9*0.5</f>
        <v>3.5</v>
      </c>
      <c r="K20">
        <f>J20</f>
        <v>3.5</v>
      </c>
      <c r="L20">
        <f>B7*0.5</f>
        <v>0</v>
      </c>
      <c r="M20">
        <f>L20</f>
        <v>0</v>
      </c>
      <c r="R20" t="str">
        <v>EU P1</v>
      </c>
      <c r="S20" t="str">
        <f>IF(OR('EU Comment'!M10="PR",'EU Comment'!M10="NA"),"Yes","No")</f>
        <v>Yes</v>
      </c>
    </row>
    <row r="21">
      <c r="A21" t="str">
        <v>Gold</v>
      </c>
      <c r="B21">
        <v>65</v>
      </c>
      <c r="C21">
        <f>B21</f>
        <v>65</v>
      </c>
      <c r="D21">
        <f>B6*0.6</f>
        <v>12.6</v>
      </c>
      <c r="E21">
        <f>D21</f>
        <v>12.6</v>
      </c>
      <c r="F21" t="e">
        <f>B8*0.6</f>
        <v>#DIV/0!</v>
      </c>
      <c r="G21" t="e">
        <f>F21</f>
        <v>#DIV/0!</v>
      </c>
      <c r="H21" t="e">
        <f>B10*0.6</f>
        <v>#DIV/0!</v>
      </c>
      <c r="I21" t="e">
        <f>H21</f>
        <v>#DIV/0!</v>
      </c>
      <c r="J21">
        <f>B9*0.6</f>
        <v>4.2</v>
      </c>
      <c r="K21">
        <f>J21</f>
        <v>4.2</v>
      </c>
      <c r="L21">
        <f>B7*0.6</f>
        <v>0</v>
      </c>
      <c r="M21">
        <f>L21</f>
        <v>0</v>
      </c>
      <c r="R21" t="str">
        <v>WU P1</v>
      </c>
      <c r="S21" t="str">
        <f>IF(OR('WU Comment'!G8="PR",'WU Comment'!G8="NA"),"Yes","No")</f>
        <v>Yes</v>
      </c>
    </row>
    <row r="22">
      <c r="A22" t="str">
        <v>Platinum</v>
      </c>
      <c r="B22">
        <v>75</v>
      </c>
      <c r="C22">
        <f>B22</f>
        <v>75</v>
      </c>
      <c r="D22">
        <f>B6*0.7</f>
        <v>14.7</v>
      </c>
      <c r="E22">
        <f>D22</f>
        <v>14.7</v>
      </c>
      <c r="F22" t="e">
        <f>B8*0.7</f>
        <v>#DIV/0!</v>
      </c>
      <c r="G22" t="e">
        <f>F22</f>
        <v>#DIV/0!</v>
      </c>
      <c r="H22" t="e">
        <f>B10*0.7</f>
        <v>#DIV/0!</v>
      </c>
      <c r="I22" t="e">
        <f>H22</f>
        <v>#DIV/0!</v>
      </c>
      <c r="J22">
        <f>B9*0.7</f>
        <v>4.8999999999999995</v>
      </c>
      <c r="K22">
        <f>J22</f>
        <v>4.8999999999999995</v>
      </c>
      <c r="L22">
        <f>B7*0.7</f>
        <v>0</v>
      </c>
      <c r="M22">
        <f>L22</f>
        <v>0</v>
      </c>
      <c r="R22" t="str">
        <v>WU P2</v>
      </c>
      <c r="S22" t="str">
        <f>IF(OR('WU Comment'!G13="PR",'WU Comment'!G13="NA"),"Yes","No")</f>
        <v>Yes</v>
      </c>
    </row>
    <row r="23">
      <c r="R23" t="str">
        <v>IEQ P1</v>
      </c>
      <c r="S23" t="str">
        <f>IF(OR('IEQ Comment'!M10="PR",'IEQ Comment'!M10="NA"),"Yes","No")</f>
        <v>No</v>
      </c>
    </row>
    <row r="24">
      <c r="R24" t="str">
        <v>All Prerequisite met ?</v>
      </c>
      <c r="S24" t="str">
        <f>IF(AND(S15="Yes",S16="Yes",S17="Yes",S18="Yes",S19="Yes",S20="Yes",S21="Yes",S22="Yes",S23="Yes"),"Yes","No")</f>
        <v>No</v>
      </c>
    </row>
    <row r="25">
      <c r="A25" t="str">
        <f>"Credits Achieved in the " &amp; 'Project Summary'!C9</f>
        <v>Credits Achieved in the Provisional Assessment</v>
      </c>
    </row>
    <row r="29">
      <c r="Q29" t="str">
        <v>Table to determine if minimum % achieved for the aspects</v>
      </c>
    </row>
    <row r="30">
      <c r="Q30" t="str">
        <v>SA</v>
      </c>
      <c r="R30" t="str">
        <f>IF(E6="n/a","n/a",IF(E6&gt;=0.7,"Platinum",IF(E6&gt;=0.6,"Gold",IF(E6&gt;=0.5,"Silver",IF(E6&gt;=0.4,"Bronze","Unclassified")))))</f>
        <v>Gold</v>
      </c>
      <c r="S30">
        <f>IF(R30="Platinum",5,IF(R30="Gold",4,IF(R30="Silver",3,IF(R30="Bronze",2,1))))</f>
        <v>4</v>
      </c>
    </row>
    <row r="31">
      <c r="Q31" t="str">
        <v>MA</v>
      </c>
    </row>
    <row r="32">
      <c r="Q32" t="str">
        <v>EU</v>
      </c>
      <c r="R32" t="e">
        <f>IF(E8="n/a","n/a",IF(E8&gt;=0.7,"Platinum",IF(E8&gt;=0.6,"Gold",IF(E8&gt;=0.5,"Silver",IF(E8&gt;=0.4,"Bronze","Unclassified")))))</f>
        <v>#DIV/0!</v>
      </c>
      <c r="S32" t="e">
        <f>IF(R32="Platinum",5,IF(R32="Gold",4,IF(R32="Silver",3,IF(R32="Bronze",2,1))))</f>
        <v>#DIV/0!</v>
      </c>
    </row>
    <row r="33">
      <c r="Q33" t="str">
        <v>WU</v>
      </c>
    </row>
    <row r="34">
      <c r="Q34" t="str">
        <v>IEQ</v>
      </c>
      <c r="R34" t="e">
        <f>IF(E10="n/a","n/a",IF(E10&gt;=0.7,"Platinum",IF(E10&gt;=0.6,"Gold",IF(E10&gt;=0.5,"Silver",IF(E10&gt;=0.4,"Bronze","Unclassified")))))</f>
        <v>#DIV/0!</v>
      </c>
      <c r="S34" t="e">
        <f>IF(R34="Platinum",5,IF(R34="Gold",4,IF(R34="Silver",3,IF(R34="Bronze",2,1))))</f>
        <v>#DIV/0!</v>
      </c>
    </row>
    <row r="35">
      <c r="Q35" t="str">
        <v>IA</v>
      </c>
      <c r="R35" t="str">
        <f>IF(G11="n/a","n/a",IF(G11&gt;=3,"Platinum",IF(G11=2,"Gold",IF(G11=1,"Silver",IF(G11=0,"Bronze","")))))</f>
        <v>Platinum</v>
      </c>
      <c r="S35">
        <f>IF(R35="Platinum",5,IF(R35="Gold",4,IF(R35="Silver",3,IF(R35="Bronze",2,1))))</f>
        <v>5</v>
      </c>
    </row>
    <row r="36">
      <c r="Q36" t="str">
        <v>Overall Scores</v>
      </c>
      <c r="R36" t="e">
        <f>IF(G12&gt;=75,"Platinum",IF(G12&gt;=65,"Gold",IF(G12&gt;=55,"Silver",IF(G12&gt;=40,"Bronze","Unclassified"))))</f>
        <v>#DIV/0!</v>
      </c>
      <c r="S36" t="e">
        <f>IF(R36="Platinum",5,IF(R36="Gold",4,IF(R36="Silver",3,IF(R36="Bronze",2,1))))</f>
        <v>#DIV/0!</v>
      </c>
    </row>
    <row r="37">
      <c r="R37" t="str">
        <v>All Prerequisite met ?</v>
      </c>
      <c r="S37">
        <f>IF(S24="Yes",5,0)</f>
        <v>0</v>
      </c>
    </row>
    <row r="38">
      <c r="S38" t="e">
        <f>MIN(S30:S37)</f>
        <v>#DIV/0!</v>
      </c>
    </row>
  </sheetData>
  <mergeCells count="1">
    <mergeCell ref="J5:M5"/>
  </mergeCells>
  <pageMargins left="0.7086614173228347" right="0.51" top="1.31" bottom="0.7480314960629921" header="0.31496062992125984" footer="0.31496062992125984"/>
  <ignoredErrors>
    <ignoredError numberStoredAsText="1" sqref="A1:X38"/>
  </ignoredErrors>
</worksheet>
</file>

<file path=xl/worksheets/sheet2.xml><?xml version="1.0" encoding="utf-8"?>
<worksheet xmlns="http://schemas.openxmlformats.org/spreadsheetml/2006/main" xmlns:r="http://schemas.openxmlformats.org/officeDocument/2006/relationships">
  <dimension ref="A1:EW340"/>
  <sheetViews>
    <sheetView workbookViewId="0"/>
  </sheetViews>
  <sheetData>
    <row r="1">
      <c r="I1" t="str">
        <v>NB v1.2_20200504</v>
      </c>
      <c r="Y1">
        <v>11</v>
      </c>
    </row>
    <row r="2">
      <c r="E2" t="str">
        <f>'Project Summary'!C6</f>
        <v>2123-123XX(x)</v>
      </c>
      <c r="Y2">
        <v>17</v>
      </c>
    </row>
    <row r="3">
      <c r="E3" t="str">
        <f>"BEAM Plus " &amp; 'Project Summary'!C9 &amp; " Report For"</f>
        <v>BEAM Plus Provisional Assessment Report For</v>
      </c>
      <c r="Y3">
        <v>23</v>
      </c>
    </row>
    <row r="4">
      <c r="A4" t="str">
        <v xml:space="preserve">Appendix A - Credit Summary </v>
      </c>
      <c r="E4" t="str">
        <f>'Project Summary'!C7</f>
        <v>ABC Residential Development</v>
      </c>
      <c r="Y4">
        <v>28</v>
      </c>
    </row>
    <row r="5">
      <c r="Y5">
        <v>34</v>
      </c>
    </row>
    <row r="6">
      <c r="A6" t="str">
        <v>Site Aspects</v>
      </c>
      <c r="E6" t="str">
        <v>Credit</v>
      </c>
      <c r="F6" t="str">
        <v>Credits Applicable</v>
      </c>
      <c r="G6" t="str">
        <v>Credit(s) Achieved</v>
      </c>
      <c r="H6" t="str">
        <v>Remarks</v>
      </c>
      <c r="Y6">
        <v>39</v>
      </c>
    </row>
    <row r="7">
      <c r="A7" t="str">
        <v>2.P</v>
      </c>
      <c r="C7" t="str">
        <v>PREREQUISITE</v>
      </c>
      <c r="Y7">
        <v>44</v>
      </c>
    </row>
    <row r="8">
      <c r="A8" t="str">
        <v>SA P1</v>
      </c>
      <c r="C8" t="str">
        <v>Minimum Landscaping Area</v>
      </c>
      <c r="E8" t="str">
        <f>G8</f>
        <v>NA</v>
      </c>
      <c r="F8" t="str">
        <v>Pre-requisite</v>
      </c>
      <c r="G8" t="str">
        <v>NA</v>
      </c>
      <c r="H8" t="str">
        <v>EXCLUSIONS: Buildings or site not for residential use; or residential sites less than or equal to 1000m²</v>
      </c>
      <c r="Y8">
        <v>50</v>
      </c>
    </row>
    <row r="9">
      <c r="C9" t="str">
        <v>It is required to demonstrate compliance with appropriate planting on site equivalent to at least 20% of the site area.</v>
      </c>
      <c r="Y9">
        <v>54</v>
      </c>
      <c r="EW9" t="str">
        <v xml:space="preserve"> </v>
      </c>
    </row>
    <row r="10">
      <c r="Y10">
        <v>59</v>
      </c>
    </row>
    <row r="11">
      <c r="C11" t="str">
        <v>The Applicant has submitted GBP to demonstrate the development is not for residential use.</v>
      </c>
      <c r="Y11">
        <v>64</v>
      </c>
    </row>
    <row r="12">
      <c r="C12" t="str">
        <f>IFERROR(VLOOKUP($E8,$U:$V,2,FALSE),"-")</f>
        <v>The prerequisite is not applicable in the Provisional Assessment.</v>
      </c>
      <c r="Y12">
        <v>70</v>
      </c>
    </row>
    <row r="13">
      <c r="A13">
        <v>2.1</v>
      </c>
      <c r="C13" t="str">
        <v>SITE LOCATION</v>
      </c>
      <c r="Y13">
        <v>75</v>
      </c>
    </row>
    <row r="14">
      <c r="A14" t="str">
        <v>SA 1</v>
      </c>
      <c r="C14" t="str">
        <v>Contaminated Land</v>
      </c>
      <c r="E14" t="str">
        <f>IF(G14=1,"1B",G14)</f>
        <v>NS</v>
      </c>
      <c r="F14" t="str">
        <v>Bonus</v>
      </c>
      <c r="G14" t="str">
        <v>NS</v>
      </c>
      <c r="H14" t="str">
        <v>EXCLUSIONS: Building developments on Greenfield sites and the site contamination/landfill gas hazard assessment and mitigation measures are statutory requirements of the project.</v>
      </c>
      <c r="Y14">
        <v>81</v>
      </c>
    </row>
    <row r="15">
      <c r="A15" t="str">
        <v>One Bonus Credit</v>
      </c>
      <c r="C15" t="str">
        <v>1 BONUS credit for conducting a site contamination assessment and implementing measures for rehabilitation, and/or proper preparation of sites and structures adjacent to landfill sites.</v>
      </c>
      <c r="Y15">
        <v>86</v>
      </c>
    </row>
    <row r="16">
      <c r="Y16">
        <v>91</v>
      </c>
    </row>
    <row r="17">
      <c r="C17" t="str">
        <v>Insert Credit Commentary Here</v>
      </c>
      <c r="Y17">
        <v>96</v>
      </c>
    </row>
    <row r="18">
      <c r="C18" t="str">
        <f>IFERROR(VLOOKUP($E14,$R:$S,2,FALSE),"-")</f>
        <v>No information was submitted. Credit is not achieved in the Provisional Assessment.</v>
      </c>
      <c r="Y18">
        <v>101</v>
      </c>
    </row>
    <row r="19">
      <c r="A19" t="str">
        <v>SA 2</v>
      </c>
      <c r="C19" t="str">
        <v>Local Transport</v>
      </c>
      <c r="E19">
        <f>G19</f>
        <v>1</v>
      </c>
      <c r="F19">
        <f>IF(G19="NA","NA",IF(OR(G19="NS",G19=0,G19=1,G19=2),2,"-"))</f>
        <v>2</v>
      </c>
      <c r="G19">
        <v>1</v>
      </c>
      <c r="Y19">
        <v>107</v>
      </c>
    </row>
    <row r="20">
      <c r="A20" t="str">
        <v>SA 2a</v>
      </c>
      <c r="C20" t="str">
        <v xml:space="preserve">Car Parking Provisions </v>
      </c>
      <c r="Y20">
        <v>112</v>
      </c>
    </row>
    <row r="21" xml:space="preserve">
      <c r="A21" t="str">
        <v>Two Credits</v>
      </c>
      <c r="C21" t="str" xml:space="preserve">
        <v xml:space="preserve">1 credit where parking capacity does not exceed the minimum requirement from government and parking is provided for carpools or_x000d_
shuttle service vehicles._x000d_
2 credits where no car parking is provided other than provisions intended for use by disabled persons and/or shuttle service vehicles.</v>
      </c>
      <c r="Y21">
        <v>117</v>
      </c>
    </row>
    <row r="22">
      <c r="Y22">
        <v>122</v>
      </c>
    </row>
    <row r="23">
      <c r="C23" t="str">
        <v xml:space="preserve">The Applicant has submitted GBP, car park calculation, TD approval letter, swept path analysis, drainage schematic and layout plan to demonstrate compliance. The development has provided, 249 private parking, 105 visitor parking, 27 motorcycle parking and 5 disable parking, </v>
      </c>
      <c r="Y23">
        <v>127</v>
      </c>
    </row>
    <row r="24">
      <c r="C24" t="str">
        <f>IFERROR(VLOOKUP($E19,$R:$S,2,FALSE),"-")</f>
        <v>1 credit is achieved in the Provisional Assessment.</v>
      </c>
    </row>
    <row r="25">
      <c r="A25" t="str">
        <v>SA 2b</v>
      </c>
      <c r="C25" t="str">
        <v>Public Transport</v>
      </c>
      <c r="E25">
        <f>G25</f>
        <v>1</v>
      </c>
      <c r="F25">
        <f>IF(G25="NA","NA",IF(OR(G25="NS",G25=0,G25=1),1,"-"))</f>
        <v>1</v>
      </c>
      <c r="G25">
        <v>1</v>
      </c>
    </row>
    <row r="26">
      <c r="A26" t="str">
        <v>One Credit</v>
      </c>
      <c r="C26" t="str">
        <v>1 credit for availability of convenient pedestrian access to mainstream public transport.</v>
      </c>
    </row>
    <row r="28">
      <c r="C28" t="str">
        <v>The Applicant submitted scaled maps, site photos and building main entrance location plan to demonstrate that the Tseung Kwan O MTR station was located within 500m walking distance from the building main entrance. Safe and convenient pedestrian access was available.  The operating schedule of MTR was submitted to demonstrate the operating frequency did not exceed 10 minutes between 07.00 and 19.00 hours from Monday to Sunday</v>
      </c>
    </row>
    <row r="29">
      <c r="C29" t="str">
        <f>IFERROR(VLOOKUP($E25,$R:$S,2,FALSE),"-")</f>
        <v>1 credit is achieved in the Provisional Assessment.</v>
      </c>
    </row>
    <row r="30" xml:space="preserve">
      <c r="A30" t="str">
        <v>SA 3</v>
      </c>
      <c r="C30" t="str">
        <v>Neighbourhood Amenities</v>
      </c>
      <c r="E30">
        <f>G30</f>
        <v>1</v>
      </c>
      <c r="F30">
        <f>IF(G30="NA","NA",IF(OR(G30="NS",G30=0,G30=1),1,"-"))</f>
        <v>1</v>
      </c>
      <c r="G30">
        <v>1</v>
      </c>
      <c r="H30" t="str" xml:space="preserve">
        <v xml:space="preserve">EXCLUSIONS: Emergency Service Premises (e.g. fire station, power substation, etc.)_x000d_
_x000d_
Reminder: Please list out the proposed basic services and recreational facilities in the comment. Please state if double count occurred in SA 3a.</v>
      </c>
    </row>
    <row r="31">
      <c r="A31" t="str">
        <v>SA 3a</v>
      </c>
      <c r="C31" t="str">
        <v>Provision of Basic Services</v>
      </c>
    </row>
    <row r="32">
      <c r="A32" t="str">
        <v>One Credit</v>
      </c>
      <c r="C32" t="str">
        <v>1 credit where at least 10 different basic services are located within 500m walking distance from the Site and pedestrian access to the services is available for the Site.</v>
      </c>
    </row>
    <row r="34" xml:space="preserve">
      <c r="C34" t="str" xml:space="preserve">
        <v xml:space="preserve">The Applicant submitted scaled maps, site photos and building main entrance location plan to demonstrate there will be 11 basic services within 500m walking distance from the building main entrance, which included: _x000d_
1. School, 2. Supermarket, 3. Restaurant, 4. Hairdresser, 5. Dental Clinic 6. Medical Facility, 7. Bank (ATM), 8. Retail Shop 9. Kindergarten 10. Church 11. Post Box</v>
      </c>
    </row>
    <row r="35">
      <c r="C35" t="str">
        <f>IFERROR(VLOOKUP($E30,$R:$S,2,FALSE),"-")</f>
        <v>1 credit is achieved in the Provisional Assessment.</v>
      </c>
    </row>
    <row r="36">
      <c r="A36" t="str">
        <v>SA 3b</v>
      </c>
      <c r="C36" t="str">
        <v>Neighbourhood Recreational Facilities</v>
      </c>
      <c r="E36">
        <f>G36</f>
        <v>1</v>
      </c>
      <c r="F36">
        <f>IF(G36="NA","NA",IF(OR(G36="NS",G36=0,G36=1),1,"-"))</f>
        <v>1</v>
      </c>
      <c r="G36">
        <v>1</v>
      </c>
    </row>
    <row r="37">
      <c r="A37" t="str">
        <v>One Credit</v>
      </c>
      <c r="C37" t="str">
        <v>1 credit where at least 2 different recreational facilities are located within 500m walking distance from the Site and pedestrian access to the facilities is available for the Site.</v>
      </c>
    </row>
    <row r="39" xml:space="preserve">
      <c r="C39" t="str" xml:space="preserve">
        <v xml:space="preserve">The Applicant submitted scaled maps, site photos and building main entrance location plan to demonstrate there will be 2 recreational facilities within 500m walking distance from the building main entrance, which included: _x000d_
1. Cycling track_x000d_
2. Sports Centre - Tiu Keng Sports Centre</v>
      </c>
    </row>
    <row r="40">
      <c r="C40" t="str">
        <f>IFERROR(VLOOKUP($E36,$R:$S,2,FALSE),"-")</f>
        <v>1 credit is achieved in the Provisional Assessment.</v>
      </c>
    </row>
    <row r="41">
      <c r="A41" t="str">
        <v>SA 3c</v>
      </c>
      <c r="C41" t="str">
        <v>Provision of Basic Services/Recreational Facilities</v>
      </c>
      <c r="E41">
        <f>G41</f>
        <v>0</v>
      </c>
      <c r="F41">
        <f>IF(G41="NA","NA",IF(OR(G41="NS",G41=0,G41=1),1,"-"))</f>
        <v>1</v>
      </c>
      <c r="G41">
        <v>0</v>
      </c>
    </row>
    <row r="42">
      <c r="A42" t="str">
        <v>One Credit</v>
      </c>
      <c r="C42" t="str">
        <v>1 credit where at least 2 different recreational facilities or at least 5 different basic services are located within the Site and will be made available for public use.</v>
      </c>
    </row>
    <row r="44" xml:space="preserve">
      <c r="C44" t="str" xml:space="preserve">
        <v xml:space="preserve">The Applicant submitted layout plan to demonstrate there will be 5 basic services within development, which included: _x000d_
1. Retail_x000d_
2. Medical Facility_x000d_
3. Post box_x000d_
4. Kindergarten_x000d_
5. Dental Clinic_x000d_
_x000d_
However, no undertaking letter is submitted to demonstrate the claimed 5 basic services within the site will be in operation no later than one year after the OP obtained and open to public. Thus, the credit is not given</v>
      </c>
    </row>
    <row r="45">
      <c r="C45" t="str">
        <f>IFERROR(VLOOKUP($E41,$R:$S,2,FALSE),"-")</f>
        <v>Credit is not achieved in the Provisional Assessment.</v>
      </c>
    </row>
    <row r="46">
      <c r="A46">
        <v>2.2</v>
      </c>
      <c r="C46" t="str">
        <v>SITE PLANNING AND DESIGN</v>
      </c>
    </row>
    <row r="47">
      <c r="A47" t="str">
        <v>SA 4</v>
      </c>
      <c r="C47" t="str">
        <v>Site Design Appraisal</v>
      </c>
      <c r="E47">
        <f>G47</f>
        <v>1</v>
      </c>
      <c r="F47">
        <f>IF(G47="NA","NA",IF(OR(G47="NS",G47=0,G47=1),1,"-"))</f>
        <v>1</v>
      </c>
      <c r="G47">
        <v>1</v>
      </c>
    </row>
    <row r="48">
      <c r="A48" t="str">
        <v xml:space="preserve">One Credit </v>
      </c>
      <c r="C48" t="str">
        <v>1 credit for site design appraisal report demonstrating a proactive approach to achieve greater integration of site planning and design issues, and at least 50% of relevant sub-items of the Urban Design Guidelines in the Hong Kong Planning Standards and Guidelines are achieved.</v>
      </c>
    </row>
    <row r="50" xml:space="preserve">
      <c r="C50" t="str" xml:space="preserve">
        <v xml:space="preserve">The Applicant submitted Site Design Appraisal Report to claim that 100% of relevant sub-items (4 out of 4) of the Urban Design Guidelines were achieved which included:_x000d_
1. Developing height profile;_x000d_
2. Public realm;_x000d_
3. Streetscape;_x000d_
4. View Corridors;_x000d_
Since the development major usage is clinic and day care center, the specifical major land use issues for commerical zone can be NA</v>
      </c>
    </row>
    <row r="51">
      <c r="C51" t="str">
        <f>IFERROR(VLOOKUP($E47,$R:$S,2,FALSE),"-")</f>
        <v>1 credit is achieved in the Provisional Assessment.</v>
      </c>
    </row>
    <row r="52">
      <c r="A52" t="str">
        <v>One Bonus Credit</v>
      </c>
      <c r="C52" t="str">
        <v>1 BONUS credit for 100% of relevant sub-items of the Urban Design Guidelines are achieved.</v>
      </c>
      <c r="E52" t="str">
        <f>IF(G52=1,"1B",G52)</f>
        <v>1B</v>
      </c>
      <c r="F52" t="str">
        <v>Bonus</v>
      </c>
      <c r="G52">
        <v>1</v>
      </c>
    </row>
    <row r="54">
      <c r="A54" t="str">
        <v xml:space="preserve"> </v>
      </c>
      <c r="C54" t="str">
        <v>Since 100% (4 out of 4) sub items are achieved, the credit is given.</v>
      </c>
    </row>
    <row r="55">
      <c r="C55" t="str">
        <f>IFERROR(VLOOKUP($E52,$R:$S,2,FALSE),"-")</f>
        <v>1 Bonus credit is achieved in the Provisional Assessment.</v>
      </c>
    </row>
    <row r="56">
      <c r="A56" t="str">
        <v>SA 5</v>
      </c>
      <c r="C56" t="str">
        <v>Ecological Impact</v>
      </c>
      <c r="E56" t="str">
        <f>IF(G56=1,"1B",G56)</f>
        <v>NS</v>
      </c>
      <c r="F56" t="str">
        <v>Bonus</v>
      </c>
      <c r="G56" t="str">
        <v>NS</v>
      </c>
    </row>
    <row r="57" xml:space="preserve">
      <c r="A57" t="str">
        <v>One Bonus Credit</v>
      </c>
      <c r="C57" t="str" xml:space="preserve">
        <v xml:space="preserve">One Bonus credit from SA 5 Ecological Impact can be achieved through the following:_x000d_
Having a site which scores less than 20% of the points in the Habitat Section of The Nature Conservation Policy - 2009[1] and having a site which scores less than 30% in the Biodiversity Section of The Nature Conservation Policy - 2009; or_x000d_
Demonstrating that appropriate design measures have been implemented to contribute positively to the ecological value of the site.</v>
      </c>
    </row>
    <row r="59">
      <c r="C59" t="str">
        <v>Insert Credit Commentary Here</v>
      </c>
    </row>
    <row r="60">
      <c r="C60" t="str">
        <f>IFERROR(VLOOKUP($E56,$R:$S,2,FALSE),"-")</f>
        <v>No information was submitted. Credit is not achieved in the Provisional Assessment.</v>
      </c>
    </row>
    <row r="61">
      <c r="A61" t="str">
        <v>SA 6</v>
      </c>
      <c r="C61" t="str">
        <v>Cultural Heritage</v>
      </c>
      <c r="E61" t="str">
        <f>G61</f>
        <v>NA</v>
      </c>
      <c r="F61" t="str">
        <f>IF(G61="NA","NA",IF(OR(G61="NS",G61=0,G61=1),1,"-"))</f>
        <v>NA</v>
      </c>
      <c r="G61" t="str">
        <v>NA</v>
      </c>
    </row>
    <row r="62">
      <c r="A62" t="str">
        <v>One Credit</v>
      </c>
      <c r="C62" t="str">
        <v>1 credit where development does not have a negative impact on sites of cultural heritage.</v>
      </c>
    </row>
    <row r="64">
      <c r="C64" t="str">
        <v xml:space="preserve">The Applicant submitted a map extracted from GIS on Hong Kong Heritage to demonstrate that there is not heritage near the development. </v>
      </c>
    </row>
    <row r="65">
      <c r="C65" t="str">
        <f>IFERROR(VLOOKUP($E61,$R:$S,2,FALSE),"-")</f>
        <v>Credit is not applicable in the Provisional Assessment.</v>
      </c>
    </row>
    <row r="66">
      <c r="A66" t="str">
        <v>SA 7</v>
      </c>
      <c r="C66" t="str">
        <v>Landscaping and Planters</v>
      </c>
      <c r="E66" t="str">
        <f>G66</f>
        <v>NS</v>
      </c>
      <c r="F66">
        <f>IF(G66="NA","NA",IF(OR(G66="NS",G66=0,G66=1),1,"-"))</f>
        <v>1</v>
      </c>
      <c r="G66" t="str">
        <v>NS</v>
      </c>
    </row>
    <row r="67">
      <c r="A67" t="str">
        <v>SA 7a</v>
      </c>
      <c r="C67" t="str">
        <v>Hard Landscaping</v>
      </c>
    </row>
    <row r="68">
      <c r="A68" t="str">
        <v>One Credit</v>
      </c>
      <c r="C68" t="str">
        <v>1 credit for using pervious materials for a minimum of 50% of hard landscaped areas.</v>
      </c>
    </row>
    <row r="70">
      <c r="C70" t="str">
        <v>Insert Credit Commentary Here</v>
      </c>
    </row>
    <row r="71">
      <c r="C71" t="str">
        <f>IFERROR(VLOOKUP($E66,$R:$S,2,FALSE),"-")</f>
        <v>No information was submitted. Credit is not achieved in the Provisional Assessment.</v>
      </c>
    </row>
    <row r="72">
      <c r="A72" t="str">
        <v>SA 7b</v>
      </c>
      <c r="C72" t="str">
        <v>Soft Landscaping</v>
      </c>
      <c r="E72" t="str">
        <f>G72</f>
        <v>NS</v>
      </c>
      <c r="F72">
        <f>IF(G72="NA","NA",IF(OR(G72="NS",G72=0,G72=1,G72=2),2,"-"))</f>
        <v>2</v>
      </c>
      <c r="G72" t="str">
        <v>NS</v>
      </c>
    </row>
    <row r="73" xml:space="preserve">
      <c r="A73" t="str">
        <v>Two Credits</v>
      </c>
      <c r="C73" t="str" xml:space="preserve">
        <v xml:space="preserve">1 credit for providing appropriate planting on site equivalent to at least 30% of the site area._x000d_
2 credits for providing appropriate planting on site equivalent to at least 40% of the site area.</v>
      </c>
    </row>
    <row r="75">
      <c r="C75" t="str">
        <v>Insert Credit Commentary Here</v>
      </c>
    </row>
    <row r="76">
      <c r="C76" t="str">
        <f>IFERROR(VLOOKUP($E72,$R:$S,2,FALSE),"-")</f>
        <v>No information was submitted. Credit is not achieved in the Provisional Assessment.</v>
      </c>
    </row>
    <row r="77">
      <c r="A77" t="str">
        <v>SA 8</v>
      </c>
      <c r="C77" t="str">
        <v>Microclimate Around Buildings</v>
      </c>
      <c r="E77">
        <f>G77</f>
        <v>1</v>
      </c>
      <c r="F77">
        <f>IF(G77="NA","NA",IF(OR(G77="NS",G77=0,G77=1),1,"-"))</f>
        <v>1</v>
      </c>
      <c r="G77">
        <v>1</v>
      </c>
    </row>
    <row r="78">
      <c r="A78" t="str">
        <v>SA 8a</v>
      </c>
      <c r="C78" t="str">
        <v>Wind Amplification</v>
      </c>
    </row>
    <row r="79">
      <c r="A79" t="str">
        <v>One Credit</v>
      </c>
      <c r="C79" t="str">
        <v>1 credit for demonstrating that no pedestrian areas will be subject to excessive wind velocities caused by amplification due to the site layout design and/or building design.</v>
      </c>
    </row>
    <row r="81">
      <c r="C81" t="str">
        <v>The Applicant submitted Wind Amplification Report to demonstrate the compliance. The study report was evaluated by use of CFD simulation to predict wind velocity within and around thedevelopment inlcuding the Project Site. For the study, 246 test points are placed on the building and surrounding areas. The simulated results indicated that all test locations do not exceed the 4 m/s annual mean speed criterion in the proposed configuration.</v>
      </c>
    </row>
    <row r="82">
      <c r="C82" t="str">
        <f>IFERROR(VLOOKUP($E77,$R:$S,2,FALSE),"-")</f>
        <v>1 credit is achieved in the Provisional Assessment.</v>
      </c>
    </row>
    <row r="83">
      <c r="A83" t="str">
        <v>SA 8b</v>
      </c>
      <c r="C83" t="str">
        <v>Elevated Temperatures</v>
      </c>
      <c r="E83">
        <f>IF(G83&lt;&gt;"Insert No. of Credit(s) Here",IF(AND(G83="NA",G85="NA"),"NA",IF(AND(G83="NS",G85="NS"),"NS",IF(AND(COUNTIF(G83:G87,"NA")=1,COUNTIF(G83:G87,"NS")=1),"NS",SUM(G83:G87)))),G83)</f>
        <v>0</v>
      </c>
      <c r="F83">
        <f>IF(G83&lt;&gt;"Insert No. of Credit(s) Here",IF(COUNTIF(G83:G87,"NA")=2,"NA",IF(COUNTIF(G83:G87,"NA")=1,1,2)),"-")</f>
        <v>2</v>
      </c>
      <c r="G83" t="str">
        <v>NS</v>
      </c>
    </row>
    <row r="84" xml:space="preserve">
      <c r="A84" t="str">
        <v>Two Credits</v>
      </c>
      <c r="C84" t="str" xml:space="preserve">
        <v xml:space="preserve">1 credit for providing shade on at least 50% of non-roof impervious surfaces on the site (parking, walkways, plazas) using light coloured high-albedo materials (albedo of at least 0.4)._x000d_
1 credit for providing roof material that meets the Solar Reflectance Index (SRI) of 78 or vegetation roof covering at least 50% of the total roof area.</v>
      </c>
    </row>
    <row r="85">
      <c r="G85">
        <v>0</v>
      </c>
    </row>
    <row r="86" xml:space="preserve">
      <c r="C86" t="str" xml:space="preserve">
        <v xml:space="preserve">For the 2nd credit, the Applicant submitted contract specifications,  demarcation plans, calculations and high SRI roof material catalogue to demonstrate that  65.87% (5668.864m² Green Roof plus 3267.51m² High SRI roof out of 9273.55m² (with 667.51 E&amp;M area excluded)) of total roof area will be covered by green roof and roof materials with SRI higher than 78._x000d_
However, it is noted that the following:_x000d_
1. some of the counted high SRI roof area is acturally covered by other material, such as gondola track, plinth, dog house, fall arrest system_x000d_
2. unreasonable to consider whole 355.19sqm roof area with E&amp;M equipment without any maintenance area._x000d_
Thus, the credit is not given</v>
      </c>
    </row>
    <row r="87">
      <c r="C87" t="str">
        <f>IFERROR(VLOOKUP($E83,$R:$S,2,FALSE),"-")</f>
        <v>Credit is not achieved in the Provisional Assessment.</v>
      </c>
    </row>
    <row r="88">
      <c r="A88" t="str">
        <v>SA 8c</v>
      </c>
      <c r="C88" t="str">
        <v>Air Ventilation Assessment</v>
      </c>
      <c r="E88">
        <f>G88</f>
        <v>1</v>
      </c>
      <c r="F88">
        <f>IF(G88="NA","NA",IF(OR(G88="NS",G88=0,G88=1),1,"-"))</f>
        <v>1</v>
      </c>
      <c r="G88">
        <v>1</v>
      </c>
    </row>
    <row r="89">
      <c r="A89" t="str">
        <v>One Credit</v>
      </c>
      <c r="C89" t="str">
        <v>1 credit for conducting an AVA by wind tunnel or Computer Fluid Dynamics (CFD) according to the prevailing AVA methodology introduced by the Government demonstrating the optimal option is selected in comparing with different options.</v>
      </c>
    </row>
    <row r="91">
      <c r="C91" t="str">
        <v>The Applicant submitted Air Ventilation Assessment Report to demonstrate the compliance. The study report was evaluated by use of CFD simulation to predict wind velocity ratio within and around the development inlcuding the Project Site. For the study, 246 test points were placed on the building and surrounding areas. The measured results indicated that the Site Spatial Average Weighted Velocity Ratio (SVR) and Local Spatial Average Weighted Velocity Ratio (LVR) for the Proposed Scheme were 0.13 and 0.16, respectively, while the SVR and LVR  and inside site for the Baseline Scheme were 0.12 and 0.15, respectively. The report concluded that the proposed scheme is in a favourable wind conditions as combined with the Baseline scheme.</v>
      </c>
    </row>
    <row r="92">
      <c r="C92" t="str">
        <f>IFERROR(VLOOKUP($E88,$R:$S,2,FALSE),"-")</f>
        <v>1 credit is achieved in the Provisional Assessment.</v>
      </c>
    </row>
    <row r="93">
      <c r="A93" t="str">
        <v>SA 9</v>
      </c>
      <c r="C93" t="str">
        <v>Neighbourhood Daylight Access</v>
      </c>
      <c r="E93">
        <f>G93</f>
        <v>1</v>
      </c>
      <c r="F93">
        <f>IF(G93="NA","NA",IF(OR(G93="NS",G93=0,G93=1),1,"-"))</f>
        <v>1</v>
      </c>
      <c r="G93">
        <v>1</v>
      </c>
      <c r="H93" t="str">
        <v>EXCLUSIONS: Buildings where daylight is of no value to neighbouring properties.</v>
      </c>
    </row>
    <row r="94">
      <c r="A94" t="str">
        <v>One Credit</v>
      </c>
      <c r="C94" t="str">
        <v>1 credit for designs for which the access to daylight of neighbouring sensitive buildings is maintained to the prescribed level.</v>
      </c>
    </row>
    <row r="96">
      <c r="C96" t="str">
        <v xml:space="preserve">The Applicant submitted vertical daylight access study report  to demonstrate the compliance. The Applicant identified 5 sensitive receivers which included : Immigration Headquarters ,French International School , Capri, Fire Station, Tiu Keng Leng Sports Centre . The Vertical Daylight Factors (VDF) at these representative sensitive receivers were predicted by the simulation software IES Virtual Environment under the overcast sky. The calculated VDFs after development at sensitive receivers ranging between 14.7% to 39% were greater than the minimum required value of 12%. </v>
      </c>
    </row>
    <row r="97">
      <c r="C97" t="str">
        <f>IFERROR(VLOOKUP($E93,$R:$S,2,FALSE),"-")</f>
        <v>1 credit is achieved in the Provisional Assessment.</v>
      </c>
    </row>
    <row r="98">
      <c r="A98" t="str">
        <v>SA 10</v>
      </c>
      <c r="C98" t="str">
        <v>Environmental Management Plan</v>
      </c>
      <c r="E98">
        <f>G98</f>
        <v>1</v>
      </c>
      <c r="F98">
        <f>IF(G98="NA","NA",IF(OR(G98="NS",G98=0,G98=1),1,"-"))</f>
        <v>1</v>
      </c>
      <c r="G98">
        <v>1</v>
      </c>
    </row>
    <row r="99">
      <c r="A99" t="str">
        <v>One Credit</v>
      </c>
      <c r="C99" t="str">
        <v>1 credit if an Environmental Management Plan including Environmental Monitoring and Auditing has been implemented.</v>
      </c>
    </row>
    <row r="101" xml:space="preserve">
      <c r="C101" t="str" xml:space="preserve">
        <v xml:space="preserve">The Applicant submitted on-site photos showing no demolition was required as there was no construction within the pre-development site._x000d_
In addition, the Applicant submitted Environmental Management Plan (EMP) for Foundation and Superstructure Works to demonstrate that the  Contractor was committed to perform regular environmental monitoring and auditing as per the Environmental Management Plan. </v>
      </c>
    </row>
    <row r="102">
      <c r="C102" t="str">
        <f>IFERROR(VLOOKUP($E98,$R:$S,2,FALSE),"-")</f>
        <v>1 credit is achieved in the Provisional Assessment.</v>
      </c>
    </row>
    <row r="103">
      <c r="A103">
        <v>2.3</v>
      </c>
      <c r="C103" t="str">
        <v>EMISSIONS FROM THE SITE</v>
      </c>
    </row>
    <row r="104">
      <c r="A104" t="str">
        <v>SA 11</v>
      </c>
      <c r="C104" t="str">
        <v>Air Pollution During Construction</v>
      </c>
      <c r="E104">
        <f>G104</f>
        <v>1</v>
      </c>
      <c r="F104">
        <f>IF(G104="NA","NA",IF(OR(G104="NS",G104=0,G104=1),1,"-"))</f>
        <v>1</v>
      </c>
      <c r="G104">
        <v>1</v>
      </c>
    </row>
    <row r="105">
      <c r="A105" t="str">
        <v>One Credit</v>
      </c>
      <c r="C105" t="str">
        <v>1 credit for applying adequate mitigation measures for dust and air emissions during the construction as recommended by the Environmental Protection Department, and demonstrating compliance with the air quality management guidelines as detailed in the Environmental Monitoring and Audit Manual.</v>
      </c>
    </row>
    <row r="107" xml:space="preserve">
      <c r="C107" t="str" xml:space="preserve">
        <v xml:space="preserve">The Applicant submitted on-site photos showing no demolition was required as there was no construction within the pre-development site._x000d_
In addition, the Applicant submitted baseline monitoring reports, monthly EM&amp;A reports (i.e. Dec 2020 - Dec 2022), site photographs, extracted monitoring record and summary table to demonstrate the compliance. Four (4) dust monitoring locations were identified in the vicinity of the Site. The submitted information recorded dust suppression measures and dust monitoring works during the reporting period of demolition and foundation stages._x000d_
</v>
      </c>
    </row>
    <row r="108">
      <c r="C108" t="str">
        <f>IFERROR(VLOOKUP($E104,$R:$S,2,FALSE),"-")</f>
        <v>1 credit is achieved in the Provisional Assessment.</v>
      </c>
    </row>
    <row r="109">
      <c r="A109" t="str">
        <v>SA 12</v>
      </c>
      <c r="C109" t="str">
        <v>Noise During Construction</v>
      </c>
      <c r="E109">
        <f>G109</f>
        <v>1</v>
      </c>
      <c r="F109">
        <f>IF(G109="NA","NA",IF(OR(G109="NS",G109=0,G109=1),1,"-"))</f>
        <v>1</v>
      </c>
      <c r="G109">
        <v>1</v>
      </c>
    </row>
    <row r="110">
      <c r="A110" t="str">
        <v>One Credit</v>
      </c>
      <c r="C110" t="str">
        <v>1 credit for providing adequate mitigation measures for construction noise for all Noise Sensitive Receivers.</v>
      </c>
    </row>
    <row r="112" xml:space="preserve">
      <c r="C112" t="str" xml:space="preserve">
        <v xml:space="preserve">The Applicant submitted on-site photos showing no demolition was required as there was no construction within the pre-development site._x000d_
In addition, the Applicant submitted baseline monitoring reports, monthly EM&amp;A reports (i.e. Dec 2020 - Dec 2022), site photographs, extracted monitoring record and summary table to demonstrate the compliance. Four (4) noise monitoring locations were identified in the vicinity of the Site. The submitted information recorded noise mitigation measures and noise monitoring works during the reporting period of demolition and foundation stages.</v>
      </c>
    </row>
    <row r="113">
      <c r="C113" t="str">
        <f>IFERROR(VLOOKUP($E109,$R:$S,2,FALSE),"-")</f>
        <v>1 credit is achieved in the Provisional Assessment.</v>
      </c>
    </row>
    <row r="114">
      <c r="A114" t="str">
        <v>SA 13</v>
      </c>
      <c r="C114" t="str">
        <v>Water Pollution During Construction</v>
      </c>
      <c r="E114">
        <f>G114</f>
        <v>1</v>
      </c>
      <c r="F114">
        <f>IF(G114="NA","NA",IF(OR(G114="NS",G114=0,G114=1),1,"-"))</f>
        <v>1</v>
      </c>
      <c r="G114">
        <v>1</v>
      </c>
    </row>
    <row r="115">
      <c r="A115" t="str">
        <v>One Credit</v>
      </c>
      <c r="C115" t="str">
        <v>1 credit for undertaking adequate measures to reduce water pollution during construction.</v>
      </c>
    </row>
    <row r="117" xml:space="preserve">
      <c r="C117" t="str" xml:space="preserve">
        <v xml:space="preserve">The Applicant submitted on-site photos showing no demolition was required as there was no construction within the pre-development site._x000d_
In addition, the Applicant submitted baseline monitoring reports, monthly EM&amp;A reports (i.e. Dec 2020 - Dec 2022) site photographs and extracted monitoring record to demonstrate the compliance. The submitted information recorded water quality mitigation measures and water monitoring works and discharge license during the reporting period of construction stage. </v>
      </c>
    </row>
    <row r="118">
      <c r="C118" t="str">
        <f>IFERROR(VLOOKUP($E114,$R:$S,2,FALSE),"-")</f>
        <v>1 credit is achieved in the Provisional Assessment.</v>
      </c>
    </row>
    <row r="119">
      <c r="A119" t="str">
        <v>SA 14</v>
      </c>
      <c r="C119" t="str">
        <v>Noise from Building Equipment</v>
      </c>
      <c r="E119">
        <f>G119</f>
        <v>0</v>
      </c>
      <c r="F119">
        <f>IF(G119="NA","NA",IF(OR(G119="NS",G119=0,G119=1),1,"-"))</f>
        <v>1</v>
      </c>
      <c r="G119">
        <v>0</v>
      </c>
    </row>
    <row r="120">
      <c r="A120" t="str">
        <v>One Credit</v>
      </c>
      <c r="C120" t="str">
        <v>1 credit for demonstrating the level of the intruding noise at the facade of the potential noise sensitive receivers is in compliance with the criteria recommended in the Hong Kong Planning Standards and Guidelines.</v>
      </c>
    </row>
    <row r="122" xml:space="preserve">
      <c r="C122" t="str" xml:space="preserve">
        <v xml:space="preserve">The Applicant submitted the daytime, evening time and night-time noise measurement report, MVAC layout drawings, equipment schedule and catalogue to demonstrate compliance. The Applicant identified 4 NSR.  According to the Technical Memorandum (TM), the area sensitivity rating of the project site was "B". The measurement results are shown in below:_x000d_
Daytime (ANL-5 / Background noise level / impact noise level)_x000d_
NSR1: 60 dB(A) / 66.7 dB(A) / 54.1dB(A)_x000d_
NSR2: 60 dB(A) / 70.5 dB(A) / 59.2dB(A)_x000d_
NSR3: 60 dB(A) / 62.5 dB(A) / 46.1dB(A)_x000d_
NSR4: 60 dB(A) / 68.3 dB(A) / 48.7dB(A)_x000d_
Evening time (ANL-5 / Background noise level / impact noise level)_x000d_
NSR1: 60 dB(A) / 56.4 dB(A) / 46.9dB(A)_x000d_
NSR2: 60 dB(A) / 55.8 dB(A) / 48dB(A)_x000d_
NSR3: 60 dB(A) / 56.6 dB(A) / 46.1dB(A)_x000d_
NSR4: 60 dB(A) / 59.8 dB(A) / 48.7dB(A)_x000d_
Night time (ANL-5 / Background noise level / impact noise level)_x000d_
NSR1: 50 dB(A) / 55.8 dB(A) / 46.9dB(A)_x000d_
NSR2: 50 dB(A) / 50.9 dB(A) / 48dB(A)_x000d_
NSR3: 50 dB(A) / 54.2 dB(A) / 46.1dB(A)_x000d_
NSR4: 50 dB(A) / 57.4 dB(A) / 48.7dB(A)_x000d_
_x000d_
However, it is noted that the applicant has applied window effect (-10 db) without jusuifcation. Also, no information provided on the location of the Noise Sensitive Receiver(s) [NSR(s)], (b) the location of the identified major fixed noise sources and (c) the shortest distances between the NSRs and those fixed noise sources_x000d_
</v>
      </c>
    </row>
    <row r="123">
      <c r="C123" t="str">
        <f>IFERROR(VLOOKUP($E119,$R:$S,2,FALSE),"-")</f>
        <v>Credit is not achieved in the Provisional Assessment.</v>
      </c>
    </row>
    <row r="124">
      <c r="A124" t="str">
        <v>SA 15</v>
      </c>
      <c r="C124" t="str">
        <v xml:space="preserve">Light Pollution </v>
      </c>
      <c r="E124">
        <f>G124</f>
        <v>1</v>
      </c>
      <c r="F124">
        <f>IF(G124="NA","NA",IF(OR(G124="NS",G124=0,G124=1),1,"-"))</f>
        <v>1</v>
      </c>
      <c r="G124">
        <v>1</v>
      </c>
    </row>
    <row r="125">
      <c r="A125" t="str">
        <v>One Credit</v>
      </c>
      <c r="C125" t="str">
        <v>1 credit for demonstrating that obtrusive light from exterior lighting meets the specified performance for the environmental zone in which the building development is located.</v>
      </c>
    </row>
    <row r="127" xml:space="preserve">
      <c r="C127" t="str" xml:space="preserve">
        <v xml:space="preserve">The Applicant submitted light pollution report to demonstrate that ground lighting and landscaped deck shall fulfil the BEAM Plus requirements in environmental zone E3. The detailed results were as follows:_x000d_
Sky Glow URL (Max. %) = max. 2%_x000d_
Calculated Light into Windows before and after curfew: max. 0.1 Lux_x000d_
Calculated Source Intensity before and after curfew: max. 0.0.31 kcd_x000d_
Building Luminance before curfew: 0 cd/m²_x000d_
</v>
      </c>
    </row>
    <row r="128">
      <c r="C128" t="str">
        <f>IFERROR(VLOOKUP($E124,$R:$S,2,FALSE),"-")</f>
        <v>1 credit is achieved in the Provisional Assessment.</v>
      </c>
    </row>
    <row r="129">
      <c r="A129" t="str">
        <v>Sub-Total Number of Applicable SA Credit</v>
      </c>
      <c r="E129">
        <f>F129</f>
        <v>21</v>
      </c>
      <c r="F129">
        <f>SUM(F8:F128)</f>
        <v>21</v>
      </c>
      <c r="H129" t="str">
        <v>Excluding Bonus Credits</v>
      </c>
    </row>
    <row r="130">
      <c r="A130" t="str">
        <v xml:space="preserve"> Number of Achieved SA Credit</v>
      </c>
      <c r="E130">
        <f>G130</f>
        <v>13</v>
      </c>
      <c r="G130">
        <f>SUM(G19:G51,G61:G128)</f>
        <v>13</v>
      </c>
    </row>
    <row r="297">
      <c r="R297" t="str">
        <v>NS</v>
      </c>
      <c r="S297" t="str">
        <f>"No information was submitted. Credit is not achieved in the "&amp; 'Project Summary'!C9 &amp; "."</f>
        <v>No information was submitted. Credit is not achieved in the Provisional Assessment.</v>
      </c>
      <c r="U297" t="str">
        <v>PR</v>
      </c>
      <c r="V297" t="str">
        <f>"The prerequisite is achieved in the " &amp; 'Project Summary'!C9&amp; "."</f>
        <v>The prerequisite is achieved in the Provisional Assessment.</v>
      </c>
    </row>
    <row r="298">
      <c r="R298" t="str">
        <v>NA</v>
      </c>
      <c r="S298" t="str">
        <f>"Credit is not applicable in the "&amp; 'Project Summary'!C9 &amp; "."</f>
        <v>Credit is not applicable in the Provisional Assessment.</v>
      </c>
      <c r="U298" t="str">
        <v>NA</v>
      </c>
      <c r="V298" t="str">
        <f>"The prerequisite is not applicable in the " &amp; 'Project Summary'!C9&amp; "."</f>
        <v>The prerequisite is not applicable in the Provisional Assessment.</v>
      </c>
    </row>
    <row r="299">
      <c r="R299">
        <v>0</v>
      </c>
      <c r="S299" t="str">
        <f>"Credit is not achieved in the "&amp; 'Project Summary'!C9 &amp; "."</f>
        <v>Credit is not achieved in the Provisional Assessment.</v>
      </c>
      <c r="U299">
        <v>0</v>
      </c>
      <c r="V299" t="str">
        <f>"The prerequisite is not achieved in the " &amp; 'Project Summary'!C9&amp; "."</f>
        <v>The prerequisite is not achieved in the Provisional Assessment.</v>
      </c>
    </row>
    <row r="300">
      <c r="R300">
        <v>1</v>
      </c>
      <c r="S300" t="str">
        <f>"1 credit is achieved in the "&amp; 'Project Summary'!C9 &amp; "."</f>
        <v>1 credit is achieved in the Provisional Assessment.</v>
      </c>
    </row>
    <row r="301">
      <c r="R301">
        <v>2</v>
      </c>
      <c r="S301" t="str">
        <f>"2 credits are achieved in the "&amp; 'Project Summary'!C9 &amp; "."</f>
        <v>2 credits are achieved in the Provisional Assessment.</v>
      </c>
    </row>
    <row r="303">
      <c r="R303">
        <v>3</v>
      </c>
      <c r="S303" t="str">
        <f>"3 credits are achieved in the "&amp; 'Project Summary'!C9 &amp; "."</f>
        <v>3 credits are achieved in the Provisional Assessment.</v>
      </c>
    </row>
    <row r="304">
      <c r="R304">
        <v>4</v>
      </c>
      <c r="S304" t="str">
        <f>"4 credits are achieved in the "&amp; 'Project Summary'!C9 &amp; "."</f>
        <v>4 credits are achieved in the Provisional Assessment.</v>
      </c>
    </row>
    <row r="305">
      <c r="R305">
        <v>5</v>
      </c>
      <c r="S305" t="str">
        <f>"5 credits are achieved in the "&amp; 'Project Summary'!C9 &amp; "."</f>
        <v>5 credits are achieved in the Provisional Assessment.</v>
      </c>
    </row>
    <row r="306">
      <c r="R306">
        <v>6</v>
      </c>
      <c r="S306" t="str">
        <f>"6 credits are achieved in the "&amp; 'Project Summary'!C9 &amp; "."</f>
        <v>6 credits are achieved in the Provisional Assessment.</v>
      </c>
    </row>
    <row r="307">
      <c r="R307">
        <v>7</v>
      </c>
      <c r="S307" t="str">
        <f>"7 credits are achieved in the "&amp; 'Project Summary'!C9 &amp; "."</f>
        <v>7 credits are achieved in the Provisional Assessment.</v>
      </c>
    </row>
    <row r="308">
      <c r="R308">
        <v>8</v>
      </c>
      <c r="S308" t="str">
        <f>"8 credits are achieved in the "&amp; 'Project Summary'!C9 &amp; "."</f>
        <v>8 credits are achieved in the Provisional Assessment.</v>
      </c>
    </row>
    <row r="309">
      <c r="R309">
        <v>9</v>
      </c>
      <c r="S309" t="str">
        <f>"9 credits are achieved in the "&amp; 'Project Summary'!C9 &amp; "."</f>
        <v>9 credits are achieved in the Provisional Assessment.</v>
      </c>
    </row>
    <row r="310">
      <c r="R310">
        <v>10</v>
      </c>
      <c r="S310" t="str">
        <f>"10 credits are achieved in the "&amp; 'Project Summary'!C9 &amp; "."</f>
        <v>10 credits are achieved in the Provisional Assessment.</v>
      </c>
    </row>
    <row r="311">
      <c r="R311">
        <v>11</v>
      </c>
      <c r="S311" t="str">
        <f>"11 credits are achieved in the "&amp; 'Project Summary'!C9 &amp; "."</f>
        <v>11 credits are achieved in the Provisional Assessment.</v>
      </c>
    </row>
    <row r="312">
      <c r="R312">
        <v>12</v>
      </c>
      <c r="S312" t="str">
        <f>"12 credits are achieved in the "&amp; 'Project Summary'!C9 &amp; "."</f>
        <v>12 credits are achieved in the Provisional Assessment.</v>
      </c>
    </row>
    <row r="313">
      <c r="R313">
        <v>13</v>
      </c>
      <c r="S313" t="str">
        <f>"13 credits are achieved in the "&amp; 'Project Summary'!C9 &amp; "."</f>
        <v>13 credits are achieved in the Provisional Assessment.</v>
      </c>
    </row>
    <row r="314">
      <c r="R314">
        <v>14</v>
      </c>
      <c r="S314" t="str">
        <f>"14 credits are achieved in the "&amp; 'Project Summary'!C9 &amp; "."</f>
        <v>14 credits are achieved in the Provisional Assessment.</v>
      </c>
    </row>
    <row r="315">
      <c r="R315">
        <v>15</v>
      </c>
      <c r="S315" t="str">
        <f>"15 credits are achieved in the "&amp; 'Project Summary'!C9 &amp; "."</f>
        <v>15 credits are achieved in the Provisional Assessment.</v>
      </c>
    </row>
    <row r="316">
      <c r="R316" t="str">
        <v>1B</v>
      </c>
      <c r="S316" t="str">
        <f>"1 Bonus credit is achieved in the "&amp; 'Project Summary'!C9 &amp; "."</f>
        <v>1 Bonus credit is achieved in the Provisional Assessment.</v>
      </c>
    </row>
    <row r="320">
      <c r="Q320" t="str">
        <v>List</v>
      </c>
    </row>
    <row r="321">
      <c r="Q321" t="str">
        <v>PR</v>
      </c>
    </row>
    <row r="322">
      <c r="Q322" t="str">
        <v>NA</v>
      </c>
    </row>
    <row r="323">
      <c r="Q323">
        <v>0</v>
      </c>
    </row>
    <row r="325">
      <c r="Q325" t="str">
        <v>NA</v>
      </c>
    </row>
    <row r="326">
      <c r="Q326" t="str">
        <v>NS</v>
      </c>
    </row>
    <row r="327">
      <c r="Q327">
        <v>1</v>
      </c>
    </row>
    <row r="328">
      <c r="Q328">
        <v>0</v>
      </c>
    </row>
    <row r="330">
      <c r="Q330" t="str">
        <v>NA</v>
      </c>
    </row>
    <row r="331">
      <c r="Q331" t="str">
        <v>NS</v>
      </c>
    </row>
    <row r="332">
      <c r="Q332">
        <v>2</v>
      </c>
    </row>
    <row r="333">
      <c r="Q333">
        <v>1</v>
      </c>
    </row>
    <row r="334">
      <c r="Q334">
        <v>0</v>
      </c>
    </row>
    <row r="336">
      <c r="Q336" t="str">
        <v>NA</v>
      </c>
    </row>
    <row r="337">
      <c r="Q337">
        <v>1</v>
      </c>
    </row>
    <row r="339">
      <c r="Q339" t="str">
        <v>NA</v>
      </c>
    </row>
    <row r="340">
      <c r="Q340">
        <v>2</v>
      </c>
    </row>
  </sheetData>
  <mergeCells count="91">
    <mergeCell ref="H8:H12"/>
    <mergeCell ref="H14:H18"/>
    <mergeCell ref="F88:F92"/>
    <mergeCell ref="H30:H45"/>
    <mergeCell ref="H129:H130"/>
    <mergeCell ref="H109:H113"/>
    <mergeCell ref="H114:H118"/>
    <mergeCell ref="H119:H123"/>
    <mergeCell ref="H124:H128"/>
    <mergeCell ref="H93:H97"/>
    <mergeCell ref="F47:F51"/>
    <mergeCell ref="H98:H102"/>
    <mergeCell ref="H104:H108"/>
    <mergeCell ref="G47:G51"/>
    <mergeCell ref="F98:F102"/>
    <mergeCell ref="F104:F108"/>
    <mergeCell ref="H56:H60"/>
    <mergeCell ref="H61:H65"/>
    <mergeCell ref="F93:F97"/>
    <mergeCell ref="F66:F71"/>
    <mergeCell ref="E124:E128"/>
    <mergeCell ref="E93:E97"/>
    <mergeCell ref="E98:E102"/>
    <mergeCell ref="E104:E108"/>
    <mergeCell ref="E109:E113"/>
    <mergeCell ref="F109:F113"/>
    <mergeCell ref="E119:E123"/>
    <mergeCell ref="F119:F123"/>
    <mergeCell ref="F124:F128"/>
    <mergeCell ref="F114:F118"/>
    <mergeCell ref="E72:E76"/>
    <mergeCell ref="E77:E82"/>
    <mergeCell ref="E114:E118"/>
    <mergeCell ref="E88:E92"/>
    <mergeCell ref="F83:F87"/>
    <mergeCell ref="F8:F12"/>
    <mergeCell ref="F14:F18"/>
    <mergeCell ref="F25:F29"/>
    <mergeCell ref="F30:F35"/>
    <mergeCell ref="F36:F40"/>
    <mergeCell ref="F41:F45"/>
    <mergeCell ref="E30:E35"/>
    <mergeCell ref="E36:E40"/>
    <mergeCell ref="E41:E45"/>
    <mergeCell ref="E52:E55"/>
    <mergeCell ref="E47:E51"/>
    <mergeCell ref="E56:E60"/>
    <mergeCell ref="G30:G35"/>
    <mergeCell ref="E8:E12"/>
    <mergeCell ref="E14:E18"/>
    <mergeCell ref="E19:E24"/>
    <mergeCell ref="E25:E29"/>
    <mergeCell ref="A6:C6"/>
    <mergeCell ref="G8:G12"/>
    <mergeCell ref="G14:G18"/>
    <mergeCell ref="G19:G24"/>
    <mergeCell ref="G25:G29"/>
    <mergeCell ref="G72:G76"/>
    <mergeCell ref="G52:G55"/>
    <mergeCell ref="G85:G87"/>
    <mergeCell ref="E61:E65"/>
    <mergeCell ref="E66:E71"/>
    <mergeCell ref="F61:F65"/>
    <mergeCell ref="F56:F60"/>
    <mergeCell ref="E83:E87"/>
    <mergeCell ref="G36:G40"/>
    <mergeCell ref="G41:G45"/>
    <mergeCell ref="G56:G60"/>
    <mergeCell ref="G61:G65"/>
    <mergeCell ref="G66:G71"/>
    <mergeCell ref="G114:G118"/>
    <mergeCell ref="G109:G113"/>
    <mergeCell ref="G98:G102"/>
    <mergeCell ref="G104:G108"/>
    <mergeCell ref="G83:G84"/>
    <mergeCell ref="A129:C129"/>
    <mergeCell ref="A130:C130"/>
    <mergeCell ref="F7:H7"/>
    <mergeCell ref="H19:H29"/>
    <mergeCell ref="H47:H55"/>
    <mergeCell ref="H66:H76"/>
    <mergeCell ref="H77:H92"/>
    <mergeCell ref="F19:F24"/>
    <mergeCell ref="F72:F76"/>
    <mergeCell ref="F52:F55"/>
    <mergeCell ref="F77:F82"/>
    <mergeCell ref="G119:G123"/>
    <mergeCell ref="G124:G128"/>
    <mergeCell ref="G77:G82"/>
    <mergeCell ref="G88:G92"/>
    <mergeCell ref="G93:G97"/>
  </mergeCells>
  <pageMargins left="0.7874015748031497" right="0.5511811023622047" top="0.5118110236220472" bottom="0.7480314960629921" header="0.31496062992125984" footer="0.31496062992125984"/>
  <ignoredErrors>
    <ignoredError numberStoredAsText="1" sqref="A1:EW340"/>
  </ignoredErrors>
</worksheet>
</file>

<file path=xl/worksheets/sheet3.xml><?xml version="1.0" encoding="utf-8"?>
<worksheet xmlns="http://schemas.openxmlformats.org/spreadsheetml/2006/main" xmlns:r="http://schemas.openxmlformats.org/officeDocument/2006/relationships">
  <dimension ref="A1:Y335"/>
  <sheetViews>
    <sheetView workbookViewId="0"/>
  </sheetViews>
  <sheetData>
    <row r="1">
      <c r="I1" t="str">
        <v>NB v1.2_20200504</v>
      </c>
      <c r="Y1">
        <v>11</v>
      </c>
    </row>
    <row r="2">
      <c r="E2" t="str">
        <f>'Project Summary'!C6</f>
        <v>2123-123XX(x)</v>
      </c>
      <c r="Y2">
        <v>16</v>
      </c>
    </row>
    <row r="3">
      <c r="E3" t="str">
        <f>"BEAM Plus " &amp; 'Project Summary'!C9 &amp; " Report For"</f>
        <v>BEAM Plus Provisional Assessment Report For</v>
      </c>
      <c r="Y3">
        <v>21</v>
      </c>
    </row>
    <row r="4">
      <c r="A4" t="str">
        <v xml:space="preserve">Appendix A - Credit Summary </v>
      </c>
      <c r="E4" t="str">
        <f>'Project Summary'!C7</f>
        <v>ABC Residential Development</v>
      </c>
      <c r="Y4">
        <v>26</v>
      </c>
    </row>
    <row r="5">
      <c r="Y5">
        <v>32</v>
      </c>
    </row>
    <row r="6">
      <c r="A6" t="str">
        <v>Materials Aspects</v>
      </c>
      <c r="E6" t="str">
        <v>Credit</v>
      </c>
      <c r="F6" t="str">
        <v>Credits Applicable</v>
      </c>
      <c r="G6" t="str">
        <v>Credit(s) Achieved</v>
      </c>
      <c r="H6" t="str">
        <v>Remarks</v>
      </c>
      <c r="Y6">
        <v>36</v>
      </c>
    </row>
    <row r="7">
      <c r="A7" t="str">
        <v>3.P</v>
      </c>
      <c r="C7" t="str">
        <v>PREREQUISITE</v>
      </c>
      <c r="Y7">
        <v>41</v>
      </c>
    </row>
    <row r="8">
      <c r="A8" t="str">
        <v>MA P1</v>
      </c>
      <c r="C8" t="str">
        <v>Timber Used for Temporary Works</v>
      </c>
      <c r="E8" t="str">
        <f>G8</f>
        <v>Insert No. of Credit(s) Here</v>
      </c>
      <c r="F8" t="str">
        <v>Pre-requisite</v>
      </c>
      <c r="G8" t="str">
        <v>Insert No. of Credit(s) Here</v>
      </c>
      <c r="Y8">
        <v>46</v>
      </c>
    </row>
    <row r="9">
      <c r="C9" t="str">
        <v>Virgin forest products are not used for temporary works during construction.</v>
      </c>
      <c r="Y9">
        <v>52</v>
      </c>
    </row>
    <row r="10">
      <c r="Y10">
        <v>57</v>
      </c>
    </row>
    <row r="11">
      <c r="C11" t="str">
        <v>Insert Credit Commentary Here</v>
      </c>
      <c r="Y11">
        <v>62</v>
      </c>
    </row>
    <row r="12">
      <c r="C12" t="str">
        <f>IFERROR(VLOOKUP($E8,$U:$V,2,FALSE),"-")</f>
        <v>-</v>
      </c>
      <c r="Y12">
        <v>68</v>
      </c>
    </row>
    <row r="13">
      <c r="A13" t="str">
        <v>MA P2</v>
      </c>
      <c r="C13" t="str">
        <v>Use of Non-CFC Based Refrigerants</v>
      </c>
      <c r="E13" t="str">
        <f>G13</f>
        <v>Insert No. of Credit(s) Here</v>
      </c>
      <c r="F13" t="str">
        <v>Pre-requisite</v>
      </c>
      <c r="G13" t="str">
        <v>Insert No. of Credit(s) Here</v>
      </c>
      <c r="Y13">
        <v>73</v>
      </c>
    </row>
    <row r="14">
      <c r="C14" t="str">
        <v>Using non-chlorofluorocarbon (CFC)-based refrigerants in HVAC&amp;R systems.</v>
      </c>
      <c r="Y14">
        <v>79</v>
      </c>
    </row>
    <row r="15">
      <c r="Y15">
        <v>84</v>
      </c>
    </row>
    <row r="16">
      <c r="C16" t="str">
        <v>Insert Credit Commentary Here</v>
      </c>
      <c r="Y16">
        <v>89</v>
      </c>
    </row>
    <row r="17">
      <c r="C17" t="str">
        <f>IFERROR(VLOOKUP($E13,$U:$V,2,FALSE),"-")</f>
        <v>-</v>
      </c>
      <c r="Y17">
        <v>95</v>
      </c>
    </row>
    <row r="18">
      <c r="A18" t="str">
        <v>MA P3</v>
      </c>
      <c r="C18" t="str">
        <v>Construction and Demolition Waste Management Plan</v>
      </c>
      <c r="E18" t="str">
        <f>G18</f>
        <v>Insert No. of Credit(s) Here</v>
      </c>
      <c r="F18" t="str">
        <v>Pre-requisite</v>
      </c>
      <c r="G18" t="str">
        <v>Insert No. of Credit(s) Here</v>
      </c>
      <c r="H18" t="str">
        <v>EXCLUSIONS: Project where demolition is not required or is not under the Client’s control.</v>
      </c>
      <c r="Y18">
        <v>100</v>
      </c>
    </row>
    <row r="19">
      <c r="C19" t="str">
        <v>Implementation with proof of documentation of a waste management system that provides for the sorting, recycling and proper disposal of construction/demolition materials.</v>
      </c>
      <c r="Y19">
        <v>105</v>
      </c>
    </row>
    <row r="20">
      <c r="Y20">
        <v>111</v>
      </c>
    </row>
    <row r="21">
      <c r="C21" t="str">
        <v>Insert Credit Commentary Here</v>
      </c>
      <c r="Y21">
        <v>116</v>
      </c>
    </row>
    <row r="22">
      <c r="C22" t="str">
        <f>IFERROR(VLOOKUP($E18,$U:$V,2,FALSE),"-")</f>
        <v>-</v>
      </c>
    </row>
    <row r="23">
      <c r="A23" t="str">
        <v>MA P4</v>
      </c>
      <c r="C23" t="str">
        <v>Waste Recycling Facilities</v>
      </c>
      <c r="E23" t="str">
        <f>G23</f>
        <v>Insert No. of Credit(s) Here</v>
      </c>
      <c r="F23" t="str">
        <v>Pre-requisite</v>
      </c>
      <c r="G23" t="str">
        <v>Insert No. of Credit(s) Here</v>
      </c>
    </row>
    <row r="24">
      <c r="C24" t="str">
        <v>Provision of facilities for the collection, sorting, storage and disposal of waste and recovered materials.</v>
      </c>
    </row>
    <row r="26">
      <c r="C26" t="str">
        <v>Insert Credit Commentary Here</v>
      </c>
    </row>
    <row r="27">
      <c r="C27" t="str">
        <f>IFERROR(VLOOKUP($E23,$U:$V,2,FALSE),"-")</f>
        <v>-</v>
      </c>
    </row>
    <row r="28">
      <c r="A28">
        <v>3.1</v>
      </c>
      <c r="C28" t="str">
        <v>EFFICIENT USE OF MATERIALS</v>
      </c>
    </row>
    <row r="29">
      <c r="A29" t="str">
        <v>MA 1</v>
      </c>
      <c r="C29" t="str">
        <v>Building Reuse</v>
      </c>
      <c r="E29" t="str">
        <f>G29</f>
        <v>Insert No. of Credit(s) Here</v>
      </c>
      <c r="F29" t="str">
        <f>IF(G29="NA","NA",IF(OR(G29="NS",G29=0,G29=1,G29=2),2,"-"))</f>
        <v>-</v>
      </c>
      <c r="G29" t="str">
        <v>Insert No. of Credit(s) Here</v>
      </c>
      <c r="H29" t="str">
        <v>EXCLUSIONS: Buildings on reclaimed land or Greenfield sites.</v>
      </c>
    </row>
    <row r="30" xml:space="preserve">
      <c r="A30" t="str">
        <v>Two Credits</v>
      </c>
      <c r="C30" t="str" xml:space="preserve">
        <v xml:space="preserve">1 credit for the reuse of 30% or more of existing sub-structure or shell._x000d_
2 credits for the reuse of 60% or more of existing sub-structure or shell.</v>
      </c>
    </row>
    <row r="32">
      <c r="C32" t="str">
        <v>Insert Credit Commentary Here</v>
      </c>
    </row>
    <row r="33">
      <c r="C33" t="str">
        <f>IFERROR(VLOOKUP($E29,$R:$S,2,FALSE),"-")</f>
        <v>-</v>
      </c>
    </row>
    <row r="34">
      <c r="A34" t="str">
        <v>One Bonus Credit</v>
      </c>
      <c r="C34" t="str">
        <v>1 additional BONUS credit for use of 90% or more of existing sub-structure or shell.</v>
      </c>
      <c r="E34" t="str">
        <f>IF(G34=1,"1B",G34)</f>
        <v>Insert No. of Credit(s) Here</v>
      </c>
      <c r="F34" t="str">
        <v>Bonus</v>
      </c>
      <c r="G34" t="str">
        <v>Insert No. of Credit(s) Here</v>
      </c>
    </row>
    <row r="36">
      <c r="C36" t="str">
        <v>Insert Credit Commentary Here</v>
      </c>
    </row>
    <row r="37">
      <c r="C37" t="str">
        <f>IFERROR(VLOOKUP($E34,$R:$S,2,FALSE),"-")</f>
        <v>-</v>
      </c>
    </row>
    <row r="38">
      <c r="A38" t="str">
        <v>MA 2</v>
      </c>
      <c r="C38" t="str">
        <v>Modular and Standardised Design</v>
      </c>
      <c r="E38" t="str">
        <f>G38</f>
        <v>Insert No. of Credit(s) Here</v>
      </c>
      <c r="F38" t="str">
        <f>IF(G38="NA","NA",IF(OR(G38="NS",G38=0,G38=1),1,"-"))</f>
        <v>-</v>
      </c>
      <c r="G38" t="str">
        <v>Insert No. of Credit(s) Here</v>
      </c>
    </row>
    <row r="39">
      <c r="A39" t="str">
        <v>One Credit</v>
      </c>
      <c r="C39" t="str">
        <v>1 credit for demonstrating the application of modular and standardised design.</v>
      </c>
    </row>
    <row r="41">
      <c r="C41" t="str">
        <v>Insert Credit Commentary Here</v>
      </c>
    </row>
    <row r="42">
      <c r="C42" t="str">
        <f>IFERROR(VLOOKUP($E38,$R:$S,2,FALSE),"-")</f>
        <v>-</v>
      </c>
    </row>
    <row r="43">
      <c r="A43" t="str">
        <v>MA 3</v>
      </c>
      <c r="C43" t="str">
        <v>Prefabrication</v>
      </c>
      <c r="E43" t="str">
        <f>G43</f>
        <v>Insert No. of Credit(s) Here</v>
      </c>
      <c r="F43" t="str">
        <f>IF(G43="NA","NA",IF(OR(G43="NS",G43=0,G43=1,G43=2),2,"-"))</f>
        <v>-</v>
      </c>
      <c r="G43" t="str">
        <v>Insert No. of Credit(s) Here</v>
      </c>
    </row>
    <row r="44" xml:space="preserve">
      <c r="A44" t="str">
        <v>Two Credits</v>
      </c>
      <c r="C44" t="str" xml:space="preserve">
        <v xml:space="preserve">1 credit when the manufacture of 20% of listed prefabricated building elements has been off-site._x000d_
2 credits where the manufacture of 40% of listed prefabricated building elements has been off-site.</v>
      </c>
    </row>
    <row r="46">
      <c r="C46" t="str">
        <v>Insert Credit Commentary Here</v>
      </c>
    </row>
    <row r="47">
      <c r="C47" t="str">
        <f>IFERROR(VLOOKUP($E43,$R:$S,2,FALSE),"-")</f>
        <v>-</v>
      </c>
    </row>
    <row r="48">
      <c r="A48" t="str">
        <v>MA 4</v>
      </c>
      <c r="C48" t="str">
        <v>Adaptability and Deconstruction</v>
      </c>
      <c r="E48" t="str">
        <f>G48</f>
        <v>Insert No. of Credit(s) Here</v>
      </c>
      <c r="F48" t="str">
        <f>IF(G48="NA","NA",IF(OR(G48="NS",G48=0,G48=1),1,"-"))</f>
        <v>-</v>
      </c>
      <c r="G48" t="str">
        <v>Insert No. of Credit(s) Here</v>
      </c>
    </row>
    <row r="49">
      <c r="A49" t="str">
        <v>MA 4a</v>
      </c>
      <c r="C49" t="str">
        <v>Spatial Adaptability</v>
      </c>
    </row>
    <row r="50">
      <c r="A50" t="str">
        <v>One Credit</v>
      </c>
      <c r="C50" t="str">
        <v>1 credit for designs providing spatial flexibility that can adapt spaces for different uses, and allows for expansion to permit additional spatial requirements to be accommodated.</v>
      </c>
    </row>
    <row r="52">
      <c r="C52" t="str">
        <v>Insert Credit Commentary Here</v>
      </c>
    </row>
    <row r="53">
      <c r="C53" t="str">
        <f>IFERROR(VLOOKUP($E48,$R:$S,2,FALSE),"-")</f>
        <v>-</v>
      </c>
    </row>
    <row r="54">
      <c r="A54" t="str">
        <v>MA 4b</v>
      </c>
      <c r="C54" t="str">
        <v>Flexible Engineering Services</v>
      </c>
      <c r="E54" t="str">
        <f>G54</f>
        <v>Insert No. of Credit(s) Here</v>
      </c>
      <c r="F54" t="str">
        <f>IF(G54="NA","NA",IF(OR(G54="NS",G54=0,G54=1),1,"-"))</f>
        <v>-</v>
      </c>
      <c r="G54" t="str">
        <v>Insert No. of Credit(s) Here</v>
      </c>
    </row>
    <row r="55">
      <c r="A55" t="str">
        <v>One Credit</v>
      </c>
      <c r="C55" t="str">
        <v>1 credit for flexible design of services that can adapt to changes of layout and use.</v>
      </c>
    </row>
    <row r="57">
      <c r="C57" t="str">
        <v>Insert Credit Commentary Here</v>
      </c>
    </row>
    <row r="58">
      <c r="C58" t="str">
        <f>IFERROR(VLOOKUP($E54,$R:$S,2,FALSE),"-")</f>
        <v>-</v>
      </c>
    </row>
    <row r="59">
      <c r="A59" t="str">
        <v>MA 4c</v>
      </c>
      <c r="C59" t="str">
        <v>Structural Adaptability</v>
      </c>
      <c r="E59" t="str">
        <f>G59</f>
        <v>Insert No. of Credit(s) Here</v>
      </c>
      <c r="F59" t="str">
        <f>IF(G59="NA","NA",IF(OR(G59="NS",G59=0,G59=1),1,"-"))</f>
        <v>-</v>
      </c>
      <c r="G59" t="str">
        <v>Insert No. of Credit(s) Here</v>
      </c>
    </row>
    <row r="60">
      <c r="A60" t="str">
        <v>One Credit</v>
      </c>
      <c r="C60" t="str">
        <v>1 credit for designs providing flexibility through the use of building structural systems that allow for change in future use, and which is coordinated with interior planning modules.</v>
      </c>
    </row>
    <row r="62">
      <c r="C62" t="str">
        <v>Insert Credit Commentary Here</v>
      </c>
    </row>
    <row r="63">
      <c r="C63" t="str">
        <f>IFERROR(VLOOKUP($E59,$R:$S,2,FALSE),"-")</f>
        <v>-</v>
      </c>
    </row>
    <row r="64">
      <c r="A64">
        <v>3.2</v>
      </c>
      <c r="C64" t="str">
        <v>SELECTION OF MATERIALS</v>
      </c>
    </row>
    <row r="65">
      <c r="A65" t="str">
        <v>MA 5</v>
      </c>
      <c r="C65" t="str">
        <v>Rapidly Renewable Materials</v>
      </c>
      <c r="E65" t="str">
        <f>G65</f>
        <v>Insert No. of Credit(s) Here</v>
      </c>
      <c r="F65" t="str">
        <f>IF(G65="NA","NA",IF(OR(G65="NS",G65=0,G65=1,G65=2),2,"-"))</f>
        <v>-</v>
      </c>
      <c r="G65" t="str">
        <v>Insert No. of Credit(s) Here</v>
      </c>
    </row>
    <row r="66" xml:space="preserve">
      <c r="A66" t="str">
        <v>Two Credits</v>
      </c>
      <c r="C66" t="str" xml:space="preserve">
        <v xml:space="preserve">1 credit for demonstrating 2.5% of all building materials/products used in the project are rapidly renewable materials._x000d_
2 credits where 5% of all building materials/products used in the project are rapidly renewable materials.</v>
      </c>
    </row>
    <row r="68">
      <c r="C68" t="str">
        <v>Insert Credit Commentary Here</v>
      </c>
    </row>
    <row r="69">
      <c r="C69" t="str">
        <f>IFERROR(VLOOKUP($E65,$R:$S,2,FALSE),"-")</f>
        <v>-</v>
      </c>
    </row>
    <row r="70">
      <c r="A70" t="str">
        <v>MA 6</v>
      </c>
      <c r="C70" t="str">
        <v xml:space="preserve">Sustainable Forest Products </v>
      </c>
      <c r="E70" t="str">
        <f>G70</f>
        <v>Insert No. of Credit(s) Here</v>
      </c>
      <c r="F70" t="str">
        <f>IF(G70="NA","NA",IF(OR(G70="NS",G70=0,G70=1),1,"-"))</f>
        <v>-</v>
      </c>
      <c r="G70" t="str">
        <v>Insert No. of Credit(s) Here</v>
      </c>
    </row>
    <row r="71">
      <c r="A71" t="str">
        <v xml:space="preserve">One Credit </v>
      </c>
      <c r="C71" t="str">
        <v>1 credit for demonstrating at least 50% of all timber and composite timber products used in the project are from sustainable sources/recycled timber.</v>
      </c>
    </row>
    <row r="73">
      <c r="C73" t="str">
        <v>Insert Credit Commentary Here</v>
      </c>
    </row>
    <row r="74">
      <c r="C74" t="str">
        <f>IFERROR(VLOOKUP($E70,$R:$S,2,FALSE),"-")</f>
        <v>-</v>
      </c>
    </row>
    <row r="75">
      <c r="A75" t="str">
        <v>MA 7</v>
      </c>
      <c r="C75" t="str">
        <v>Recycled Materials</v>
      </c>
      <c r="E75" t="str">
        <f>G75</f>
        <v>Insert No. of Credit(s) Here</v>
      </c>
      <c r="F75" t="str">
        <f>IF(G75="NA","NA",IF(OR(G75="NS",G75=0,G75=1),1,"-"))</f>
        <v>-</v>
      </c>
      <c r="G75" t="str">
        <v>Insert No. of Credit(s) Here</v>
      </c>
    </row>
    <row r="76">
      <c r="A76" t="str">
        <v>MA 7a</v>
      </c>
      <c r="C76" t="str">
        <v>Outside Surface Works and Structures</v>
      </c>
    </row>
    <row r="77">
      <c r="A77" t="str">
        <v>One Credit</v>
      </c>
      <c r="C77" t="str">
        <v>1 credit for the use of recycled materials contributing to at least 10% of all materials used in site exterior surfacing work, structures and features.</v>
      </c>
    </row>
    <row r="79">
      <c r="C79" t="str">
        <v>Insert Credit Commentary Here</v>
      </c>
    </row>
    <row r="80">
      <c r="C80" t="str">
        <f>IFERROR(VLOOKUP($E75,$R:$S,2,FALSE),"-")</f>
        <v>-</v>
      </c>
    </row>
    <row r="81">
      <c r="A81" t="str">
        <v>MA 7b</v>
      </c>
      <c r="C81" t="str">
        <v>Building Structure</v>
      </c>
      <c r="E81" t="str">
        <f>G81</f>
        <v>Insert No. of Credit(s) Here</v>
      </c>
      <c r="F81" t="str">
        <f>IF(G81="NA","NA",IF(OR(G81="NS",G81=0,G81=1),1,"-"))</f>
        <v>-</v>
      </c>
      <c r="G81" t="str">
        <v>Insert No. of Credit(s) Here</v>
      </c>
    </row>
    <row r="82">
      <c r="A82" t="str">
        <v>One Credit</v>
      </c>
      <c r="C82" t="str">
        <v>1 credit where at least 10% of all building materials used for facade and structural components are recycled materials.</v>
      </c>
    </row>
    <row r="84">
      <c r="C84" t="str">
        <v>Insert Credit Commentary Here</v>
      </c>
    </row>
    <row r="85">
      <c r="C85" t="str">
        <f>IFERROR(VLOOKUP($E81,$R:$S,2,FALSE),"-")</f>
        <v>-</v>
      </c>
    </row>
    <row r="86">
      <c r="A86" t="str">
        <v>MA 7c</v>
      </c>
      <c r="C86" t="str">
        <v>Interior Components</v>
      </c>
      <c r="E86" t="str">
        <f>G86</f>
        <v>Insert No. of Credit(s) Here</v>
      </c>
      <c r="F86" t="str">
        <f>IF(G86="NA","NA",IF(OR(G86="NS",G86=0,G86=1),1,"-"))</f>
        <v>-</v>
      </c>
      <c r="G86" t="str">
        <v>Insert No. of Credit(s) Here</v>
      </c>
    </row>
    <row r="87">
      <c r="A87" t="str">
        <v>One Credit</v>
      </c>
      <c r="C87" t="str">
        <v>1 credit where at least 10% of all building materials used for interior non-structural components are recycled materials.</v>
      </c>
    </row>
    <row r="89">
      <c r="C89" t="str">
        <v>Insert Credit Commentary Here</v>
      </c>
    </row>
    <row r="90">
      <c r="C90" t="str">
        <f>IFERROR(VLOOKUP($E86,$R:$S,2,FALSE),"-")</f>
        <v>-</v>
      </c>
    </row>
    <row r="91">
      <c r="A91" t="str">
        <v>MA 8</v>
      </c>
      <c r="C91" t="str">
        <v>Ozone Depleting Substances</v>
      </c>
      <c r="E91" t="str">
        <f>G91</f>
        <v>Insert No. of Credit(s) Here</v>
      </c>
      <c r="F91" t="str">
        <f>IF(G91="NA","NA",IF(OR(G91="NS",G91=0,G91=1),1,"-"))</f>
        <v>-</v>
      </c>
      <c r="G91" t="str">
        <v>Insert No. of Credit(s) Here</v>
      </c>
    </row>
    <row r="92">
      <c r="A92" t="str">
        <v>MA 8a</v>
      </c>
      <c r="C92" t="str">
        <v>Refrigerants</v>
      </c>
    </row>
    <row r="93">
      <c r="A93" t="str">
        <v>One Credit</v>
      </c>
      <c r="C93" t="str">
        <v>1 credit for the use of refrigerants with a value less than or equal to the threshold of the combined contribution to ozone depletion and global warming potentials using the specified equation.</v>
      </c>
    </row>
    <row r="95">
      <c r="C95" t="str">
        <v>Insert Credit Commentary Here</v>
      </c>
    </row>
    <row r="96">
      <c r="C96" t="str">
        <f>IFERROR(VLOOKUP($E91,$R:$S,2,FALSE),"-")</f>
        <v>-</v>
      </c>
    </row>
    <row r="97">
      <c r="A97" t="str">
        <v>MA 8b</v>
      </c>
      <c r="C97" t="str">
        <v>Ozone Depleting Materials</v>
      </c>
      <c r="E97" t="str">
        <f>G97</f>
        <v>Insert No. of Credit(s) Here</v>
      </c>
      <c r="F97" t="str">
        <f>IF(G97="NA","NA",IF(OR(G97="NS",G97=0,G97=1),1,"-"))</f>
        <v>-</v>
      </c>
      <c r="G97" t="str">
        <v>Insert No. of Credit(s) Here</v>
      </c>
    </row>
    <row r="98">
      <c r="A98" t="str">
        <v>One Credit</v>
      </c>
      <c r="C98" t="str">
        <v>1 credit for the use of products in the building fabric and services that avoid using ozone depleting substances in their manufacture, composition or use.</v>
      </c>
    </row>
    <row r="100">
      <c r="C100" t="str">
        <v>Insert Credit Commentary Here</v>
      </c>
    </row>
    <row r="101">
      <c r="C101" t="str">
        <f>IFERROR(VLOOKUP($E97,$R:$S,2,FALSE),"-")</f>
        <v>-</v>
      </c>
    </row>
    <row r="102">
      <c r="A102" t="str">
        <v>MA 9</v>
      </c>
      <c r="C102" t="str">
        <v>Regionally Manufactured Materials</v>
      </c>
      <c r="E102" t="str">
        <f>G102</f>
        <v>Insert No. of Credit(s) Here</v>
      </c>
      <c r="F102" t="str">
        <f>IF(G102="NA","NA",IF(OR(G102="NS",G102=0,G102=1,G102=2),2,"-"))</f>
        <v>-</v>
      </c>
      <c r="G102" t="str">
        <v>Insert No. of Credit(s) Here</v>
      </c>
    </row>
    <row r="103" xml:space="preserve">
      <c r="A103" t="str">
        <v>Two Credits</v>
      </c>
      <c r="C103" t="str" xml:space="preserve">
        <v xml:space="preserve">1 credit for the use of materials manufactured locally within 800 km from the site, which contribute at least 10% of all building materials used in the project._x000d_
2 credits for the use of materials manufactured locally within 800 km from the site, which contribute at least 20% of all building materials used in the project.</v>
      </c>
    </row>
    <row r="105">
      <c r="C105" t="str">
        <v>Insert Credit Commentary Here</v>
      </c>
    </row>
    <row r="106">
      <c r="C106" t="str">
        <f>IFERROR(VLOOKUP($E102,$R:$S,2,FALSE),"-")</f>
        <v>-</v>
      </c>
    </row>
    <row r="107">
      <c r="A107">
        <v>3.3</v>
      </c>
      <c r="C107" t="str">
        <v>WASTE MANAGEMENT</v>
      </c>
    </row>
    <row r="108">
      <c r="A108" t="str">
        <v>MA 10</v>
      </c>
      <c r="C108" t="str">
        <v>Demolition Waste Reduction</v>
      </c>
      <c r="E108" t="str">
        <f>G108</f>
        <v>Insert No. of Credit(s) Here</v>
      </c>
      <c r="F108" t="str">
        <f>IF(G108="NA","NA",IF(OR(G108="NS",G108=0,G108=1,G108=2),2,"-"))</f>
        <v>-</v>
      </c>
      <c r="G108" t="str">
        <v>Insert No. of Credit(s) Here</v>
      </c>
      <c r="H108" t="str">
        <v>EXCLUSIONS: Projects where demolition is not required or is not under the Client’s control.</v>
      </c>
    </row>
    <row r="109" xml:space="preserve">
      <c r="A109" t="str">
        <v xml:space="preserve">Two Credits </v>
      </c>
      <c r="C109" t="str" xml:space="preserve">
        <v xml:space="preserve">1 credit for demonstrating that at least 30% of demolition waste is recycled._x000d_
2 credits for demonstrating that at least 60% of demolition waste is recycled.</v>
      </c>
    </row>
    <row r="111">
      <c r="C111" t="str">
        <v>Insert Credit Commentary Here</v>
      </c>
    </row>
    <row r="112">
      <c r="C112" t="str">
        <f>IFERROR(VLOOKUP($E108,$R:$S,2,FALSE),"-")</f>
        <v>-</v>
      </c>
    </row>
    <row r="113">
      <c r="A113" t="str">
        <v>MA 11</v>
      </c>
      <c r="C113" t="str">
        <v>Construction Waste Reduction</v>
      </c>
      <c r="E113" t="str">
        <f>G113</f>
        <v>Insert No. of Credit(s) Here</v>
      </c>
      <c r="F113" t="str">
        <f>IF(G113="NA","NA",IF(OR(G113="NS",G113=0,G113=1,G113=2),2,"-"))</f>
        <v>-</v>
      </c>
      <c r="G113" t="str">
        <v>Insert No. of Credit(s) Here</v>
      </c>
    </row>
    <row r="114" xml:space="preserve">
      <c r="A114" t="str">
        <v>Two Credits</v>
      </c>
      <c r="C114" t="str" xml:space="preserve">
        <v xml:space="preserve">1 credit for demonstrating that at least 30% of construction waste is recycled._x000d_
2 credits for demonstration that at least 60% of construction waste is recycled.</v>
      </c>
    </row>
    <row r="116">
      <c r="C116" t="str">
        <v>Insert Credit Commentary Here</v>
      </c>
    </row>
    <row r="117">
      <c r="C117" t="str">
        <f>IFERROR(VLOOKUP($E113,$R:$S,2,FALSE),"-")</f>
        <v>-</v>
      </c>
    </row>
    <row r="118">
      <c r="A118" t="str">
        <v xml:space="preserve"> Sub-Total Number of Applicable MA Credit</v>
      </c>
      <c r="E118">
        <f>F118</f>
        <v>0</v>
      </c>
      <c r="F118">
        <f>SUM(F29:F117)</f>
        <v>0</v>
      </c>
      <c r="H118" t="str">
        <v>Excluding Bonus Credits</v>
      </c>
    </row>
    <row r="119">
      <c r="A119" t="str">
        <v>Number of Achieved MA Credit</v>
      </c>
      <c r="E119">
        <f>G119</f>
        <v>0</v>
      </c>
      <c r="G119">
        <f>SUM(G29,G38:G117)</f>
        <v>0</v>
      </c>
    </row>
    <row r="297">
      <c r="R297" t="str">
        <v>NS</v>
      </c>
      <c r="S297" t="str">
        <f>"No information was submitted. Credit is not achieved in the "&amp; 'Project Summary'!C9 &amp; "."</f>
        <v>No information was submitted. Credit is not achieved in the Provisional Assessment.</v>
      </c>
      <c r="U297" t="str">
        <v>PR</v>
      </c>
      <c r="V297" t="str">
        <f>"The prerequisite is achieved in the " &amp; 'Project Summary'!C9&amp; "."</f>
        <v>The prerequisite is achieved in the Provisional Assessment.</v>
      </c>
    </row>
    <row r="298">
      <c r="R298" t="str">
        <v>NA</v>
      </c>
      <c r="S298" t="str">
        <f>"Credit is not applicable in the "&amp; 'Project Summary'!C9 &amp; "."</f>
        <v>Credit is not applicable in the Provisional Assessment.</v>
      </c>
      <c r="U298" t="str">
        <v>NA</v>
      </c>
      <c r="V298" t="str">
        <f>"The prerequisite is not applicable in the " &amp; 'Project Summary'!C9&amp; "."</f>
        <v>The prerequisite is not applicable in the Provisional Assessment.</v>
      </c>
    </row>
    <row r="299">
      <c r="R299">
        <v>0</v>
      </c>
      <c r="S299" t="str">
        <f>"Credit is not achieved in the "&amp; 'Project Summary'!C9 &amp; "."</f>
        <v>Credit is not achieved in the Provisional Assessment.</v>
      </c>
      <c r="U299">
        <v>0</v>
      </c>
      <c r="V299" t="str">
        <f>"The prerequisite is not achieved in the " &amp; 'Project Summary'!C9&amp; "."</f>
        <v>The prerequisite is not achieved in the Provisional Assessment.</v>
      </c>
    </row>
    <row r="300">
      <c r="R300">
        <v>1</v>
      </c>
      <c r="S300" t="str">
        <f>"1 credit is achieved in the "&amp; 'Project Summary'!C9 &amp; "."</f>
        <v>1 credit is achieved in the Provisional Assessment.</v>
      </c>
    </row>
    <row r="301">
      <c r="R301">
        <v>2</v>
      </c>
      <c r="S301" t="str">
        <f>"2 credits are achieved in the "&amp; 'Project Summary'!C9 &amp; "."</f>
        <v>2 credits are achieved in the Provisional Assessment.</v>
      </c>
    </row>
    <row r="303">
      <c r="R303">
        <v>3</v>
      </c>
      <c r="S303" t="str">
        <f>"3 credits are achieved in the "&amp; 'Project Summary'!C9 &amp; "."</f>
        <v>3 credits are achieved in the Provisional Assessment.</v>
      </c>
    </row>
    <row r="304">
      <c r="R304">
        <v>4</v>
      </c>
      <c r="S304" t="str">
        <f>"4 credits are achieved in the "&amp; 'Project Summary'!C9 &amp; "."</f>
        <v>4 credits are achieved in the Provisional Assessment.</v>
      </c>
    </row>
    <row r="305">
      <c r="R305">
        <v>5</v>
      </c>
      <c r="S305" t="str">
        <f>"5 credits are achieved in the "&amp; 'Project Summary'!C9 &amp; "."</f>
        <v>5 credits are achieved in the Provisional Assessment.</v>
      </c>
    </row>
    <row r="306">
      <c r="R306">
        <v>6</v>
      </c>
      <c r="S306" t="str">
        <f>"6 credits are achieved in the "&amp; 'Project Summary'!C9 &amp; "."</f>
        <v>6 credits are achieved in the Provisional Assessment.</v>
      </c>
    </row>
    <row r="307">
      <c r="R307">
        <v>7</v>
      </c>
      <c r="S307" t="str">
        <f>"7 credits are achieved in the "&amp; 'Project Summary'!C9 &amp; "."</f>
        <v>7 credits are achieved in the Provisional Assessment.</v>
      </c>
    </row>
    <row r="308">
      <c r="R308">
        <v>8</v>
      </c>
      <c r="S308" t="str">
        <f>"8 credits are achieved in the "&amp; 'Project Summary'!C9 &amp; "."</f>
        <v>8 credits are achieved in the Provisional Assessment.</v>
      </c>
    </row>
    <row r="309">
      <c r="R309">
        <v>9</v>
      </c>
      <c r="S309" t="str">
        <f>"9 credits are achieved in the "&amp; 'Project Summary'!C9 &amp; "."</f>
        <v>9 credits are achieved in the Provisional Assessment.</v>
      </c>
    </row>
    <row r="310">
      <c r="R310">
        <v>10</v>
      </c>
      <c r="S310" t="str">
        <f>"10 credits are achieved in the "&amp; 'Project Summary'!C9 &amp; "."</f>
        <v>10 credits are achieved in the Provisional Assessment.</v>
      </c>
    </row>
    <row r="311">
      <c r="R311">
        <v>11</v>
      </c>
      <c r="S311" t="str">
        <f>"11 credits are achieved in the "&amp; 'Project Summary'!C9 &amp; "."</f>
        <v>11 credits are achieved in the Provisional Assessment.</v>
      </c>
    </row>
    <row r="312">
      <c r="R312">
        <v>12</v>
      </c>
      <c r="S312" t="str">
        <f>"12 credits are achieved in the "&amp; 'Project Summary'!C9 &amp; "."</f>
        <v>12 credits are achieved in the Provisional Assessment.</v>
      </c>
    </row>
    <row r="313">
      <c r="R313">
        <v>13</v>
      </c>
      <c r="S313" t="str">
        <f>"13 credits are achieved in the "&amp; 'Project Summary'!C9 &amp; "."</f>
        <v>13 credits are achieved in the Provisional Assessment.</v>
      </c>
    </row>
    <row r="314">
      <c r="R314">
        <v>14</v>
      </c>
      <c r="S314" t="str">
        <f>"14 credits are achieved in the "&amp; 'Project Summary'!C9 &amp; "."</f>
        <v>14 credits are achieved in the Provisional Assessment.</v>
      </c>
    </row>
    <row r="315">
      <c r="Q315" t="str">
        <v>List</v>
      </c>
      <c r="R315">
        <v>15</v>
      </c>
      <c r="S315" t="str">
        <f>"15 credits are achieved in the "&amp; 'Project Summary'!C9 &amp; "."</f>
        <v>15 credits are achieved in the Provisional Assessment.</v>
      </c>
    </row>
    <row r="316">
      <c r="Q316" t="str">
        <v>PR</v>
      </c>
      <c r="R316" t="str">
        <v>1B</v>
      </c>
      <c r="S316" t="str">
        <f>"1 Bonus credit is achieved in the "&amp; 'Project Summary'!C9 &amp; "."</f>
        <v>1 Bonus credit is achieved in the Provisional Assessment.</v>
      </c>
    </row>
    <row r="317">
      <c r="Q317" t="str">
        <v>NA</v>
      </c>
    </row>
    <row r="318">
      <c r="Q318">
        <v>0</v>
      </c>
    </row>
    <row r="320">
      <c r="Q320" t="str">
        <v>NA</v>
      </c>
    </row>
    <row r="321">
      <c r="Q321" t="str">
        <v>NS</v>
      </c>
    </row>
    <row r="322">
      <c r="Q322">
        <v>1</v>
      </c>
    </row>
    <row r="323">
      <c r="Q323">
        <v>0</v>
      </c>
    </row>
    <row r="325">
      <c r="Q325" t="str">
        <v>NA</v>
      </c>
    </row>
    <row r="326">
      <c r="Q326" t="str">
        <v>NS</v>
      </c>
    </row>
    <row r="327">
      <c r="Q327">
        <v>2</v>
      </c>
    </row>
    <row r="328">
      <c r="Q328">
        <v>1</v>
      </c>
    </row>
    <row r="329">
      <c r="Q329">
        <v>0</v>
      </c>
    </row>
    <row r="331">
      <c r="Q331" t="str">
        <v>NA</v>
      </c>
    </row>
    <row r="332">
      <c r="Q332">
        <v>1</v>
      </c>
    </row>
    <row r="334">
      <c r="Q334" t="str">
        <v>NA</v>
      </c>
    </row>
    <row r="335">
      <c r="Q335">
        <v>2</v>
      </c>
    </row>
  </sheetData>
  <mergeCells count="82">
    <mergeCell ref="F108:F112"/>
    <mergeCell ref="F113:F117"/>
    <mergeCell ref="H102:H106"/>
    <mergeCell ref="H108:H112"/>
    <mergeCell ref="H113:H117"/>
    <mergeCell ref="G108:G112"/>
    <mergeCell ref="G113:G117"/>
    <mergeCell ref="G102:G106"/>
    <mergeCell ref="F102:F106"/>
    <mergeCell ref="G65:G69"/>
    <mergeCell ref="F91:F96"/>
    <mergeCell ref="H38:H42"/>
    <mergeCell ref="G75:G80"/>
    <mergeCell ref="H43:H47"/>
    <mergeCell ref="H65:H69"/>
    <mergeCell ref="H70:H74"/>
    <mergeCell ref="F38:F42"/>
    <mergeCell ref="F48:F53"/>
    <mergeCell ref="F54:F58"/>
    <mergeCell ref="F75:F80"/>
    <mergeCell ref="G59:G63"/>
    <mergeCell ref="F59:F63"/>
    <mergeCell ref="F43:F47"/>
    <mergeCell ref="H118:H119"/>
    <mergeCell ref="H48:H63"/>
    <mergeCell ref="H75:H90"/>
    <mergeCell ref="F86:F90"/>
    <mergeCell ref="G81:G85"/>
    <mergeCell ref="G86:G90"/>
    <mergeCell ref="G91:G96"/>
    <mergeCell ref="G97:G101"/>
    <mergeCell ref="F70:F74"/>
    <mergeCell ref="G70:G74"/>
    <mergeCell ref="F65:F69"/>
    <mergeCell ref="F81:F85"/>
    <mergeCell ref="F97:F101"/>
    <mergeCell ref="H91:H101"/>
    <mergeCell ref="G48:G53"/>
    <mergeCell ref="G54:G58"/>
    <mergeCell ref="F8:F12"/>
    <mergeCell ref="F13:F17"/>
    <mergeCell ref="F18:F22"/>
    <mergeCell ref="F23:F27"/>
    <mergeCell ref="F34:F37"/>
    <mergeCell ref="F29:F33"/>
    <mergeCell ref="G34:G37"/>
    <mergeCell ref="G38:G42"/>
    <mergeCell ref="G43:G47"/>
    <mergeCell ref="H29:H37"/>
    <mergeCell ref="G8:G12"/>
    <mergeCell ref="G13:G17"/>
    <mergeCell ref="G18:G22"/>
    <mergeCell ref="G23:G27"/>
    <mergeCell ref="G29:G33"/>
    <mergeCell ref="H8:H12"/>
    <mergeCell ref="H13:H17"/>
    <mergeCell ref="H18:H22"/>
    <mergeCell ref="H23:H27"/>
    <mergeCell ref="A6:C6"/>
    <mergeCell ref="E8:E12"/>
    <mergeCell ref="E13:E17"/>
    <mergeCell ref="E18:E22"/>
    <mergeCell ref="E48:E53"/>
    <mergeCell ref="E23:E27"/>
    <mergeCell ref="E29:E33"/>
    <mergeCell ref="E34:E37"/>
    <mergeCell ref="E38:E42"/>
    <mergeCell ref="E43:E47"/>
    <mergeCell ref="E54:E58"/>
    <mergeCell ref="E59:E63"/>
    <mergeCell ref="E65:E69"/>
    <mergeCell ref="E70:E74"/>
    <mergeCell ref="E75:E80"/>
    <mergeCell ref="A118:C118"/>
    <mergeCell ref="A119:C119"/>
    <mergeCell ref="E113:E117"/>
    <mergeCell ref="E81:E85"/>
    <mergeCell ref="E86:E90"/>
    <mergeCell ref="E91:E96"/>
    <mergeCell ref="E97:E101"/>
    <mergeCell ref="E102:E106"/>
    <mergeCell ref="E108:E112"/>
  </mergeCells>
  <pageMargins left="0.7874015748031497" right="0.5511811023622047" top="0.5118110236220472" bottom="0.7480314960629921" header="0.31496062992125984" footer="0.31496062992125984"/>
  <ignoredErrors>
    <ignoredError numberStoredAsText="1" sqref="A1:Y335"/>
  </ignoredErrors>
</worksheet>
</file>

<file path=xl/worksheets/sheet4.xml><?xml version="1.0" encoding="utf-8"?>
<worksheet xmlns="http://schemas.openxmlformats.org/spreadsheetml/2006/main" xmlns:r="http://schemas.openxmlformats.org/officeDocument/2006/relationships">
  <dimension ref="A1:AR1009"/>
  <sheetViews>
    <sheetView workbookViewId="0"/>
  </sheetViews>
  <sheetData>
    <row r="1">
      <c r="I1" t="str">
        <v>NB v1.2_20200504</v>
      </c>
      <c r="T1" t="str">
        <v>Categories</v>
      </c>
      <c r="U1" t="str">
        <v xml:space="preserve">Type of Area Classification </v>
      </c>
      <c r="V1" t="str">
        <v>Area (m2)</v>
      </c>
      <c r="W1" t="str">
        <v>% Area</v>
      </c>
      <c r="Y1">
        <v>13</v>
      </c>
    </row>
    <row r="2">
      <c r="H2" t="str">
        <f>'Project Summary'!C6</f>
        <v>2123-123XX(x)</v>
      </c>
      <c r="T2" t="str">
        <v>A</v>
      </c>
      <c r="W2" t="e">
        <f>V2/$V$6</f>
        <v>#DIV/0!</v>
      </c>
      <c r="Y2">
        <v>20</v>
      </c>
    </row>
    <row r="3">
      <c r="H3" t="str">
        <f>"BEAM Plus " &amp; 'Project Summary'!C9 &amp; " Report For"</f>
        <v>BEAM Plus Provisional Assessment Report For</v>
      </c>
      <c r="T3" t="str">
        <v>B</v>
      </c>
      <c r="U3" t="str">
        <v xml:space="preserve"> </v>
      </c>
      <c r="W3" t="e">
        <f>V3/$V$6</f>
        <v>#DIV/0!</v>
      </c>
      <c r="Y3">
        <v>29</v>
      </c>
    </row>
    <row r="4">
      <c r="A4" t="str">
        <v xml:space="preserve">Appendix A - Credit Summary </v>
      </c>
      <c r="H4" t="str">
        <f>'Project Summary'!C7</f>
        <v>ABC Residential Development</v>
      </c>
      <c r="T4" t="str">
        <v>C</v>
      </c>
      <c r="W4" t="e">
        <f>V4/$V$6</f>
        <v>#DIV/0!</v>
      </c>
      <c r="Y4">
        <v>37</v>
      </c>
    </row>
    <row r="5">
      <c r="T5" t="str">
        <v>D</v>
      </c>
      <c r="W5" t="e">
        <f>V5/$V$6</f>
        <v>#DIV/0!</v>
      </c>
      <c r="Y5">
        <v>45</v>
      </c>
    </row>
    <row r="6">
      <c r="A6" t="str">
        <v>Energy Use</v>
      </c>
      <c r="E6" t="str">
        <v>Credit</v>
      </c>
      <c r="I6" t="str">
        <v>Credits Applicable</v>
      </c>
      <c r="M6" t="str">
        <v>Credit(s) Achieved</v>
      </c>
      <c r="Q6" t="str">
        <v>Remarks</v>
      </c>
      <c r="R6" t="str">
        <v>No. of NA Credits</v>
      </c>
      <c r="S6" t="str">
        <v>No. of Contested Credits</v>
      </c>
      <c r="U6" t="str">
        <v>Total Area</v>
      </c>
      <c r="V6">
        <f>SUM(V2:V5)</f>
        <v>0</v>
      </c>
      <c r="Y6">
        <v>53</v>
      </c>
    </row>
    <row r="7">
      <c r="E7" t="str">
        <v>Area Categories</v>
      </c>
      <c r="I7" t="str">
        <v>Area Categories</v>
      </c>
      <c r="M7" t="str">
        <v>Area Categories</v>
      </c>
      <c r="Y7">
        <v>61</v>
      </c>
    </row>
    <row r="8">
      <c r="E8" t="str">
        <v>A</v>
      </c>
      <c r="F8" t="str">
        <v>B</v>
      </c>
      <c r="G8" t="str">
        <v>C</v>
      </c>
      <c r="H8" t="str">
        <v>D</v>
      </c>
      <c r="I8" t="str">
        <v>A</v>
      </c>
      <c r="J8" t="str">
        <v>B</v>
      </c>
      <c r="K8" t="str">
        <v>C</v>
      </c>
      <c r="L8" t="str">
        <v>D</v>
      </c>
      <c r="M8" t="str">
        <v>A</v>
      </c>
      <c r="N8" t="str">
        <v>B</v>
      </c>
      <c r="O8" t="str">
        <v>C</v>
      </c>
      <c r="P8" t="str">
        <v>D</v>
      </c>
      <c r="Y8">
        <v>70</v>
      </c>
    </row>
    <row r="9">
      <c r="A9" t="str">
        <v>4.P</v>
      </c>
      <c r="C9" t="str">
        <v>PREREQUISITE</v>
      </c>
      <c r="Y9">
        <v>79</v>
      </c>
    </row>
    <row r="10">
      <c r="A10" t="str">
        <v>EU P1</v>
      </c>
      <c r="C10" t="str">
        <v>Minimum Energy Performance</v>
      </c>
      <c r="E10" t="str">
        <f>M10</f>
        <v>PR</v>
      </c>
      <c r="I10" t="str">
        <v>Pre-requisite</v>
      </c>
      <c r="M10" t="str">
        <v>PR</v>
      </c>
      <c r="R10" t="str">
        <f>IF(M10="NA","NA","")</f>
        <v/>
      </c>
      <c r="Y10">
        <v>86</v>
      </c>
    </row>
    <row r="11">
      <c r="C11" t="str">
        <v>Demonstrate compliance with the latest edition of Building Energy Codes (BEC).</v>
      </c>
      <c r="Y11">
        <v>91</v>
      </c>
    </row>
    <row r="12">
      <c r="Y12">
        <v>99</v>
      </c>
    </row>
    <row r="13">
      <c r="C13" t="str">
        <v>The Applicant submitted an undertaking letter by the project’s Registered Energy Assessor (REA) confirming the E&amp;M installation works for the project development will comply with BEC 2018. The Applicant also submitted the REA record.</v>
      </c>
      <c r="Y13">
        <v>107</v>
      </c>
    </row>
    <row r="14">
      <c r="C14" t="str">
        <f>IFERROR(VLOOKUP($E10,$AE:$AF,2,FALSE),"-")</f>
        <v>The prerequisite is achieved in the Provisional Assessment.</v>
      </c>
      <c r="Y14">
        <v>116</v>
      </c>
    </row>
    <row r="15">
      <c r="A15">
        <v>4.1</v>
      </c>
      <c r="C15" t="str">
        <v>ANNUAL ENERGY USE</v>
      </c>
      <c r="Y15">
        <v>124</v>
      </c>
    </row>
    <row r="16">
      <c r="A16" t="str">
        <v>EU 1</v>
      </c>
      <c r="C16" t="str">
        <v>Reduction of CO2 Emission</v>
      </c>
      <c r="E16">
        <f>IF(M16&lt;&gt;"",M16,"")</f>
        <v>12</v>
      </c>
      <c r="F16">
        <f>IF(N16&lt;&gt;"",N16,"")</f>
        <v>15</v>
      </c>
      <c r="G16" t="str">
        <f>IF(O16&lt;&gt;"",O16,"")</f>
        <v/>
      </c>
      <c r="H16" t="str">
        <f>IF(P16&lt;&gt;"",P16,"")</f>
        <v/>
      </c>
      <c r="I16">
        <f>IF(M16="NA","NA",IF(AND(M16&lt;&gt;"",OR(M16="NS",M16&gt;=0)),15,"-"))</f>
        <v>15</v>
      </c>
      <c r="J16">
        <f>IF(N16="NA","NA",IF(AND(N16&lt;&gt;"",OR(N16="NS",N16&gt;=0)),15,"-"))</f>
        <v>15</v>
      </c>
      <c r="K16" t="str">
        <f>IF(O16="NA","NA",IF(AND(O16&lt;&gt;"",OR(O16="NS",O16&gt;=0)),15,"-"))</f>
        <v>-</v>
      </c>
      <c r="L16" t="str">
        <f>IF(P16="NA","NA",IF(AND(P16&lt;&gt;"",OR(P16="NS",P16&gt;=0)),15,"-"))</f>
        <v>-</v>
      </c>
      <c r="M16">
        <v>12</v>
      </c>
      <c r="N16">
        <v>15</v>
      </c>
      <c r="R16" t="str">
        <f>IF(COUNTIF(M16:P24,"NA")/COUNTA(M16:P24)=1,"NA","")</f>
        <v/>
      </c>
      <c r="S16" t="str">
        <f>IF(COUNTIF(M16:P24,0)&gt;0,0,"")</f>
        <v/>
      </c>
      <c r="Y16">
        <v>132</v>
      </c>
    </row>
    <row r="17">
      <c r="C17" t="str">
        <v>Estimated Annual Energy Consumption for COMMERCIAL AND HOTEL Buildings [BEC 2018]</v>
      </c>
      <c r="Y17">
        <v>142</v>
      </c>
    </row>
    <row r="18" xml:space="preserve">
      <c r="A18" t="str">
        <v>Fifteen Credits</v>
      </c>
      <c r="C18" t="str" xml:space="preserve">
        <f>IFERROR(VLOOKUP(C17,$AC:$AD,2,FALSE),"-")</f>
        <v xml:space="preserve">3 credits for a reduction in the annual energy consumption by 1 %_x000d_
4 credits for a reduction in the annual energy consumption by 3 %_x000d_
5 credits for a reduction in the annual energy consumption by 5 %_x000d_
6 credits for a reduction in the annual energy consumption by 7 %_x000d_
7 credits for a reduction in the annual energy consumption by 9 %_x000d_
8 credits for a reduction in the annual energy consumption by 11 %_x000d_
9 credits for a reduction in the annual energy consumption by 13 %_x000d_
10 credits for a reduction in the annual energy consumption by 16 %_x000d_
11 credits for a reduction in the annual energy consumption by 19 %_x000d_
12 credits for a reduction in the annual energy consumption by 22 %_x000d_
13 credits for a reduction in the annual energy consumption by 25%_x000d_
14 credits for a reduction in the annual energy consumption by 28 %_x000d_
15 credits for a reduction in the annual energy consumption by 32 %</v>
      </c>
      <c r="Y18">
        <v>150</v>
      </c>
    </row>
    <row r="19" xml:space="preserve">
      <c r="C19" t="str" xml:space="preserve">
        <v xml:space="preserve">The Applicant submitted energy analysis report. The baseline case is in accordance with BEC 2018 and BEAM Plus requirement. The Applicant also submitted design information such as BS drawings, envelope information, equipment catalogues and calculations to substantiate the energy analysis._x000d_
_x000d_
As per the results, 23.54% (Baseline: 16140601.75 kg CO2; Proposed: 12340992.79 kg CO2) and 37.52% (Baseline: 1808737.7 kg CO2; Proposed: 1130012.94 kg CO2) carbon emission reduction are achieved for Category A (Office) and Category B (Carpark) respectively.</v>
      </c>
      <c r="Y19">
        <v>158</v>
      </c>
    </row>
    <row r="20">
      <c r="Y20">
        <v>166</v>
      </c>
    </row>
    <row r="21">
      <c r="C21" t="str">
        <f>"Category A   " &amp; IFERROR(VLOOKUP(E$16,$AB:$AC,2,FALSE),"")</f>
        <v>Category A   12 credits are achieved in the Provisional Assessment.</v>
      </c>
      <c r="Y21">
        <v>174</v>
      </c>
    </row>
    <row r="22">
      <c r="C22" t="str">
        <f>"Category B   " &amp; IFERROR(VLOOKUP(F$16,$AB:$AC,2,FALSE),"")</f>
        <v>Category B   15 credits are achieved in the Provisional Assessment.</v>
      </c>
      <c r="Y22">
        <v>204</v>
      </c>
    </row>
    <row r="23">
      <c r="C23" t="str">
        <f>"Category C   " &amp; IFERROR(VLOOKUP(G$16,$AB:$AC,2,FALSE),"")</f>
        <v xml:space="preserve">Category C   </v>
      </c>
      <c r="Y23">
        <v>214</v>
      </c>
    </row>
    <row r="24">
      <c r="C24" t="str">
        <f>"Category D   " &amp; IFERROR(VLOOKUP(H$16,$AB:$AC,2,FALSE),"")</f>
        <v xml:space="preserve">Category D   </v>
      </c>
    </row>
    <row r="25">
      <c r="A25" t="str">
        <v>EU 1</v>
      </c>
      <c r="C25" t="str">
        <v>Alternative Route: Passive Design</v>
      </c>
      <c r="E25" t="str">
        <f>IF(M25&lt;&gt;"",M25,"")</f>
        <v>NA</v>
      </c>
      <c r="F25" t="str">
        <f>IF(N25&lt;&gt;"",N25,"")</f>
        <v>NA</v>
      </c>
      <c r="G25" t="str">
        <f>IF(O25&lt;&gt;"",O25,"")</f>
        <v/>
      </c>
      <c r="H25" t="str">
        <f>IF(P25&lt;&gt;"",P25,"")</f>
        <v/>
      </c>
      <c r="I25" t="str">
        <f>IF(M25="NA","NA",IF(AND(M25&lt;&gt;"",OR(M25="NS",M25&gt;=0)),3,"-"))</f>
        <v>NA</v>
      </c>
      <c r="J25" t="str">
        <f>IF(N25="NA","NA",IF(AND(N25&lt;&gt;"",OR(N25="NS",N25&gt;=0)),3,"-"))</f>
        <v>NA</v>
      </c>
      <c r="K25" t="str">
        <f>IF(O25="NA","NA",IF(AND(O25&lt;&gt;"",OR(O25="NS",O25&gt;=0)),3,"-"))</f>
        <v>-</v>
      </c>
      <c r="L25" t="str">
        <f>IF(P25="NA","NA",IF(AND(P25&lt;&gt;"",OR(P25="NS",P25&gt;=0)),3,"-"))</f>
        <v>-</v>
      </c>
      <c r="M25" t="str">
        <v>NA</v>
      </c>
      <c r="N25" t="str">
        <v>NA</v>
      </c>
      <c r="Q25" t="str">
        <v>EXCLUSIONS: Buildings without carpark or carpark area less than 10% CFA.</v>
      </c>
      <c r="R25" t="str">
        <f>IF(COUNTIF(M25:P33,"NA")/COUNTA(M25:P33)=1,"NA","")</f>
        <v>NA</v>
      </c>
      <c r="S25" t="str">
        <f>IF(COUNTIF(M25:P33,0)&gt;0,0,"")</f>
        <v/>
      </c>
    </row>
    <row r="26">
      <c r="A26" t="str">
        <v>EU 1a</v>
      </c>
      <c r="C26" t="str">
        <v>Site Planning/Building Orientation</v>
      </c>
    </row>
    <row r="27" xml:space="preserve">
      <c r="A27" t="str">
        <v>Three Credits</v>
      </c>
      <c r="C27" t="str" xml:space="preserve">
        <v xml:space="preserve">Site Planning:_x000d_
1 credit attained if the permeability of the site is in accordance with APP 152._x000d_
2 credits attained if the permeability of the site is 33% or more in both projection planes in accordance with APP 152._x000d_
Alternatively the second credit can be achieved by:_x000d_
Carrying out a performance assessment to show an improvement in ventilation performance for the proposed case compared with a site with a permeability of 33%._x000d_
_x000d_
Building Orientation:_x000d_
1 credit attained if the average solar irradiation of all facades is ≤ 80% of baseline solar irradiation value of 395 kWhr/m²/ apr-oct.</v>
      </c>
    </row>
    <row r="29">
      <c r="C29" t="str">
        <v>Insert Credit Commentary Here</v>
      </c>
    </row>
    <row r="30">
      <c r="C30" t="str">
        <f>"Category A   " &amp; IFERROR(VLOOKUP(E$25,$AB:$AC,2,FALSE),"")</f>
        <v>Category A   Credit is not applicable in the Provisional Assessment.</v>
      </c>
    </row>
    <row r="31">
      <c r="C31" t="str">
        <f>"Category B   " &amp; IFERROR(VLOOKUP(F$25,$AB:$AC,2,FALSE),"")</f>
        <v>Category B   Credit is not applicable in the Provisional Assessment.</v>
      </c>
    </row>
    <row r="32">
      <c r="C32" t="str">
        <f>"Category C   " &amp; IFERROR(VLOOKUP(G$25,$AB:$AC,2,FALSE),"")</f>
        <v xml:space="preserve">Category C   </v>
      </c>
    </row>
    <row r="33">
      <c r="C33" t="str">
        <f>"Category D   " &amp; IFERROR(VLOOKUP(H$25,$AB:$AC,2,FALSE),"")</f>
        <v xml:space="preserve">Category D   </v>
      </c>
    </row>
    <row r="34">
      <c r="A34" t="str">
        <v>EU 1b</v>
      </c>
      <c r="C34" t="str">
        <v>Building Envelope</v>
      </c>
      <c r="E34" t="str">
        <f>IF(M34&lt;&gt;"",M34,"")</f>
        <v>NA</v>
      </c>
      <c r="F34" t="str">
        <f>IF(N34&lt;&gt;"",N34,"")</f>
        <v>NA</v>
      </c>
      <c r="G34" t="str">
        <f>IF(O34&lt;&gt;"",O34,"")</f>
        <v/>
      </c>
      <c r="H34" t="str">
        <f>IF(P34&lt;&gt;"",P34,"")</f>
        <v/>
      </c>
      <c r="I34" t="str">
        <f>IF(M34="NA","NA",IF(AND(M34&lt;&gt;"",OR(M34="NS",M34&gt;=0)),5,"-"))</f>
        <v>NA</v>
      </c>
      <c r="J34" t="str">
        <f>IF(N34="NA","NA",IF(AND(N34&lt;&gt;"",OR(N34="NS",N34&gt;=0)),5,"-"))</f>
        <v>NA</v>
      </c>
      <c r="K34" t="str">
        <f>IF(O34="NA","NA",IF(AND(O34&lt;&gt;"",OR(O34="NS",O34&gt;=0)),5,"-"))</f>
        <v>-</v>
      </c>
      <c r="L34" t="str">
        <f>IF(P34="NA","NA",IF(AND(P34&lt;&gt;"",OR(P34="NS",P34&gt;=0)),5,"-"))</f>
        <v>-</v>
      </c>
      <c r="M34" t="str">
        <v>NA</v>
      </c>
      <c r="N34" t="str">
        <v>NA</v>
      </c>
      <c r="R34" t="str">
        <f>IF(COUNTIF(M34:P41,"NA")/COUNTA(M34:P41)=1,"NA","")</f>
        <v>NA</v>
      </c>
    </row>
    <row r="35" xml:space="preserve">
      <c r="A35" t="str">
        <v>Five Credits</v>
      </c>
      <c r="C35" t="str" xml:space="preserve">
        <v xml:space="preserve">Prescriptive Approach:_x000d_
1 credit if 28.0 W/m2 ≤ OTTV &lt; 30.0 W/m²_x000d_
2 credits if 26.0 W/m2 ≤ OTTV &lt; 28.0 W/m²_x000d_
3 credits if 24.0 W/m2 ≤ OTTV &lt; 26.0 W/m²_x000d_
4 credits if 22.0 W/m2 ≤ OTTV &lt; 24.0 W/m²_x000d_
5 credits if 20.0 W/m2 ≤ OTTV &lt; 22.0 W/m²</v>
      </c>
    </row>
    <row r="37">
      <c r="C37" t="str">
        <v>Insert Credit Commentary Here</v>
      </c>
    </row>
    <row r="38">
      <c r="C38" t="str">
        <f>"Category A   " &amp; IFERROR(VLOOKUP(E$34,$AB:$AC,2,FALSE),"")</f>
        <v>Category A   Credit is not applicable in the Provisional Assessment.</v>
      </c>
    </row>
    <row r="39">
      <c r="C39" t="str">
        <f>"Category B   " &amp; IFERROR(VLOOKUP(F$34,$AB:$AC,2,FALSE),"")</f>
        <v>Category B   Credit is not applicable in the Provisional Assessment.</v>
      </c>
    </row>
    <row r="40">
      <c r="C40" t="str">
        <f>"Category C   " &amp; IFERROR(VLOOKUP(G$34,$AB:$AC,2,FALSE),"")</f>
        <v xml:space="preserve">Category C   </v>
      </c>
    </row>
    <row r="41">
      <c r="C41" t="str">
        <f>"Category D   " &amp; IFERROR(VLOOKUP(H$34,$AB:$AC,2,FALSE),"")</f>
        <v xml:space="preserve">Category D   </v>
      </c>
    </row>
    <row r="42">
      <c r="A42" t="str">
        <v>EU 1c</v>
      </c>
      <c r="C42" t="str">
        <v>Natural Ventilation</v>
      </c>
      <c r="E42" t="str">
        <f>IF(M42&lt;&gt;"",M42,"")</f>
        <v>NA</v>
      </c>
      <c r="F42" t="str">
        <f>IF(N42&lt;&gt;"",N42,"")</f>
        <v>NA</v>
      </c>
      <c r="G42" t="str">
        <f>IF(O42&lt;&gt;"",O42,"")</f>
        <v/>
      </c>
      <c r="H42" t="str">
        <f>IF(P42&lt;&gt;"",P42,"")</f>
        <v/>
      </c>
      <c r="I42" t="str">
        <f>IF(M42="NA","NA",IF(AND(M42&lt;&gt;"",OR(M42="NS",M42&gt;=0)),5,"-"))</f>
        <v>NA</v>
      </c>
      <c r="J42" t="str">
        <f>IF(N42="NA","NA",IF(AND(N42&lt;&gt;"",OR(N42="NS",N42&gt;=0)),5,"-"))</f>
        <v>NA</v>
      </c>
      <c r="K42" t="str">
        <f>IF(O42="NA","NA",IF(AND(O42&lt;&gt;"",OR(O42="NS",O42&gt;=0)),5,"-"))</f>
        <v>-</v>
      </c>
      <c r="L42" t="str">
        <f>IF(P42="NA","NA",IF(AND(P42&lt;&gt;"",OR(P42="NS",P42&gt;=0)),5,"-"))</f>
        <v>-</v>
      </c>
      <c r="M42" t="str">
        <v>NA</v>
      </c>
      <c r="N42" t="str">
        <v>NA</v>
      </c>
      <c r="R42" t="str">
        <f>IF(COUNTIF(M42:P49,"NA")/COUNTA(M42:P49)=1,"NA","")</f>
        <v>NA</v>
      </c>
    </row>
    <row r="43" xml:space="preserve">
      <c r="A43" t="str">
        <v>Five Credits</v>
      </c>
      <c r="C43" t="str" xml:space="preserve">
        <v xml:space="preserve">Prescriptive Approach:_x000d_
1 credit if 20% of habitable areas meet the ventilation requirements._x000d_
2 credits if 40% of habitable areas meet the ventilation requirements._x000d_
3 credits if 60% of habitable areas meet the ventilation requirements._x000d_
4 credits if 80% of habitable areas meet the ventilation requirements._x000d_
5 credits if 100% of habitable areas meet the ventilation requirements._x000d_
Performance Approach:_x000d_
1 credit if 20% of habitable areas satisfy the Area-Weighted Average Wind Velocity (AAWV) requirement._x000d_
2 credits if 40% of habitable areas satisfy the AAWV requirement._x000d_
3 credits if 60% of habitable areas satisfy the AAWV requirement._x000d_
4 credits if 80% of habitable areas satisfy the AAWV requirement._x000d_
5 credits if 100% of habitable areas satisfy the AAWV requirement.</v>
      </c>
    </row>
    <row r="45">
      <c r="C45" t="str">
        <v>Insert Credit Commentary Here</v>
      </c>
    </row>
    <row r="46">
      <c r="C46" t="str">
        <f>"Category A   " &amp; IFERROR(VLOOKUP(E$42,$AB:$AC,2,FALSE),"")</f>
        <v>Category A   Credit is not applicable in the Provisional Assessment.</v>
      </c>
    </row>
    <row r="47">
      <c r="C47" t="str">
        <f>"Category B   " &amp; IFERROR(VLOOKUP(F$42,$AB:$AC,2,FALSE),"")</f>
        <v>Category B   Credit is not applicable in the Provisional Assessment.</v>
      </c>
    </row>
    <row r="48">
      <c r="C48" t="str">
        <f>"Category C   " &amp; IFERROR(VLOOKUP(G$42,$AB:$AC,2,FALSE),"")</f>
        <v xml:space="preserve">Category C   </v>
      </c>
    </row>
    <row r="49">
      <c r="C49" t="str">
        <f>"Category D   " &amp; IFERROR(VLOOKUP(H$42,$AB:$AC,2,FALSE),"")</f>
        <v xml:space="preserve">Category D   </v>
      </c>
    </row>
    <row r="50">
      <c r="A50" t="str">
        <v>EU 1d</v>
      </c>
      <c r="C50" t="str">
        <v>Daylight</v>
      </c>
      <c r="E50" t="str">
        <f>IF(M50&lt;&gt;"",M50,"")</f>
        <v>NA</v>
      </c>
      <c r="F50" t="str">
        <f>IF(N50&lt;&gt;"",N50,"")</f>
        <v>NA</v>
      </c>
      <c r="G50" t="str">
        <f>IF(O50&lt;&gt;"",O50,"")</f>
        <v/>
      </c>
      <c r="H50" t="str">
        <f>IF(P50&lt;&gt;"",P50,"")</f>
        <v/>
      </c>
      <c r="I50" t="str">
        <f>IF(M50="NA","NA",IF(AND(M50&lt;&gt;"",OR(M50="NS",M50&gt;=0)),1,"-"))</f>
        <v>NA</v>
      </c>
      <c r="J50" t="str">
        <f>IF(N50="NA","NA",IF(AND(N50&lt;&gt;"",OR(N50="NS",N50&gt;=0)),1,"-"))</f>
        <v>NA</v>
      </c>
      <c r="K50" t="str">
        <f>IF(O50="NA","NA",IF(AND(O50&lt;&gt;"",OR(O50="NS",O50&gt;=0)),1,"-"))</f>
        <v>-</v>
      </c>
      <c r="L50" t="str">
        <f>IF(P50="NA","NA",IF(AND(P50&lt;&gt;"",OR(P50="NS",P50&gt;=0)),1,"-"))</f>
        <v>-</v>
      </c>
      <c r="M50" t="str">
        <v>NA</v>
      </c>
      <c r="N50" t="str">
        <v>NA</v>
      </c>
      <c r="R50" t="str">
        <f>IF(COUNTIF(M50:P57,"NA")/COUNTA(M50:P57)=1,"NA","")</f>
        <v>NA</v>
      </c>
    </row>
    <row r="51">
      <c r="A51" t="str">
        <v>One Credit</v>
      </c>
      <c r="C51" t="str">
        <v>1 credit if 80% of the habitable areas have glazing with a vertical daylight factor (VDF) 50% higher than the minimum requirement in APP 130.</v>
      </c>
    </row>
    <row r="53">
      <c r="C53" t="str">
        <v>Insert Credit Commentary Here</v>
      </c>
    </row>
    <row r="54">
      <c r="C54" t="str">
        <f>"Category A   " &amp; IFERROR(VLOOKUP(E$50,$AB:$AC,2,FALSE),"")</f>
        <v>Category A   Credit is not applicable in the Provisional Assessment.</v>
      </c>
    </row>
    <row r="55">
      <c r="C55" t="str">
        <f>"Category B   " &amp; IFERROR(VLOOKUP(F$50,$AB:$AC,2,FALSE),"")</f>
        <v>Category B   Credit is not applicable in the Provisional Assessment.</v>
      </c>
    </row>
    <row r="56">
      <c r="C56" t="str">
        <f>"Category C   " &amp; IFERROR(VLOOKUP(G$50,$AB:$AC,2,FALSE),"")</f>
        <v xml:space="preserve">Category C   </v>
      </c>
    </row>
    <row r="57">
      <c r="C57" t="str">
        <f>"Category D   " &amp; IFERROR(VLOOKUP(H$50,$AB:$AC,2,FALSE),"")</f>
        <v xml:space="preserve">Category D   </v>
      </c>
    </row>
    <row r="58">
      <c r="A58" t="str">
        <v>EU 1e</v>
      </c>
      <c r="C58" t="str">
        <v>Active Building Systems</v>
      </c>
      <c r="E58" t="str">
        <f>IF(M58&lt;&gt;"",M58,"")</f>
        <v>NA</v>
      </c>
      <c r="F58" t="str">
        <f>IF(N58&lt;&gt;"",N58,"")</f>
        <v>NA</v>
      </c>
      <c r="G58" t="str">
        <f>IF(O58&lt;&gt;"",O58,"")</f>
        <v/>
      </c>
      <c r="H58" t="str">
        <f>IF(P58&lt;&gt;"",P58,"")</f>
        <v/>
      </c>
      <c r="I58" t="str">
        <f>IF(M58="NA","NA",IF(AND(M58&lt;&gt;"",OR(M58="NS",M58&gt;=0)),6,"-"))</f>
        <v>NA</v>
      </c>
      <c r="J58" t="str">
        <f>IF(N58="NA","NA",IF(AND(N58&lt;&gt;"",OR(N58="NS",N58&gt;=0)),6,"-"))</f>
        <v>NA</v>
      </c>
      <c r="K58" t="str">
        <f>IF(O58="NA","NA",IF(AND(O58&lt;&gt;"",OR(O58="NS",O58&gt;=0)),6,"-"))</f>
        <v>-</v>
      </c>
      <c r="L58" t="str">
        <f>IF(P58="NA","NA",IF(AND(P58&lt;&gt;"",OR(P58="NS",P58&gt;=0)),6,"-"))</f>
        <v>-</v>
      </c>
      <c r="M58" t="str">
        <v>NA</v>
      </c>
      <c r="N58" t="str">
        <v>NA</v>
      </c>
      <c r="R58" t="str">
        <f>IF(COUNTIF(M58:P65,"NA")/COUNTA(M58:P65)=1,"NA","")</f>
        <v>NA</v>
      </c>
    </row>
    <row r="59" xml:space="preserve">
      <c r="A59" t="str">
        <v>Six Credits</v>
      </c>
      <c r="C59" t="str" xml:space="preserve">
        <v xml:space="preserve">Three different categories fall under the section Active Building Systems,_x000d_
HVAC systems in common areas:_x000d_
1 credit for a 20% energy reduction compared to current BEC._x000d_
2 credits for a 25% energy reduction compared to current BEC._x000d_
_x000d_
Artificial lighting system in common areas:_x000d_
1 credit for a 20% energy reduction compared to current BEC._x000d_
2 credits for a 25% energy reduction compared to current BEC._x000d_
3 credits for a 30% energy reduction compared to current BEC._x000d_
_x000d_
Vertical transportation in common areas:_x000d_
1 credit for a 10% reduction from the maximum allowable electrical power rating.</v>
      </c>
    </row>
    <row r="61">
      <c r="C61" t="str">
        <v>Insert Credit Commentary Here</v>
      </c>
    </row>
    <row r="62">
      <c r="C62" t="str">
        <f>"Category A   " &amp; IFERROR(VLOOKUP(E$58,$AB:$AC,2,FALSE),"")</f>
        <v>Category A   Credit is not applicable in the Provisional Assessment.</v>
      </c>
    </row>
    <row r="63">
      <c r="C63" t="str">
        <f>"Category B   " &amp; IFERROR(VLOOKUP(F$58,$AB:$AC,2,FALSE),"")</f>
        <v>Category B   Credit is not applicable in the Provisional Assessment.</v>
      </c>
    </row>
    <row r="64">
      <c r="C64" t="str">
        <f>"Category C   " &amp; IFERROR(VLOOKUP(G$58,$AB:$AC,2,FALSE),"")</f>
        <v xml:space="preserve">Category C   </v>
      </c>
    </row>
    <row r="65">
      <c r="C65" t="str">
        <f>"Category D   " &amp; IFERROR(VLOOKUP(H$58,$AB:$AC,2,FALSE),"")</f>
        <v xml:space="preserve">Category D   </v>
      </c>
    </row>
    <row r="66">
      <c r="A66" t="str">
        <v>EU 2</v>
      </c>
      <c r="C66" t="str">
        <v>Peak Electricity Demand Reduction</v>
      </c>
      <c r="E66">
        <f>IF(M66&lt;&gt;"",M66,"")</f>
        <v>2</v>
      </c>
      <c r="F66">
        <f>IF(N66&lt;&gt;"",N66,"")</f>
        <v>3</v>
      </c>
      <c r="G66" t="str">
        <f>IF(O66&lt;&gt;"",O66,"")</f>
        <v/>
      </c>
      <c r="H66" t="str">
        <f>IF(P66&lt;&gt;"",P66,"")</f>
        <v/>
      </c>
      <c r="I66">
        <f>IF(M66="NA","NA",IF(AND(M66&lt;&gt;"",OR(M66="NS",M66&gt;=0)),3,"-"))</f>
        <v>3</v>
      </c>
      <c r="J66">
        <f>IF(N66="NA","NA",IF(AND(N66&lt;&gt;"",OR(N66="NS",N66&gt;=0)),3,"-"))</f>
        <v>3</v>
      </c>
      <c r="K66" t="str">
        <f>IF(O66="NA","NA",IF(AND(O66&lt;&gt;"",OR(O66="NS",O66&gt;=0)),3,"-"))</f>
        <v>-</v>
      </c>
      <c r="L66" t="str">
        <f>IF(P66="NA","NA",IF(AND(P66&lt;&gt;"",OR(P66="NS",P66&gt;=0)),3,"-"))</f>
        <v>-</v>
      </c>
      <c r="M66">
        <v>2</v>
      </c>
      <c r="N66">
        <v>3</v>
      </c>
      <c r="R66" t="str">
        <f>IF(COUNTIF(M66:P74,"NA")/COUNTA(M66:P74)=1,"NA","")</f>
        <v/>
      </c>
      <c r="S66" t="str">
        <f>IF(COUNTIF(M66:P74,0)&gt;0,0,"")</f>
        <v/>
      </c>
    </row>
    <row r="67">
      <c r="C67" t="str">
        <f>IFNA(VLOOKUP($C$17,$AC$331:$AF$342,3,FALSE),"Insert the Building Type under EU 1.")</f>
        <v>Estimated Maximum Electricity Demand for COMMERCIAL AND HOTEL Buildings [BEC 2018]</v>
      </c>
    </row>
    <row r="68" xml:space="preserve">
      <c r="A68" t="str">
        <v>Three Credits</v>
      </c>
      <c r="C68" t="str" xml:space="preserve">
        <f>IFERROR(VLOOKUP(C67,$AC:$AD,2,FALSE),"-")</f>
        <v xml:space="preserve">1 credit for a reduction in the maximum electricity demand by 10 %_x000d_
2 credits for a reduction in the maximum electricity demand by 19 %_x000d_
3 credits for a reduction in the maximum electricity demand by 26 %</v>
      </c>
    </row>
    <row r="70">
      <c r="C70" t="str">
        <v>The Applicant submitted energy analysis report and supporting documents mentioned in EU 1 showing the peak electricity demand for both design and baseline cases to substantiate 19.17% (Baseline: 5543 kW; Proposed: 4480.2 kW) and 37.55% (Baseline: 295 kW; Proposed: 184.2 kW) peak demand reduction for Category A (Office) and Category B (Carpark) respectively.</v>
      </c>
    </row>
    <row r="71">
      <c r="C71" t="str">
        <f>"Category A   " &amp; IFERROR(VLOOKUP(E$66,$AB:$AC,2,FALSE),"")</f>
        <v>Category A   2 credits are achieved in the Provisional Assessment.</v>
      </c>
    </row>
    <row r="72">
      <c r="C72" t="str">
        <f>"Category B   " &amp; IFERROR(VLOOKUP(F$66,$AB:$AC,2,FALSE),"")</f>
        <v>Category B   3 credits are achieved in the Provisional Assessment.</v>
      </c>
    </row>
    <row r="73">
      <c r="C73" t="str">
        <f>"Category C   " &amp; IFERROR(VLOOKUP(G$66,$AB:$AC,2,FALSE),"")</f>
        <v xml:space="preserve">Category C   </v>
      </c>
    </row>
    <row r="74">
      <c r="C74" t="str">
        <f>"Category D   " &amp; IFERROR(VLOOKUP(H$66,$AB:$AC,2,FALSE),"")</f>
        <v xml:space="preserve">Category D   </v>
      </c>
    </row>
    <row r="75">
      <c r="A75">
        <v>4.2</v>
      </c>
      <c r="C75" t="str">
        <v>ENERGY EFFICIENT SYSTEMS</v>
      </c>
    </row>
    <row r="76">
      <c r="A76" t="str">
        <v>EU 3</v>
      </c>
      <c r="C76" t="str">
        <v>Embodied Energy in Building Structural Elements</v>
      </c>
      <c r="E76">
        <f>IF(M76&lt;&gt;"",M76,"")</f>
        <v>1</v>
      </c>
      <c r="F76">
        <f>IF(N76&lt;&gt;"",N76,"")</f>
        <v>1</v>
      </c>
      <c r="G76" t="str">
        <f>IF(O76&lt;&gt;"",O76,"")</f>
        <v/>
      </c>
      <c r="H76" t="str">
        <f>IF(P76&lt;&gt;"",P76,"")</f>
        <v/>
      </c>
      <c r="I76">
        <f>IF(M76="NA","NA",IF(AND(M76&lt;&gt;"",OR(M76="NS",M76&gt;=0)),1,"-"))</f>
        <v>1</v>
      </c>
      <c r="J76">
        <f>IF(N76="NA","NA",IF(AND(N76&lt;&gt;"",OR(N76="NS",N76&gt;=0)),1,"-"))</f>
        <v>1</v>
      </c>
      <c r="K76" t="str">
        <f>IF(O76="NA","NA",IF(AND(O76&lt;&gt;"",OR(O76="NS",O76&gt;=0)),1,"-"))</f>
        <v>-</v>
      </c>
      <c r="L76" t="str">
        <f>IF(P76="NA","NA",IF(AND(P76&lt;&gt;"",OR(P76="NS",P76&gt;=0)),1,"-"))</f>
        <v>-</v>
      </c>
      <c r="M76">
        <v>1</v>
      </c>
      <c r="N76">
        <v>1</v>
      </c>
      <c r="R76" t="str">
        <f>IF(COUNTIF(M76:P83,"NA")/COUNTA(M76:P83)=1,"NA","")</f>
        <v/>
      </c>
      <c r="S76" t="str">
        <f>IF(COUNTIF(M76:P83,0)&gt;0,0,"")</f>
        <v/>
      </c>
    </row>
    <row r="77">
      <c r="A77" t="str">
        <v>One Credit</v>
      </c>
      <c r="C77" t="str">
        <v>1 credit for demonstrating the embodied energy in the major elements of the building structure of the assessed building has been studied through a Life Cycle Assessment (LCA).</v>
      </c>
    </row>
    <row r="79">
      <c r="C79" t="str">
        <v>The Applicant submitted LCA report showing the quantities of major structural elements and structural drawings for both foundation and superstructure to substantiate the compliance. Screen captures of input, etc. were also submitted for substantiation. The emission of the design case is 46048.35 CO2e The LCA report is dated Oct 2020, which are earlier than the commencement of foundation work of Sep 2022 as shown on the project program. It is demonstrated that the LCA study was done in the design stage.</v>
      </c>
    </row>
    <row r="80">
      <c r="C80" t="str">
        <f>"Category A   " &amp; IFERROR(VLOOKUP(E$76,$AB:$AC,2,FALSE),"")</f>
        <v>Category A   1 credit is achieved in the Provisional Assessment.</v>
      </c>
    </row>
    <row r="81">
      <c r="C81" t="str">
        <f>"Category B   " &amp; IFERROR(VLOOKUP(F$76,$AB:$AC,2,FALSE),"")</f>
        <v>Category B   1 credit is achieved in the Provisional Assessment.</v>
      </c>
    </row>
    <row r="82">
      <c r="C82" t="str">
        <f>"Category C   " &amp; IFERROR(VLOOKUP(G$76,$AB:$AC,2,FALSE),"")</f>
        <v xml:space="preserve">Category C   </v>
      </c>
    </row>
    <row r="83">
      <c r="C83" t="str">
        <f>"Category D   " &amp; IFERROR(VLOOKUP(H$76,$AB:$AC,2,FALSE),"")</f>
        <v xml:space="preserve">Category D   </v>
      </c>
    </row>
    <row r="84">
      <c r="A84" t="str">
        <v>One Bonus Credit</v>
      </c>
      <c r="C84" t="str">
        <v>1 BONUS credit for demonstrating the major materials with low embodied energy are used in the project utilizing the LCA results.</v>
      </c>
      <c r="E84" t="str">
        <f>IF(M84=1,"1B",M84)</f>
        <v>NS</v>
      </c>
      <c r="I84" t="str">
        <v>Bonus</v>
      </c>
      <c r="M84" t="str">
        <v>NS</v>
      </c>
      <c r="R84" t="str">
        <f>IF(M84="NA","NA","")</f>
        <v/>
      </c>
      <c r="S84" t="str">
        <f>IF(M84=0,0,"")</f>
        <v/>
      </c>
    </row>
    <row r="86">
      <c r="C86" t="str">
        <v>Insert Credit Commentary Here</v>
      </c>
    </row>
    <row r="87">
      <c r="C87" t="str">
        <f>IFERROR(VLOOKUP($E84,$AB:$AC,2,FALSE),"-")</f>
        <v>No information was submitted. Credit is not achieved in the Provisional Assessment.</v>
      </c>
    </row>
    <row r="88">
      <c r="A88" t="str">
        <v>EU 4</v>
      </c>
      <c r="C88" t="str">
        <v>Ventilation System in Car Parks</v>
      </c>
      <c r="E88" t="str">
        <f>IF(M88&lt;&gt;"",M88,"")</f>
        <v>NA</v>
      </c>
      <c r="F88" t="str">
        <f>IF(N88&lt;&gt;"",N88,"")</f>
        <v>NS</v>
      </c>
      <c r="G88" t="str">
        <f>IF(O88&lt;&gt;"",O88,"")</f>
        <v/>
      </c>
      <c r="H88" t="str">
        <f>IF(P88&lt;&gt;"",P88,"")</f>
        <v/>
      </c>
      <c r="I88" t="str">
        <f>IF(M88="NA","NA",IF(AND(M88&lt;&gt;"",OR(M88="NS",M88&gt;=0)),2,"-"))</f>
        <v>NA</v>
      </c>
      <c r="J88">
        <f>IF(N88="NA","NA",IF(AND(N88&lt;&gt;"",OR(N88="NS",N88&gt;=0)),2,"-"))</f>
        <v>2</v>
      </c>
      <c r="K88" t="str">
        <f>IF(O88="NA","NA",IF(AND(O88&lt;&gt;"",OR(O88="NS",O88&gt;=0)),2,"-"))</f>
        <v>-</v>
      </c>
      <c r="L88" t="str">
        <f>IF(P88="NA","NA",IF(AND(P88&lt;&gt;"",OR(P88="NS",P88&gt;=0)),2,"-"))</f>
        <v>-</v>
      </c>
      <c r="M88" t="str">
        <v>NA</v>
      </c>
      <c r="N88" t="str">
        <v>NS</v>
      </c>
      <c r="Q88" t="str">
        <v>EXCLUSIONS: Buildings without carpark or carpark area less than 10% CFA.</v>
      </c>
      <c r="R88" t="str">
        <f>IF(COUNTIF(M88:P95,"NA")/COUNTA(M88:P95)=1,"NA","")</f>
        <v/>
      </c>
      <c r="S88" t="str">
        <f>IF(COUNTIF(M88:P95,0)&gt;0,0,"")</f>
        <v/>
      </c>
    </row>
    <row r="89" xml:space="preserve">
      <c r="A89" t="str">
        <v>Two Credits</v>
      </c>
      <c r="C89" t="str" xml:space="preserve">
        <v xml:space="preserve">1 credit for ventilation systems that will consume less electricity than those meeting the zero credit requirements (baseline) by 20% or more._x000d_
2 credits where the consumption is reduced by 25% or more.</v>
      </c>
    </row>
    <row r="91">
      <c r="C91" t="str">
        <v>Insert Credit Commentary Here</v>
      </c>
    </row>
    <row r="92">
      <c r="C92" t="str">
        <f>"Category A   " &amp; IFERROR(VLOOKUP(E$88,$AB:$AC,2,FALSE),"")</f>
        <v>Category A   Credit is not applicable in the Provisional Assessment.</v>
      </c>
    </row>
    <row r="93">
      <c r="C93" t="str">
        <f>"Category B   " &amp; IFERROR(VLOOKUP(F$88,$AB:$AC,2,FALSE),"")</f>
        <v>Category B   No information was submitted. Credit is not achieved in the Provisional Assessment.</v>
      </c>
    </row>
    <row r="94">
      <c r="C94" t="str">
        <f>"Category C   " &amp; IFERROR(VLOOKUP(G$88,$AB:$AC,2,FALSE),"")</f>
        <v xml:space="preserve">Category C   </v>
      </c>
    </row>
    <row r="95">
      <c r="C95" t="str">
        <f>"Category D   " &amp; IFERROR(VLOOKUP(H$88,$AB:$AC,2,FALSE),"")</f>
        <v xml:space="preserve">Category D   </v>
      </c>
    </row>
    <row r="96">
      <c r="A96" t="str">
        <v>EU 5</v>
      </c>
      <c r="C96" t="str">
        <v>Lighting System in Car Parks</v>
      </c>
      <c r="E96" t="str">
        <f>IF(M96&lt;&gt;"",M96,"")</f>
        <v>NA</v>
      </c>
      <c r="F96">
        <f>IF(N96&lt;&gt;"",N96,"")</f>
        <v>0</v>
      </c>
      <c r="G96" t="str">
        <f>IF(O96&lt;&gt;"",O96,"")</f>
        <v/>
      </c>
      <c r="H96" t="str">
        <f>IF(P96&lt;&gt;"",P96,"")</f>
        <v/>
      </c>
      <c r="I96" t="str">
        <f>IF(M96="NA","NA",IF(AND(M96&lt;&gt;"",OR(M96="NS",M96&gt;=0)),2,"-"))</f>
        <v>NA</v>
      </c>
      <c r="J96">
        <f>IF(N96="NA","NA",IF(AND(N96&lt;&gt;"",OR(N96="NS",N96&gt;=0)),2,"-"))</f>
        <v>2</v>
      </c>
      <c r="K96" t="str">
        <f>IF(O96="NA","NA",IF(AND(O96&lt;&gt;"",OR(O96="NS",O96&gt;=0)),2,"-"))</f>
        <v>-</v>
      </c>
      <c r="L96" t="str">
        <f>IF(P96="NA","NA",IF(AND(P96&lt;&gt;"",OR(P96="NS",P96&gt;=0)),2,"-"))</f>
        <v>-</v>
      </c>
      <c r="M96" t="str">
        <v>NA</v>
      </c>
      <c r="N96">
        <v>0</v>
      </c>
      <c r="Q96" t="str">
        <v>EXCLUSIONS: Buildings without carpark or carpark area less than 10% CFA.</v>
      </c>
      <c r="R96" t="str">
        <f>IF(COUNTIF(M96:P103,"NA")/COUNTA(M96:P103)=1,"NA","")</f>
        <v/>
      </c>
      <c r="S96">
        <f>IF(COUNTIF(M96:P103,0)&gt;0,0,"")</f>
        <v>0</v>
      </c>
    </row>
    <row r="97" xml:space="preserve">
      <c r="A97" t="str">
        <v xml:space="preserve">Two Credits </v>
      </c>
      <c r="C97" t="str" xml:space="preserve">
        <v xml:space="preserve">1 credit for using lamps and, where applicable, ballasts that will consume less electricity than those meeting the zero-credit requirements by 20% or more._x000d_
2 credits where the consumption is reduced by 25% or more.</v>
      </c>
    </row>
    <row r="99" xml:space="preserve">
      <c r="C99" t="str" xml:space="preserve">
        <v xml:space="preserve">The Applicant has submitted the lighting catalogue, simulation report, design criteria, lighting schedule, contorl scheme to demonstrate total of 77.03% saving can be achieved at Category B (Carpark)._x000d_
However, it is noted that the submitted input power for simulation does not match with the input power at the calculation template. Thus, the credit is not given._x000d_
_x000d_
For Category A (Office), it is not car park area and is not applicable to this credit.</v>
      </c>
    </row>
    <row r="100">
      <c r="C100" t="str">
        <f>"Category A   " &amp; IFERROR(VLOOKUP(E$96,$AB:$AC,2,FALSE),"")</f>
        <v>Category A   Credit is not applicable in the Provisional Assessment.</v>
      </c>
    </row>
    <row r="101">
      <c r="C101" t="str">
        <f>"Category B   " &amp; IFERROR(VLOOKUP(F$96,$AB:$AC,2,FALSE),"")</f>
        <v>Category B   Credit is not achieved in the Provisional Assessment.</v>
      </c>
    </row>
    <row r="102">
      <c r="C102" t="str">
        <f>"Category C   " &amp; IFERROR(VLOOKUP(G$96,$AB:$AC,2,FALSE),"")</f>
        <v xml:space="preserve">Category C   </v>
      </c>
    </row>
    <row r="103">
      <c r="C103" t="str">
        <f>"Category D   " &amp; IFERROR(VLOOKUP(H$96,$AB:$AC,2,FALSE),"")</f>
        <v xml:space="preserve">Category D   </v>
      </c>
    </row>
    <row r="104">
      <c r="A104" t="str">
        <v>EU 6</v>
      </c>
      <c r="C104" t="str">
        <v xml:space="preserve">Renewable Energy Systems </v>
      </c>
      <c r="E104">
        <f>IF(M104&lt;&gt;"",M104,"")</f>
        <v>0</v>
      </c>
      <c r="F104">
        <f>IF(N104&lt;&gt;"",N104,"")</f>
        <v>0</v>
      </c>
      <c r="G104" t="str">
        <f>IF(O104&lt;&gt;"",O104,"")</f>
        <v/>
      </c>
      <c r="H104" t="str">
        <f>IF(P104&lt;&gt;"",P104,"")</f>
        <v/>
      </c>
      <c r="I104">
        <f>IF(M104="NA","NA",IF(AND(M104&lt;&gt;"",OR(M104="NS",M104&gt;=0)),5,"-"))</f>
        <v>5</v>
      </c>
      <c r="J104">
        <f>IF(N104="NA","NA",IF(AND(N104&lt;&gt;"",OR(N104="NS",N104&gt;=0)),5,"-"))</f>
        <v>5</v>
      </c>
      <c r="K104" t="str">
        <f>IF(O104="NA","NA",IF(AND(O104&lt;&gt;"",OR(O104="NS",O104&gt;=0)),5,"-"))</f>
        <v>-</v>
      </c>
      <c r="L104" t="str">
        <f>IF(P104="NA","NA",IF(AND(P104&lt;&gt;"",OR(P104="NS",P104&gt;=0)),5,"-"))</f>
        <v>-</v>
      </c>
      <c r="M104">
        <v>0</v>
      </c>
      <c r="N104">
        <v>0</v>
      </c>
      <c r="R104" t="str">
        <f>IF(COUNTIF(M104:P111,"NA")/COUNTA(M104:P111)=1,"NA","")</f>
        <v/>
      </c>
      <c r="S104">
        <f>IF(COUNTIF(M104:P111,0)&gt;0,0,"")</f>
        <v>0</v>
      </c>
    </row>
    <row r="105" xml:space="preserve">
      <c r="A105" t="str">
        <v>Five Credits</v>
      </c>
      <c r="C105" t="str" xml:space="preserve">
        <v xml:space="preserve">1 credit where 0.5% or more of building energy consumption is obtained from renewable energy sources._x000d_
2 credits where 1% or more of building energy consumption is obtained from renewable energy sources._x000d_
3 credits where 1.5% or more of building energy consumption is obtained from renewable energy sources._x000d_
4 credits where 2% or more of building energy consumption is obtained from renewable energy sources._x000d_
5 credits where 2.5% or more of building energy consumption is obtained from renewable energy sources._x000d_
Alternatively_x000d_
1 to 5 credits where the minimum percentage of 20% to 100% of the building footprint is being covered/used by PV panels respectively and/or other renewable power facility generation with equivalent renewable power output.</v>
      </c>
    </row>
    <row r="107" xml:space="preserve">
      <c r="C107" t="str" xml:space="preserve">
        <v xml:space="preserve">The Applicant has submitted catalogue, PV layout, energy simulation report to demonstrate the PV can achieve 0.53% Building Energy Consumption (103.1MWh out of 1934.7MWh)_x000d_
_x000d_
However, refers to the catalogue it is noted that the input rated power is around is inconsistant with the submitted catalogue. Thus, the credit is not given.</v>
      </c>
    </row>
    <row r="108">
      <c r="C108" t="str">
        <f>"Category A   " &amp; IFERROR(VLOOKUP(E$104,$AB:$AC,2,FALSE),"")</f>
        <v>Category A   Credit is not achieved in the Provisional Assessment.</v>
      </c>
    </row>
    <row r="109">
      <c r="C109" t="str">
        <f>"Category B   " &amp; IFERROR(VLOOKUP(F$104,$AB:$AC,2,FALSE),"")</f>
        <v>Category B   Credit is not achieved in the Provisional Assessment.</v>
      </c>
    </row>
    <row r="110">
      <c r="C110" t="str">
        <f>"Category C   " &amp; IFERROR(VLOOKUP(G$104,$AB:$AC,2,FALSE),"")</f>
        <v xml:space="preserve">Category C   </v>
      </c>
    </row>
    <row r="111">
      <c r="C111" t="str">
        <f>"Category D   " &amp; IFERROR(VLOOKUP(H$104,$AB:$AC,2,FALSE),"")</f>
        <v xml:space="preserve">Category D   </v>
      </c>
    </row>
    <row r="112">
      <c r="A112">
        <v>4.3</v>
      </c>
      <c r="C112" t="str">
        <v>ENERGY EFFICIENT EQUIPMENT</v>
      </c>
    </row>
    <row r="113">
      <c r="A113" t="str">
        <v>EU 7</v>
      </c>
      <c r="C113" t="str">
        <v>Air-Conditioning Units</v>
      </c>
      <c r="E113" t="str">
        <f>IF(M113&lt;&gt;"",M113,"")</f>
        <v>NA</v>
      </c>
      <c r="F113" t="str">
        <f>IF(N113&lt;&gt;"",N113,"")</f>
        <v>NA</v>
      </c>
      <c r="G113" t="str">
        <f>IF(O113&lt;&gt;"",O113,"")</f>
        <v/>
      </c>
      <c r="H113" t="str">
        <f>IF(P113&lt;&gt;"",P113,"")</f>
        <v/>
      </c>
      <c r="I113" t="str">
        <f>IF(M113="NA","NA",IF(AND(M113&lt;&gt;"",OR(M113="NS",M113&gt;=0)),1,"-"))</f>
        <v>NA</v>
      </c>
      <c r="J113" t="str">
        <f>IF(N113="NA","NA",IF(AND(N113&lt;&gt;"",OR(N113="NS",N113&gt;=0)),1,"-"))</f>
        <v>NA</v>
      </c>
      <c r="K113" t="str">
        <f>IF(O113="NA","NA",IF(AND(O113&lt;&gt;"",OR(O113="NS",O113&gt;=0)),1,"-"))</f>
        <v>-</v>
      </c>
      <c r="L113" t="str">
        <f>IF(P113="NA","NA",IF(AND(P113&lt;&gt;"",OR(P113="NS",P113&gt;=0)),1,"-"))</f>
        <v>-</v>
      </c>
      <c r="M113" t="str">
        <v>NA</v>
      </c>
      <c r="N113" t="str">
        <v>NA</v>
      </c>
      <c r="Q113" t="str">
        <v>EXCLUSIONS: Buildings not using window and/or split-type air-conditioners.</v>
      </c>
      <c r="R113" t="str">
        <f>IF(COUNTIF(M113:P120,"NA")/COUNTA(M113:P120)=1,"NA","")</f>
        <v>NA</v>
      </c>
      <c r="S113" t="str">
        <f>IF(COUNTIF(M113:P120,0)&gt;0,0,"")</f>
        <v/>
      </c>
    </row>
    <row r="114">
      <c r="A114" t="str">
        <v>One Credit</v>
      </c>
      <c r="C114" t="str">
        <v>1 credit for complying with the recommended installation positions for airconditioning units with regard to internal spaces; complying with the minimum width of any external recess with regard to heat rejection; and complying with the items listed in the assessment checklists.</v>
      </c>
    </row>
    <row r="116">
      <c r="C116" t="str">
        <v>This development is mainly served by central air conditioning system is not applicable for the credit.</v>
      </c>
    </row>
    <row r="117">
      <c r="C117" t="str">
        <f>"Category A   " &amp; IFERROR(VLOOKUP(E$113,$AB:$AC,2,FALSE),"")</f>
        <v>Category A   Credit is not applicable in the Provisional Assessment.</v>
      </c>
    </row>
    <row r="118">
      <c r="C118" t="str">
        <f>"Category B   " &amp; IFERROR(VLOOKUP(F$113,$AB:$AC,2,FALSE),"")</f>
        <v>Category B   Credit is not applicable in the Provisional Assessment.</v>
      </c>
    </row>
    <row r="119">
      <c r="C119" t="str">
        <f>"Category C   " &amp; IFERROR(VLOOKUP(G$113,$AB:$AC,2,FALSE),"")</f>
        <v xml:space="preserve">Category C   </v>
      </c>
    </row>
    <row r="120">
      <c r="C120" t="str">
        <f>"Category D   " &amp; IFERROR(VLOOKUP(H$113,$AB:$AC,2,FALSE),"")</f>
        <v xml:space="preserve">Category D   </v>
      </c>
    </row>
    <row r="121">
      <c r="A121" t="str">
        <v>EU 8</v>
      </c>
      <c r="C121" t="str">
        <v xml:space="preserve">Clothes Drying Facilities </v>
      </c>
      <c r="E121" t="str">
        <f>IF(M121&lt;&gt;"",M121,"")</f>
        <v>NA</v>
      </c>
      <c r="F121" t="str">
        <f>IF(N121&lt;&gt;"",N121,"")</f>
        <v>NA</v>
      </c>
      <c r="G121" t="str">
        <f>IF(O121&lt;&gt;"",O121,"")</f>
        <v/>
      </c>
      <c r="H121" t="str">
        <f>IF(P121&lt;&gt;"",P121,"")</f>
        <v/>
      </c>
      <c r="I121" t="str">
        <f>IF(M121="NA","NA",IF(AND(M121&lt;&gt;"",OR(M121="NS",M121&gt;=0)),1,"-"))</f>
        <v>NA</v>
      </c>
      <c r="J121" t="str">
        <f>IF(N121="NA","NA",IF(AND(N121&lt;&gt;"",OR(N121="NS",N121&gt;=0)),1,"-"))</f>
        <v>NA</v>
      </c>
      <c r="K121" t="str">
        <f>IF(O121="NA","NA",IF(AND(O121&lt;&gt;"",OR(O121="NS",O121&gt;=0)),1,"-"))</f>
        <v>-</v>
      </c>
      <c r="L121" t="str">
        <f>IF(P121="NA","NA",IF(AND(P121&lt;&gt;"",OR(P121="NS",P121&gt;=0)),1,"-"))</f>
        <v>-</v>
      </c>
      <c r="M121" t="str">
        <v>NA</v>
      </c>
      <c r="N121" t="str">
        <v>NA</v>
      </c>
      <c r="Q121" t="str">
        <v>EXCLUSIONS: Buildings other than residential buildings.</v>
      </c>
      <c r="R121" t="str">
        <f>IF(COUNTIF(M121:P128,"NA")/COUNTA(M121:P128)=1,"NA","")</f>
        <v>NA</v>
      </c>
      <c r="S121" t="str">
        <f>IF(COUNTIF(M121:P128,0)&gt;0,0,"")</f>
        <v/>
      </c>
    </row>
    <row r="122">
      <c r="A122" t="str">
        <v>One Credit</v>
      </c>
      <c r="C122" t="str">
        <v>1 credit for providing suitable clothes drying facilities which utilise the natural environment for all residential units.</v>
      </c>
    </row>
    <row r="124">
      <c r="C124" t="str">
        <v>For Category A (Other) and B (Carpark), not residential area is not applicable for the credit.</v>
      </c>
    </row>
    <row r="125">
      <c r="C125" t="str">
        <f>"Category A   " &amp; IFERROR(VLOOKUP(E$121,$AB:$AC,2,FALSE),"")</f>
        <v>Category A   Credit is not applicable in the Provisional Assessment.</v>
      </c>
    </row>
    <row r="126">
      <c r="C126" t="str">
        <f>"Category B   " &amp; IFERROR(VLOOKUP(F$121,$AB:$AC,2,FALSE),"")</f>
        <v>Category B   Credit is not applicable in the Provisional Assessment.</v>
      </c>
    </row>
    <row r="127">
      <c r="C127" t="str">
        <f>"Category C   " &amp; IFERROR(VLOOKUP(G$121,$AB:$AC,2,FALSE),"")</f>
        <v xml:space="preserve">Category C   </v>
      </c>
    </row>
    <row r="128">
      <c r="C128" t="str">
        <f>"Category D   " &amp; IFERROR(VLOOKUP(H$121,$AB:$AC,2,FALSE),"")</f>
        <v xml:space="preserve">Category D   </v>
      </c>
    </row>
    <row r="129">
      <c r="A129" t="str">
        <v>EU 9</v>
      </c>
      <c r="C129" t="str">
        <v>Energy Efficient Appliances</v>
      </c>
      <c r="E129" t="str">
        <f>IF(M129&lt;&gt;"",M129,"")</f>
        <v>NA</v>
      </c>
      <c r="F129" t="str">
        <f>IF(N129&lt;&gt;"",N129,"")</f>
        <v>NA</v>
      </c>
      <c r="G129" t="str">
        <f>IF(O129&lt;&gt;"",O129,"")</f>
        <v/>
      </c>
      <c r="H129" t="str">
        <f>IF(P129&lt;&gt;"",P129,"")</f>
        <v/>
      </c>
      <c r="I129" t="str">
        <f>IF(M129="NA","NA",IF(AND(M129&lt;&gt;"",OR(M129="NS",M129&gt;=0)),2,"-"))</f>
        <v>NA</v>
      </c>
      <c r="J129" t="str">
        <f>IF(N129="NA","NA",IF(AND(N129&lt;&gt;"",OR(N129="NS",N129&gt;=0)),2,"-"))</f>
        <v>NA</v>
      </c>
      <c r="K129" t="str">
        <f>IF(O129="NA","NA",IF(AND(O129&lt;&gt;"",OR(O129="NS",O129&gt;=0)),2,"-"))</f>
        <v>-</v>
      </c>
      <c r="L129" t="str">
        <f>IF(P129="NA","NA",IF(AND(P129&lt;&gt;"",OR(P129="NS",P129&gt;=0)),2,"-"))</f>
        <v>-</v>
      </c>
      <c r="M129" t="str">
        <v>NA</v>
      </c>
      <c r="N129" t="str">
        <v>NA</v>
      </c>
      <c r="Q129" t="str">
        <v>EXCLUSIONS: Buildings where appliances are not provided by the developer.</v>
      </c>
      <c r="R129" t="str">
        <f>IF(COUNTIF(M129:P136,"NA")/COUNTA(M129:P136)=1,"NA","")</f>
        <v>NA</v>
      </c>
      <c r="S129" t="str">
        <f>IF(COUNTIF(M129:P136,0)&gt;0,0,"")</f>
        <v/>
      </c>
    </row>
    <row r="130" xml:space="preserve">
      <c r="A130" t="str">
        <v>Two Credits</v>
      </c>
      <c r="C130" t="str" xml:space="preserve">
        <v xml:space="preserve">1 credit when 60% of total rated power of appliances and equipment are certified energy efficient products._x000d_
2 credits when 80% of total rated power of appliances and equipment are certified energy efficient products.</v>
      </c>
    </row>
    <row r="132">
      <c r="C132" t="str">
        <v>The Applicant has submited GBP to demonstrate the portion of the project does not have any floor area being designated for the purpose of habitation and the use of electrical appliances is expected to be of small quantity.</v>
      </c>
    </row>
    <row r="133">
      <c r="C133" t="str">
        <f>"Category A   " &amp; IFERROR(VLOOKUP(E$129,$AB:$AC,2,FALSE),"")</f>
        <v>Category A   Credit is not applicable in the Provisional Assessment.</v>
      </c>
    </row>
    <row r="134">
      <c r="C134" t="str">
        <f>"Category B   " &amp; IFERROR(VLOOKUP(F$129,$AB:$AC,2,FALSE),"")</f>
        <v>Category B   Credit is not applicable in the Provisional Assessment.</v>
      </c>
    </row>
    <row r="135">
      <c r="C135" t="str">
        <f>"Category C   " &amp; IFERROR(VLOOKUP(G$129,$AB:$AC,2,FALSE),"")</f>
        <v xml:space="preserve">Category C   </v>
      </c>
    </row>
    <row r="136">
      <c r="C136" t="str">
        <f>"Category D   " &amp; IFERROR(VLOOKUP(H$129,$AB:$AC,2,FALSE),"")</f>
        <v xml:space="preserve">Category D   </v>
      </c>
    </row>
    <row r="137">
      <c r="A137">
        <v>4.4</v>
      </c>
      <c r="C137" t="str">
        <v>PROVISIONS FOR ENERGY MANAGEMENT</v>
      </c>
    </row>
    <row r="138">
      <c r="A138" t="str">
        <v>EU 10</v>
      </c>
      <c r="C138" t="str">
        <v>Testing and Commissioning</v>
      </c>
      <c r="E138">
        <f>IF(M138&lt;&gt;"",M138,"")</f>
        <v>1</v>
      </c>
      <c r="F138">
        <f>IF(N138&lt;&gt;"",N138,"")</f>
        <v>1</v>
      </c>
      <c r="G138" t="str">
        <f>IF(O138&lt;&gt;"",O138,"")</f>
        <v/>
      </c>
      <c r="H138" t="str">
        <f>IF(P138&lt;&gt;"",P138,"")</f>
        <v/>
      </c>
      <c r="I138">
        <f>IF(M138="NA","NA",IF(AND(M138&lt;&gt;"",OR(M138="NS",M138&gt;=0)),1,"-"))</f>
        <v>1</v>
      </c>
      <c r="J138">
        <f>IF(N138="NA","NA",IF(AND(N138&lt;&gt;"",OR(N138="NS",N138&gt;=0)),1,"-"))</f>
        <v>1</v>
      </c>
      <c r="K138" t="str">
        <f>IF(O138="NA","NA",IF(AND(O138&lt;&gt;"",OR(O138="NS",O138&gt;=0)),1,"-"))</f>
        <v>-</v>
      </c>
      <c r="L138" t="str">
        <f>IF(P138="NA","NA",IF(AND(P138&lt;&gt;"",OR(P138="NS",P138&gt;=0)),1,"-"))</f>
        <v>-</v>
      </c>
      <c r="M138">
        <v>1</v>
      </c>
      <c r="N138">
        <v>1</v>
      </c>
      <c r="R138" t="str">
        <f>IF(COUNTIF(M138:P146,"NA")/COUNTA(M138:P146)=1,"NA","")</f>
        <v/>
      </c>
      <c r="S138" t="str">
        <f>IF(COUNTIF(M138:P146,0)&gt;0,0,"")</f>
        <v/>
      </c>
    </row>
    <row r="139">
      <c r="A139" t="str">
        <v>EU 10a</v>
      </c>
      <c r="C139" t="str">
        <v>Commissioning Specifications</v>
      </c>
    </row>
    <row r="140">
      <c r="A140" t="str">
        <v>One Credit</v>
      </c>
      <c r="C140" t="str">
        <v>1 credit for provision of appropriate specifications and/or cost provisions in contract documents detailing the commissioning requirements for all systems and equipment that impact on energy use and indoor environmental quality.</v>
      </c>
    </row>
    <row r="142" xml:space="preserve">
      <c r="C142" t="str" xml:space="preserve">
        <v xml:space="preserve">The Applicant submitted extracted parts of the technical specification for all major building services systems including electrical, HVAC, lift &amp; escalator, plumbing &amp; drainage, detailing Testing and Commissioning (T&amp;C) scope of works and relevant T&amp;C requirement. The Applicant also completed summary checklist (in e-Form) demonstrating how the specifications fulfilled the criteria listed in Appendix 8.5.1 of the BEAM Plus Manual. _x000d_
_x000d_
</v>
      </c>
    </row>
    <row r="143">
      <c r="C143" t="str">
        <f>"Category A   " &amp; IFERROR(VLOOKUP(E$138,$AB:$AC,2,FALSE),"")</f>
        <v>Category A   1 credit is achieved in the Provisional Assessment.</v>
      </c>
    </row>
    <row r="144">
      <c r="C144" t="str">
        <f>"Category B   " &amp; IFERROR(VLOOKUP(F$138,$AB:$AC,2,FALSE),"")</f>
        <v>Category B   1 credit is achieved in the Provisional Assessment.</v>
      </c>
    </row>
    <row r="145">
      <c r="C145" t="str">
        <f>"Category C   " &amp; IFERROR(VLOOKUP(G$138,$AB:$AC,2,FALSE),"")</f>
        <v xml:space="preserve">Category C   </v>
      </c>
    </row>
    <row r="146">
      <c r="C146" t="str">
        <f>"Category D   " &amp; IFERROR(VLOOKUP(H$138,$AB:$AC,2,FALSE),"")</f>
        <v xml:space="preserve">Category D   </v>
      </c>
    </row>
    <row r="147">
      <c r="A147" t="str">
        <v>EU 10b</v>
      </c>
      <c r="C147" t="str">
        <v>Commissioning Plan</v>
      </c>
      <c r="E147">
        <f>IF(M147&lt;&gt;"",M147,"")</f>
        <v>1</v>
      </c>
      <c r="F147">
        <f>IF(N147&lt;&gt;"",N147,"")</f>
        <v>1</v>
      </c>
      <c r="G147" t="str">
        <f>IF(O147&lt;&gt;"",O147,"")</f>
        <v/>
      </c>
      <c r="H147" t="str">
        <f>IF(P147&lt;&gt;"",P147,"")</f>
        <v/>
      </c>
      <c r="I147">
        <f>IF(M147="NA","NA",IF(AND(M147&lt;&gt;"",OR(M147="NS",M147&gt;=0)),1,"-"))</f>
        <v>1</v>
      </c>
      <c r="J147">
        <f>IF(N147="NA","NA",IF(AND(N147&lt;&gt;"",OR(N147="NS",N147&gt;=0)),1,"-"))</f>
        <v>1</v>
      </c>
      <c r="K147" t="str">
        <f>IF(O147="NA","NA",IF(AND(O147&lt;&gt;"",OR(O147="NS",O147&gt;=0)),1,"-"))</f>
        <v>-</v>
      </c>
      <c r="L147" t="str">
        <f>IF(P147="NA","NA",IF(AND(P147&lt;&gt;"",OR(P147="NS",P147&gt;=0)),1,"-"))</f>
        <v>-</v>
      </c>
      <c r="M147">
        <v>1</v>
      </c>
      <c r="N147">
        <v>1</v>
      </c>
      <c r="R147" t="str">
        <f>IF(COUNTIF(M147:P154,"NA")/COUNTA(M147:P154)=1,"NA","")</f>
        <v/>
      </c>
      <c r="S147" t="str">
        <f>IF(COUNTIF(M147:P154,0)&gt;0,0,"")</f>
        <v/>
      </c>
    </row>
    <row r="148">
      <c r="A148" t="str">
        <v>One Credit</v>
      </c>
      <c r="C148" t="str">
        <v>1 credit for the appointment of a commissioning authority and provision of a detailed commissioning plan that embraces all specified commissioning work.</v>
      </c>
    </row>
    <row r="150" xml:space="preserve">
      <c r="C150" t="str" xml:space="preserve">
        <v xml:space="preserve">The Applicant submitted extracted parts of the technical specification for building services systems requiring commissioning plan. The Applicant appointed a CxA for this project whom is a RPE (Matt YAU Kin Pui ) from the Project Owner The CV of the CxA and undertaking letter from the CxA committing his involvement in the testing and commissioning process, O-chart were also submitted._x000d_
</v>
      </c>
    </row>
    <row r="151">
      <c r="C151" t="str">
        <f>"Category A   " &amp; IFERROR(VLOOKUP(E$147,$AB:$AC,2,FALSE),"")</f>
        <v>Category A   1 credit is achieved in the Provisional Assessment.</v>
      </c>
    </row>
    <row r="152">
      <c r="C152" t="str">
        <f>"Category B   " &amp; IFERROR(VLOOKUP(F$147,$AB:$AC,2,FALSE),"")</f>
        <v>Category B   1 credit is achieved in the Provisional Assessment.</v>
      </c>
    </row>
    <row r="153">
      <c r="C153" t="str">
        <f>"Category C   " &amp; IFERROR(VLOOKUP(G$147,$AB:$AC,2,FALSE),"")</f>
        <v xml:space="preserve">Category C   </v>
      </c>
    </row>
    <row r="154">
      <c r="C154" t="str">
        <f>"Category D   " &amp; IFERROR(VLOOKUP(H$147,$AB:$AC,2,FALSE),"")</f>
        <v xml:space="preserve">Category D   </v>
      </c>
    </row>
    <row r="155">
      <c r="A155" t="str">
        <v>EU 10c</v>
      </c>
      <c r="C155" t="str">
        <v>Commissioning</v>
      </c>
      <c r="E155">
        <f>IF(M155&lt;&gt;"",M155,"")</f>
        <v>1</v>
      </c>
      <c r="F155">
        <f>IF(N155&lt;&gt;"",N155,"")</f>
        <v>1</v>
      </c>
      <c r="G155" t="str">
        <f>IF(O155&lt;&gt;"",O155,"")</f>
        <v/>
      </c>
      <c r="H155" t="str">
        <f>IF(P155&lt;&gt;"",P155,"")</f>
        <v/>
      </c>
      <c r="I155">
        <f>IF(M155="NA","NA",IF(AND(M155&lt;&gt;"",OR(M155="NS",M155&gt;=0)),1,"-"))</f>
        <v>1</v>
      </c>
      <c r="J155">
        <f>IF(N155="NA","NA",IF(AND(N155&lt;&gt;"",OR(N155="NS",N155&gt;=0)),1,"-"))</f>
        <v>1</v>
      </c>
      <c r="K155" t="str">
        <f>IF(O155="NA","NA",IF(AND(O155&lt;&gt;"",OR(O155="NS",O155&gt;=0)),1,"-"))</f>
        <v>-</v>
      </c>
      <c r="L155" t="str">
        <f>IF(P155="NA","NA",IF(AND(P155&lt;&gt;"",OR(P155="NS",P155&gt;=0)),1,"-"))</f>
        <v>-</v>
      </c>
      <c r="M155">
        <v>1</v>
      </c>
      <c r="N155">
        <v>1</v>
      </c>
      <c r="R155" t="str">
        <f>IF(COUNTIF(M155:P162,"NA")/COUNTA(M155:P162)=1,"NA","")</f>
        <v/>
      </c>
      <c r="S155" t="str">
        <f>IF(COUNTIF(M155:P162,0)&gt;0,0,"")</f>
        <v/>
      </c>
    </row>
    <row r="156">
      <c r="A156" t="str">
        <v>One Credit</v>
      </c>
      <c r="C156" t="str">
        <v>1 credit for ensuring full and complete commissioning of all systems, equipment and components that impact on energy use and indoor environmental quality.</v>
      </c>
    </row>
    <row r="158" xml:space="preserve">
      <c r="C158" t="str" xml:space="preserve">
        <v xml:space="preserve">The Applicant submitted extracted parts of the technical specification for all major building services systems including electrical, HVAC, lift &amp; escalator, plumbing &amp; drainage, detailing Testing and Commissioning (T&amp;C) scope of works and relevant T&amp;C requirement. _x000d_
</v>
      </c>
    </row>
    <row r="159">
      <c r="C159" t="str">
        <f>"Category A   " &amp; IFERROR(VLOOKUP(E$155,$AB:$AC,2,FALSE),"")</f>
        <v>Category A   1 credit is achieved in the Provisional Assessment.</v>
      </c>
    </row>
    <row r="160">
      <c r="C160" t="str">
        <f>"Category B   " &amp; IFERROR(VLOOKUP(F$155,$AB:$AC,2,FALSE),"")</f>
        <v>Category B   1 credit is achieved in the Provisional Assessment.</v>
      </c>
    </row>
    <row r="161">
      <c r="C161" t="str">
        <f>"Category C   " &amp; IFERROR(VLOOKUP(G$155,$AB:$AC,2,FALSE),"")</f>
        <v xml:space="preserve">Category C   </v>
      </c>
    </row>
    <row r="162">
      <c r="C162" t="str">
        <f>"Category D   " &amp; IFERROR(VLOOKUP(H$155,$AB:$AC,2,FALSE),"")</f>
        <v xml:space="preserve">Category D   </v>
      </c>
    </row>
    <row r="163">
      <c r="A163" t="str">
        <v>EU 10d</v>
      </c>
      <c r="C163" t="str">
        <v>Commissioning Report</v>
      </c>
      <c r="E163">
        <f>IF(M163&lt;&gt;"",M163,"")</f>
        <v>1</v>
      </c>
      <c r="F163">
        <f>IF(N163&lt;&gt;"",N163,"")</f>
        <v>1</v>
      </c>
      <c r="G163" t="str">
        <f>IF(O163&lt;&gt;"",O163,"")</f>
        <v/>
      </c>
      <c r="H163" t="str">
        <f>IF(P163&lt;&gt;"",P163,"")</f>
        <v/>
      </c>
      <c r="I163">
        <f>IF(M163="NA","NA",IF(AND(M163&lt;&gt;"",OR(M163="NS",M163&gt;=0)),1,"-"))</f>
        <v>1</v>
      </c>
      <c r="J163">
        <f>IF(N163="NA","NA",IF(AND(N163&lt;&gt;"",OR(N163="NS",N163&gt;=0)),1,"-"))</f>
        <v>1</v>
      </c>
      <c r="K163" t="str">
        <f>IF(O163="NA","NA",IF(AND(O163&lt;&gt;"",OR(O163="NS",O163&gt;=0)),1,"-"))</f>
        <v>-</v>
      </c>
      <c r="L163" t="str">
        <f>IF(P163="NA","NA",IF(AND(P163&lt;&gt;"",OR(P163="NS",P163&gt;=0)),1,"-"))</f>
        <v>-</v>
      </c>
      <c r="M163">
        <v>1</v>
      </c>
      <c r="N163">
        <v>1</v>
      </c>
      <c r="R163" t="str">
        <f>IF(COUNTIF(M163:P170,"NA")/COUNTA(M163:P170)=1,"NA","")</f>
        <v/>
      </c>
      <c r="S163" t="str">
        <f>IF(COUNTIF(M163:P170,0)&gt;0,0,"")</f>
        <v/>
      </c>
    </row>
    <row r="164">
      <c r="A164" t="str">
        <v>One Credit</v>
      </c>
      <c r="C164" t="str">
        <v>1 credit for providing fully detailed commissioning reports for all systems, equipment and components that impact on energy use and indoor environmental quality.</v>
      </c>
    </row>
    <row r="166">
      <c r="C166" t="str">
        <v>The Applicant submitted extracted parts of the technical specification for all major building services systems including electrical, HVAC, lift &amp; escalator, plumbing &amp; drainage detailing Testing and Commissioning (T&amp;C) scope of works and relevant T&amp;C requirement.</v>
      </c>
    </row>
    <row r="167">
      <c r="C167" t="str">
        <f>"Category A   " &amp; IFERROR(VLOOKUP(E$163,$AB:$AC,2,FALSE),"")</f>
        <v>Category A   1 credit is achieved in the Provisional Assessment.</v>
      </c>
    </row>
    <row r="168">
      <c r="C168" t="str">
        <f>"Category B   " &amp; IFERROR(VLOOKUP(F$163,$AB:$AC,2,FALSE),"")</f>
        <v>Category B   1 credit is achieved in the Provisional Assessment.</v>
      </c>
    </row>
    <row r="169">
      <c r="C169" t="str">
        <f>"Category C   " &amp; IFERROR(VLOOKUP(G$163,$AB:$AC,2,FALSE),"")</f>
        <v xml:space="preserve">Category C   </v>
      </c>
    </row>
    <row r="170">
      <c r="C170" t="str">
        <f>"Category D   " &amp; IFERROR(VLOOKUP(H$163,$AB:$AC,2,FALSE),"")</f>
        <v xml:space="preserve">Category D   </v>
      </c>
    </row>
    <row r="171">
      <c r="A171" t="str">
        <v>EU 10e</v>
      </c>
      <c r="C171" t="str">
        <v>Independent Commissioning Authority</v>
      </c>
      <c r="E171" t="str">
        <f>IF(M171=1,"1B",M171)</f>
        <v>NS</v>
      </c>
      <c r="I171" t="str">
        <v>Bonus</v>
      </c>
      <c r="M171" t="str">
        <v>NS</v>
      </c>
      <c r="R171" t="str">
        <f>IF(M171="NA","NA","")</f>
        <v/>
      </c>
      <c r="S171" t="str">
        <f>IF(M171=0,0,"")</f>
        <v/>
      </c>
    </row>
    <row r="172">
      <c r="A172" t="str">
        <v>One Bonus Credit</v>
      </c>
      <c r="C172" t="str">
        <v>1 BONUS credit for engagement of an independent commissioning authority in the Testing and Commissioning process.</v>
      </c>
    </row>
    <row r="174">
      <c r="C174" t="str">
        <v>Insert Credit Commentary Here</v>
      </c>
    </row>
    <row r="175">
      <c r="C175" t="str">
        <f>IFERROR(VLOOKUP(E$171,$AB:$AC,2,FALSE),"-")</f>
        <v>No information was submitted. Credit is not achieved in the Provisional Assessment.</v>
      </c>
    </row>
    <row r="176">
      <c r="A176" t="str">
        <v>EU 11</v>
      </c>
      <c r="C176" t="str">
        <v>Operation and Maintenance</v>
      </c>
      <c r="E176">
        <f>IF(M176&lt;&gt;"",M176,"")</f>
        <v>1</v>
      </c>
      <c r="F176">
        <f>IF(N176&lt;&gt;"",N176,"")</f>
        <v>1</v>
      </c>
      <c r="G176" t="str">
        <f>IF(O176&lt;&gt;"",O176,"")</f>
        <v/>
      </c>
      <c r="H176" t="str">
        <f>IF(P176&lt;&gt;"",P176,"")</f>
        <v/>
      </c>
      <c r="I176">
        <f>IF(M176="NA","NA",IF(AND(M176&lt;&gt;"",OR(M176="NS",M176&gt;=0)),1,"-"))</f>
        <v>1</v>
      </c>
      <c r="J176">
        <f>IF(N176="NA","NA",IF(AND(N176&lt;&gt;"",OR(N176="NS",N176&gt;=0)),1,"-"))</f>
        <v>1</v>
      </c>
      <c r="K176" t="str">
        <f>IF(O176="NA","NA",IF(AND(O176&lt;&gt;"",OR(O176="NS",O176&gt;=0)),1,"-"))</f>
        <v>-</v>
      </c>
      <c r="L176" t="str">
        <f>IF(P176="NA","NA",IF(AND(P176&lt;&gt;"",OR(P176="NS",P176&gt;=0)),1,"-"))</f>
        <v>-</v>
      </c>
      <c r="M176">
        <v>1</v>
      </c>
      <c r="N176">
        <v>1</v>
      </c>
      <c r="R176" t="str">
        <f>IF(COUNTIF(M176:P184,"NA")/COUNTA(M176:P184)=1,"NA","")</f>
        <v/>
      </c>
      <c r="S176" t="str">
        <f>IF(COUNTIF(M176:P184,0)&gt;0,0,"")</f>
        <v/>
      </c>
    </row>
    <row r="177">
      <c r="A177" t="str">
        <v>EU 11a</v>
      </c>
      <c r="C177" t="str">
        <v>Operations and Maintenance Manual</v>
      </c>
    </row>
    <row r="178">
      <c r="A178" t="str">
        <v>One Credit</v>
      </c>
      <c r="C178" t="str">
        <v>1 credit for providing a fully documented operations and maintenance manual to the minimum specified.</v>
      </c>
    </row>
    <row r="180">
      <c r="C180" t="str">
        <v>The Applicant submitted extracted parts of the technical specifications requiring the contractors to submit Operation and Maintenance (O&amp;M) Manuals for all major energy consuming building services systems in accordance with the requirements in the BEAM Plus Manual.</v>
      </c>
    </row>
    <row r="181">
      <c r="C181" t="str">
        <f>"Category A   " &amp; IFERROR(VLOOKUP(E$176,$AB:$AC,2,FALSE),"")</f>
        <v>Category A   1 credit is achieved in the Provisional Assessment.</v>
      </c>
    </row>
    <row r="182">
      <c r="C182" t="str">
        <f>"Category B   " &amp; IFERROR(VLOOKUP(F$176,$AB:$AC,2,FALSE),"")</f>
        <v>Category B   1 credit is achieved in the Provisional Assessment.</v>
      </c>
    </row>
    <row r="183">
      <c r="C183" t="str">
        <f>"Category C   " &amp; IFERROR(VLOOKUP(G$176,$AB:$AC,2,FALSE),"")</f>
        <v xml:space="preserve">Category C   </v>
      </c>
    </row>
    <row r="184">
      <c r="C184" t="str">
        <f>"Category D   " &amp; IFERROR(VLOOKUP(H$176,$AB:$AC,2,FALSE),"")</f>
        <v xml:space="preserve">Category D   </v>
      </c>
    </row>
    <row r="185">
      <c r="A185" t="str">
        <v>EU 11b</v>
      </c>
      <c r="C185" t="str">
        <v>Energy Management Manual</v>
      </c>
      <c r="E185">
        <f>IF(M185&lt;&gt;"",M185,"")</f>
        <v>1</v>
      </c>
      <c r="F185">
        <f>IF(N185&lt;&gt;"",N185,"")</f>
        <v>1</v>
      </c>
      <c r="G185" t="str">
        <f>IF(O185&lt;&gt;"",O185,"")</f>
        <v/>
      </c>
      <c r="H185" t="str">
        <f>IF(P185&lt;&gt;"",P185,"")</f>
        <v/>
      </c>
      <c r="I185">
        <f>IF(M185="NA","NA",IF(AND(M185&lt;&gt;"",OR(M185="NS",M185&gt;=0)),1,"-"))</f>
        <v>1</v>
      </c>
      <c r="J185">
        <f>IF(N185="NA","NA",IF(AND(N185&lt;&gt;"",OR(N185="NS",N185&gt;=0)),1,"-"))</f>
        <v>1</v>
      </c>
      <c r="K185" t="str">
        <f>IF(O185="NA","NA",IF(AND(O185&lt;&gt;"",OR(O185="NS",O185&gt;=0)),1,"-"))</f>
        <v>-</v>
      </c>
      <c r="L185" t="str">
        <f>IF(P185="NA","NA",IF(AND(P185&lt;&gt;"",OR(P185="NS",P185&gt;=0)),1,"-"))</f>
        <v>-</v>
      </c>
      <c r="M185">
        <v>1</v>
      </c>
      <c r="N185">
        <v>1</v>
      </c>
      <c r="R185" t="str">
        <f>IF(COUNTIF(M185:P192,"NA")/COUNTA(M185:P192)=1,"NA","")</f>
        <v/>
      </c>
      <c r="S185" t="str">
        <f>IF(COUNTIF(M185:P192,0)&gt;0,0,"")</f>
        <v/>
      </c>
    </row>
    <row r="186">
      <c r="A186" t="str">
        <v>One Credit</v>
      </c>
      <c r="C186" t="str">
        <v>1 credit for providing fully documented instructions that enable systems to operate at a high level of energy efficiency.</v>
      </c>
    </row>
    <row r="188">
      <c r="C188" t="str">
        <v>The Applicant submitted extracted parts of the technical specifications requiring the contractors to submit Energy Management Manuals for all major energy consuming building services systems in accordance with the requirements in the BEAM Plus Manual.</v>
      </c>
    </row>
    <row r="189">
      <c r="C189" t="str">
        <f>"Category A   " &amp; IFERROR(VLOOKUP(E$185,$AB:$AC,2,FALSE),"")</f>
        <v>Category A   1 credit is achieved in the Provisional Assessment.</v>
      </c>
    </row>
    <row r="190">
      <c r="C190" t="str">
        <f>"Category B   " &amp; IFERROR(VLOOKUP(F$185,$AB:$AC,2,FALSE),"")</f>
        <v>Category B   1 credit is achieved in the Provisional Assessment.</v>
      </c>
    </row>
    <row r="191">
      <c r="C191" t="str">
        <f>"Category C   " &amp; IFERROR(VLOOKUP(G$185,$AB:$AC,2,FALSE),"")</f>
        <v xml:space="preserve">Category C   </v>
      </c>
    </row>
    <row r="192">
      <c r="C192" t="str">
        <f>"Category D   " &amp; IFERROR(VLOOKUP(H$185,$AB:$AC,2,FALSE),"")</f>
        <v xml:space="preserve">Category D   </v>
      </c>
    </row>
    <row r="193">
      <c r="A193" t="str">
        <v>EU 11c</v>
      </c>
      <c r="C193" t="str">
        <v>Operator Training and Operation and Maintenance Facilities</v>
      </c>
      <c r="E193">
        <f>IF(M193&lt;&gt;"",M193,"")</f>
        <v>1</v>
      </c>
      <c r="F193">
        <f>IF(N193&lt;&gt;"",N193,"")</f>
        <v>1</v>
      </c>
      <c r="G193" t="str">
        <f>IF(O193&lt;&gt;"",O193,"")</f>
        <v/>
      </c>
      <c r="H193" t="str">
        <f>IF(P193&lt;&gt;"",P193,"")</f>
        <v/>
      </c>
      <c r="I193">
        <f>IF(M193="NA","NA",IF(AND(M193&lt;&gt;"",OR(M193="NS",M193&gt;=0)),1,"-"))</f>
        <v>1</v>
      </c>
      <c r="J193">
        <f>IF(N193="NA","NA",IF(AND(N193&lt;&gt;"",OR(N193="NS",N193&gt;=0)),1,"-"))</f>
        <v>1</v>
      </c>
      <c r="K193" t="str">
        <f>IF(O193="NA","NA",IF(AND(O193&lt;&gt;"",OR(O193="NS",O193&gt;=0)),1,"-"))</f>
        <v>-</v>
      </c>
      <c r="L193" t="str">
        <f>IF(P193="NA","NA",IF(AND(P193&lt;&gt;"",OR(P193="NS",P193&gt;=0)),1,"-"))</f>
        <v>-</v>
      </c>
      <c r="M193">
        <v>1</v>
      </c>
      <c r="N193">
        <v>1</v>
      </c>
      <c r="R193" t="str">
        <f>IF(COUNTIF(M193:P200,"NA")/COUNTA(M193:P200)=1,"NA","")</f>
        <v/>
      </c>
      <c r="S193" t="str">
        <f>IF(COUNTIF(M193:P200,0)&gt;0,0,"")</f>
        <v/>
      </c>
    </row>
    <row r="194">
      <c r="A194" t="str">
        <v>One Credit</v>
      </c>
      <c r="C194" t="str">
        <v>1 credit for providing training for operations and maintenance staff to the minimum specified; and demonstrating that adequate maintenance facilities are provided for operations and maintenance work.</v>
      </c>
    </row>
    <row r="196">
      <c r="C196" t="str">
        <v xml:space="preserve">The Applicant submitted extracted parts of the technical specifications requiring the contractors provide training for operations and maintenance staff. The Applicant also submitted layout plan of chemical storage area with lockable cabinet for chemical storage, seperate exhaust, drainage and water point. </v>
      </c>
    </row>
    <row r="197">
      <c r="C197" t="str">
        <f>"Category A   " &amp; IFERROR(VLOOKUP(E$193,$AB:$AC,2,FALSE),"")</f>
        <v>Category A   1 credit is achieved in the Provisional Assessment.</v>
      </c>
    </row>
    <row r="198">
      <c r="C198" t="str">
        <f>"Category B   " &amp; IFERROR(VLOOKUP(F$193,$AB:$AC,2,FALSE),"")</f>
        <v>Category B   1 credit is achieved in the Provisional Assessment.</v>
      </c>
    </row>
    <row r="199">
      <c r="C199" t="str">
        <f>"Category C   " &amp; IFERROR(VLOOKUP(G$193,$AB:$AC,2,FALSE),"")</f>
        <v xml:space="preserve">Category C   </v>
      </c>
    </row>
    <row r="200">
      <c r="C200" t="str">
        <f>"Category D   " &amp; IFERROR(VLOOKUP(H$193,$AB:$AC,2,FALSE),"")</f>
        <v xml:space="preserve">Category D   </v>
      </c>
    </row>
    <row r="201">
      <c r="A201" t="str">
        <v>EU 12</v>
      </c>
      <c r="C201" t="str">
        <v>Metering and Monitoring</v>
      </c>
      <c r="E201">
        <f>IF(M201&lt;&gt;"",M201,"")</f>
        <v>1</v>
      </c>
      <c r="F201">
        <f>IF(N201&lt;&gt;"",N201,"")</f>
        <v>1</v>
      </c>
      <c r="G201" t="str">
        <f>IF(O201&lt;&gt;"",O201,"")</f>
        <v/>
      </c>
      <c r="H201" t="str">
        <f>IF(P201&lt;&gt;"",P201,"")</f>
        <v/>
      </c>
      <c r="I201">
        <f>IF(M201="NA","NA",IF(AND(M201&lt;&gt;"",OR(M201="NS",M201&gt;=0)),1,"-"))</f>
        <v>1</v>
      </c>
      <c r="J201">
        <f>IF(N201="NA","NA",IF(AND(N201&lt;&gt;"",OR(N201="NS",N201&gt;=0)),1,"-"))</f>
        <v>1</v>
      </c>
      <c r="K201" t="str">
        <f>IF(O201="NA","NA",IF(AND(O201&lt;&gt;"",OR(O201="NS",O201&gt;=0)),1,"-"))</f>
        <v>-</v>
      </c>
      <c r="L201" t="str">
        <f>IF(P201="NA","NA",IF(AND(P201&lt;&gt;"",OR(P201="NS",P201&gt;=0)),1,"-"))</f>
        <v>-</v>
      </c>
      <c r="M201">
        <v>1</v>
      </c>
      <c r="N201">
        <v>1</v>
      </c>
      <c r="R201" t="str">
        <f>IF(COUNTIF(M201:P208,"NA")/COUNTA(M201:P208)=1,"NA","")</f>
        <v/>
      </c>
      <c r="S201" t="str">
        <f>IF(COUNTIF(M201:P208,0)&gt;0,0,"")</f>
        <v/>
      </c>
    </row>
    <row r="202" xml:space="preserve">
      <c r="A202" t="str">
        <v>One Credit</v>
      </c>
      <c r="C202" t="str" xml:space="preserve">
        <v xml:space="preserve">1 credit for installation of:_x000d_
metering that allows monitoring of electricity use by the main chiller plant and auxiliaries;_x000d_
instruments for monitoring building cooling load and operating parameters of the central chiller plant;_x000d_
metering that allows separate monitoring of electricity use by the air side of the HVAC system; and_x000d_
metering for landlord’s electricity consumption in common space/public areas.</v>
      </c>
    </row>
    <row r="204">
      <c r="C204" t="str">
        <v xml:space="preserve">For Category A (Residential), the Applicant submitted specification, electrical schematic drawing and energy meter catalogue showing that separate sub-metering and monitoring will be provided for public electricity use by HVAC, lift and escalator; plumbing &amp; drainage systems, lighting and small power. Also, the development will provide CCMS system to monitor the chiller plant chilled water temp, flow rate and pressue. </v>
      </c>
    </row>
    <row r="205">
      <c r="C205" t="str">
        <f>"Category A   " &amp; IFERROR(VLOOKUP(E$201,$AB:$AC,2,FALSE),"")</f>
        <v>Category A   1 credit is achieved in the Provisional Assessment.</v>
      </c>
    </row>
    <row r="206">
      <c r="C206" t="str">
        <f>"Category B   " &amp; IFERROR(VLOOKUP(F$201,$AB:$AC,2,FALSE),"")</f>
        <v>Category B   1 credit is achieved in the Provisional Assessment.</v>
      </c>
    </row>
    <row r="207">
      <c r="C207" t="str">
        <f>"Category C   " &amp; IFERROR(VLOOKUP(G$201,$AB:$AC,2,FALSE),"")</f>
        <v xml:space="preserve">Category C   </v>
      </c>
    </row>
    <row r="208">
      <c r="C208" t="str">
        <f>"Category D   " &amp; IFERROR(VLOOKUP(H$201,$AB:$AC,2,FALSE),"")</f>
        <v xml:space="preserve">Category D   </v>
      </c>
    </row>
    <row r="209">
      <c r="A209">
        <v>4.5</v>
      </c>
      <c r="C209" t="str">
        <v>BUILDING DESIGN FOR ENERGY EFFICIENCY</v>
      </c>
    </row>
    <row r="210">
      <c r="A210" t="str">
        <v>EU 13</v>
      </c>
      <c r="C210" t="str">
        <v>Energy Efficient Building Layout</v>
      </c>
      <c r="E210">
        <f>IF(M210&lt;&gt;"",M210,"")</f>
        <v>0</v>
      </c>
      <c r="F210" t="str">
        <f>IF(N210&lt;&gt;"",N210,"")</f>
        <v>NA</v>
      </c>
      <c r="G210" t="str">
        <f>IF(O210&lt;&gt;"",O210,"")</f>
        <v/>
      </c>
      <c r="H210" t="str">
        <f>IF(P210&lt;&gt;"",P210,"")</f>
        <v/>
      </c>
      <c r="I210">
        <f>IF(M210="NA","NA",IF(AND(M210&lt;&gt;"",OR(M210="NS",M210&gt;=0)),2,"-"))</f>
        <v>2</v>
      </c>
      <c r="J210" t="str">
        <f>IF(N210="NA","NA",IF(AND(N210&lt;&gt;"",OR(N210="NS",N210&gt;=0)),2,"-"))</f>
        <v>NA</v>
      </c>
      <c r="K210" t="str">
        <f>IF(O210="NA","NA",IF(AND(O210&lt;&gt;"",OR(O210="NS",O210&gt;=0)),2,"-"))</f>
        <v>-</v>
      </c>
      <c r="L210" t="str">
        <f>IF(P210="NA","NA",IF(AND(P210&lt;&gt;"",OR(P210="NS",P210&gt;=0)),2,"-"))</f>
        <v>-</v>
      </c>
      <c r="M210">
        <v>0</v>
      </c>
      <c r="N210" t="str">
        <v>NA</v>
      </c>
      <c r="R210" t="str">
        <f>IF(COUNTIF(M210:P218,"NA")/COUNTA(M210:P218)=1,"NA","")</f>
        <v/>
      </c>
      <c r="S210">
        <f>IF(COUNTIF(M210:P218,0)&gt;0,0,"")</f>
        <v>0</v>
      </c>
    </row>
    <row r="211">
      <c r="C211" t="str">
        <f>IFNA(VLOOKUP($C$17,$AC$331:$AF$342,4,FALSE),"Insert the Building Type under EU 1.")</f>
        <v>For all building types excluding residential:</v>
      </c>
    </row>
    <row r="212" xml:space="preserve">
      <c r="A212" t="str">
        <v>Two Credits</v>
      </c>
      <c r="C212" t="str" xml:space="preserve">
        <f>IFERROR(VLOOKUP(C211,$AC:$AD,2,FALSE),"-")</f>
        <v xml:space="preserve">1 credit for demonstrating the fulfilment of at least 3 items out of the following strategies._x000d_
2 credits for demonstrating the fulfilment of all of the following strategies._x000d_
a) Consideration of built form and building orientation to enhance energy conservation;_x000d_
b) Consideration of optimum spatial planning to enhance energy conservation;_x000d_
c) Consideration of building permeability provisions of building features to enhance the use of natural ventilation;_x000d_
d) Provision of fixed or movable horizontal/vertical external shading devices; and_x000d_
e) Provision of movable external shading devices for major atrium facade windows or skylights.</v>
      </c>
    </row>
    <row r="214" xml:space="preserve">
      <c r="C214" t="str" xml:space="preserve">
        <v xml:space="preserve">The Applicant has submitted simulation report for_x000d_
(1) Consideration of built form and building orientation to enhance energy conservation and demonstrate saving of 0.01% and 0.05% at 90 and 270 rotation_x000d_
(2) Consideration of optimum spatial planning to enhance energy conservation and demonstrate saving of 0.03%_x000d_
(3) Provision of fixed or movable horizontal &amp; vertical external shading devices and demonstrate saving of 0.02%_x000d_
_x000d_
However, in general the saving is relative small ranging from 0.01% to 0.05%. Also, for 1st item, 180 deg is more effective than current design. And for 2nd item, the staircase design only adopt at JUB Building, but not at North Building. Thus, the credit is not given.</v>
      </c>
    </row>
    <row r="215">
      <c r="C215" t="str">
        <f>"Category A   " &amp; IFERROR(VLOOKUP(E$210,$AB:$AC,2,FALSE),"")</f>
        <v>Category A   Credit is not achieved in the Provisional Assessment.</v>
      </c>
    </row>
    <row r="216">
      <c r="C216" t="str">
        <f>"Category B   " &amp; IFERROR(VLOOKUP(F$210,$AB:$AC,2,FALSE),"")</f>
        <v>Category B   Credit is not applicable in the Provisional Assessment.</v>
      </c>
    </row>
    <row r="217">
      <c r="C217" t="str">
        <f>"Category C   " &amp; IFERROR(VLOOKUP(G$210,$AB:$AC,2,FALSE),"")</f>
        <v xml:space="preserve">Category C   </v>
      </c>
    </row>
    <row r="218">
      <c r="C218" t="str">
        <f>"Category D   " &amp; IFERROR(VLOOKUP(H$210,$AB:$AC,2,FALSE),"")</f>
        <v xml:space="preserve">Category D   </v>
      </c>
    </row>
    <row r="219">
      <c r="A219" t="str">
        <v>Sub-Total Number of Applicable EU Credit</v>
      </c>
      <c r="E219">
        <f>I219</f>
        <v>34</v>
      </c>
      <c r="F219">
        <f>J219</f>
        <v>36</v>
      </c>
      <c r="G219">
        <f>K219</f>
        <v>0</v>
      </c>
      <c r="H219">
        <f>L219</f>
        <v>0</v>
      </c>
      <c r="I219">
        <f>SUM(I210:I218,I176:I208,I138:I170,I113:I136,I88:I111,I76,I16:I74)</f>
        <v>34</v>
      </c>
      <c r="J219">
        <f>SUM(J210:J218,J176:J208,J138:J170,J113:J136,J88:J111,J76,J16:J74)</f>
        <v>36</v>
      </c>
      <c r="K219">
        <f>SUM(K210:K218,K176:K208,K138:K170,K113:K136,K88:K111,K76,K16:K74)</f>
        <v>0</v>
      </c>
      <c r="L219">
        <f>SUM(L210:L218,L176:L208,L138:L170,L113:L136,L88:L111,L76,L16:L74)</f>
        <v>0</v>
      </c>
      <c r="Q219" t="str">
        <v>Excluding Bonus Credits</v>
      </c>
    </row>
    <row r="220">
      <c r="A220" t="str">
        <v>Number of Achieved EU Credit</v>
      </c>
      <c r="E220">
        <f>M220</f>
        <v>23</v>
      </c>
      <c r="F220">
        <f>N220</f>
        <v>27</v>
      </c>
      <c r="G220">
        <f>O220</f>
        <v>0</v>
      </c>
      <c r="H220">
        <f>P220</f>
        <v>0</v>
      </c>
      <c r="M220">
        <f>SUM(M16:M83,M88:M170,M176:M218)</f>
        <v>23</v>
      </c>
      <c r="N220">
        <f>SUM(N16:N83,N88:N170,N176:N218)</f>
        <v>27</v>
      </c>
      <c r="O220">
        <f>SUM(O16:O83,O88:O170,O176:O218)</f>
        <v>0</v>
      </c>
      <c r="P220">
        <f>SUM(P16:P83,P88:P170,P176:P218)</f>
        <v>0</v>
      </c>
    </row>
    <row r="231">
      <c r="A231" t="str">
        <v xml:space="preserve"> </v>
      </c>
    </row>
    <row r="308">
      <c r="AE308" t="str">
        <v>PR</v>
      </c>
      <c r="AF308" t="str">
        <f>"The prerequisite is achieved in the " &amp; 'Project Summary'!C9&amp; "."</f>
        <v>The prerequisite is achieved in the Provisional Assessment.</v>
      </c>
    </row>
    <row r="309">
      <c r="AB309" t="str">
        <v>NS</v>
      </c>
      <c r="AC309" t="str">
        <f>"No information was submitted. Credit is not achieved in the "&amp; 'Project Summary'!C9 &amp; "."</f>
        <v>No information was submitted. Credit is not achieved in the Provisional Assessment.</v>
      </c>
      <c r="AE309" t="str">
        <v>NA</v>
      </c>
      <c r="AF309" t="str">
        <f>"The prerequisite is not applicable in the " &amp; 'Project Summary'!C9&amp; "."</f>
        <v>The prerequisite is not applicable in the Provisional Assessment.</v>
      </c>
    </row>
    <row r="310">
      <c r="AB310" t="str">
        <v>NA</v>
      </c>
      <c r="AC310" t="str">
        <f>"Credit is not applicable in the "&amp; 'Project Summary'!C9 &amp; "."</f>
        <v>Credit is not applicable in the Provisional Assessment.</v>
      </c>
      <c r="AE310">
        <v>0</v>
      </c>
      <c r="AF310" t="str">
        <f>"The prerequisite is not achieved in the " &amp; 'Project Summary'!C9&amp; "."</f>
        <v>The prerequisite is not achieved in the Provisional Assessment.</v>
      </c>
    </row>
    <row r="311">
      <c r="AB311">
        <v>0</v>
      </c>
      <c r="AC311" t="str">
        <f>"Credit is not achieved in the "&amp; 'Project Summary'!C9 &amp; "."</f>
        <v>Credit is not achieved in the Provisional Assessment.</v>
      </c>
    </row>
    <row r="312">
      <c r="AB312">
        <v>1</v>
      </c>
      <c r="AC312" t="str">
        <f>"1 credit is achieved in the "&amp; 'Project Summary'!C9 &amp; "."</f>
        <v>1 credit is achieved in the Provisional Assessment.</v>
      </c>
    </row>
    <row r="313">
      <c r="AB313">
        <v>2</v>
      </c>
      <c r="AC313" t="str">
        <f>"2 credits are achieved in the "&amp; 'Project Summary'!C9 &amp; "."</f>
        <v>2 credits are achieved in the Provisional Assessment.</v>
      </c>
    </row>
    <row r="315">
      <c r="AB315">
        <v>3</v>
      </c>
      <c r="AC315" t="str">
        <f>"3 credits are achieved in the "&amp; 'Project Summary'!C9 &amp; "."</f>
        <v>3 credits are achieved in the Provisional Assessment.</v>
      </c>
    </row>
    <row r="316">
      <c r="AB316">
        <v>4</v>
      </c>
      <c r="AC316" t="str">
        <f>"4 credits are achieved in the "&amp; 'Project Summary'!C9 &amp; "."</f>
        <v>4 credits are achieved in the Provisional Assessment.</v>
      </c>
    </row>
    <row r="317">
      <c r="AB317">
        <v>5</v>
      </c>
      <c r="AC317" t="str">
        <f>"5 credits are achieved in the "&amp; 'Project Summary'!C9 &amp; "."</f>
        <v>5 credits are achieved in the Provisional Assessment.</v>
      </c>
    </row>
    <row r="318">
      <c r="AB318">
        <v>6</v>
      </c>
      <c r="AC318" t="str">
        <f>"6 credits are achieved in the "&amp; 'Project Summary'!C9 &amp; "."</f>
        <v>6 credits are achieved in the Provisional Assessment.</v>
      </c>
    </row>
    <row r="319">
      <c r="AB319">
        <v>7</v>
      </c>
      <c r="AC319" t="str">
        <f>"7 credits are achieved in the "&amp; 'Project Summary'!C9 &amp; "."</f>
        <v>7 credits are achieved in the Provisional Assessment.</v>
      </c>
    </row>
    <row r="320">
      <c r="AB320">
        <v>8</v>
      </c>
      <c r="AC320" t="str">
        <f>"8 credits are achieved in the "&amp; 'Project Summary'!C9 &amp; "."</f>
        <v>8 credits are achieved in the Provisional Assessment.</v>
      </c>
    </row>
    <row r="321">
      <c r="AB321">
        <v>9</v>
      </c>
      <c r="AC321" t="str">
        <f>"9 credits are achieved in the "&amp; 'Project Summary'!C9 &amp; "."</f>
        <v>9 credits are achieved in the Provisional Assessment.</v>
      </c>
    </row>
    <row r="322">
      <c r="AB322">
        <v>10</v>
      </c>
      <c r="AC322" t="str">
        <f>"10 credits are achieved in the "&amp; 'Project Summary'!C9 &amp; "."</f>
        <v>10 credits are achieved in the Provisional Assessment.</v>
      </c>
    </row>
    <row r="323">
      <c r="AB323">
        <v>11</v>
      </c>
      <c r="AC323" t="str">
        <f>"11 credits are achieved in the "&amp; 'Project Summary'!C9 &amp; "."</f>
        <v>11 credits are achieved in the Provisional Assessment.</v>
      </c>
    </row>
    <row r="324">
      <c r="AB324">
        <v>12</v>
      </c>
      <c r="AC324" t="str">
        <f>"12 credits are achieved in the "&amp; 'Project Summary'!C9 &amp; "."</f>
        <v>12 credits are achieved in the Provisional Assessment.</v>
      </c>
    </row>
    <row r="325">
      <c r="AB325">
        <v>13</v>
      </c>
      <c r="AC325" t="str">
        <f>"13 credits are achieved in the "&amp; 'Project Summary'!C9 &amp; "."</f>
        <v>13 credits are achieved in the Provisional Assessment.</v>
      </c>
    </row>
    <row r="326">
      <c r="AB326">
        <v>14</v>
      </c>
      <c r="AC326" t="str">
        <f>"14 credits are achieved in the "&amp; 'Project Summary'!C9 &amp; "."</f>
        <v>14 credits are achieved in the Provisional Assessment.</v>
      </c>
    </row>
    <row r="327">
      <c r="AB327">
        <v>15</v>
      </c>
      <c r="AC327" t="str">
        <f>"15 credits are achieved in the "&amp; 'Project Summary'!C9 &amp; "."</f>
        <v>15 credits are achieved in the Provisional Assessment.</v>
      </c>
    </row>
    <row r="328">
      <c r="AB328" t="str">
        <v>1B</v>
      </c>
      <c r="AC328" t="str">
        <f>"1 Bonus credit is achieved in the "&amp; 'Project Summary'!C9 &amp; "."</f>
        <v>1 Bonus credit is achieved in the Provisional Assessment.</v>
      </c>
    </row>
    <row r="330">
      <c r="AC330" t="str">
        <v>List</v>
      </c>
    </row>
    <row r="331" xml:space="preserve">
      <c r="AC331" t="str">
        <v>Estimated Annual Energy Consumption for COMMERCIAL AND HOTEL Buildings [BEC 2012/ BEC 2012 (Rev.1)]</v>
      </c>
      <c r="AD331" t="str" xml:space="preserve">
        <v xml:space="preserve">1 credit for a reduction in the annual energy consumption by 3 %_x000d_
2 credits for a reduction in the annual energy consumption by 5 %_x000d_
3 credits for a reduction in the annual energy consumption by 7 %_x000d_
4 credits for a reduction in the annual energy consumption by 9 %_x000d_
5 credits for a reduction in the annual energy consumption by 11 %_x000d_
6 credits for a reduction in the annual energy consumption by 14 %_x000d_
7 credits for a reduction in the annual energy consumption by 17 %_x000d_
8 credits for a reduction in the annual energy consumption by 20 %_x000d_
9 credits for a reduction in the annual energy consumption by 23 %_x000d_
10 credits for a reduction in the annual energy consumption by 26 %_x000d_
11 credits for a reduction in the annual energy consumption by 29 %_x000d_
12 credits for a reduction in the annual energy consumption by 33 %_x000d_
13 credits for a reduction in the annual energy consumption by 37 %_x000d_
14 credits for a reduction in the annual energy consumption by 41 %_x000d_
15 credits for a reduction in the annual energy consumption by 45 %</v>
      </c>
      <c r="AE331" t="str">
        <v>Estimated Maximum Electricity Demand for COMMERCIAL AND HOTEL Buildings [BEC 2012/ BEC 2012 (Rev.1)]</v>
      </c>
      <c r="AF331" t="str">
        <v>For all building types excluding residential:</v>
      </c>
    </row>
    <row r="332" xml:space="preserve">
      <c r="AC332" t="str">
        <v>Estimated Annual Energy Consumption for EDUCATIONAL Buildings [BEC 2012/ BEC 2012 (Rev.1)]</v>
      </c>
      <c r="AD332" t="str" xml:space="preserve">
        <v xml:space="preserve">1 credit for a reduction in the annual energy consumption by 3 %_x000d_
2 credits for a reduction in the annual energy consumption by 4 %_x000d_
3 credits for a reduction in the annual energy consumption by 5 %_x000d_
4 credits for a reduction in the annual energy consumption by 6 %_x000d_
5 credits for a reduction in the annual energy consumption by 7 %_x000d_
6 credits for a reduction in the annual energy consumption by 9 %_x000d_
7 credits for a reduction in the annual energy consumption by 11 %_x000d_
8 credits for a reduction in the annual energy consumption by 13 %_x000d_
9 credits for a reduction in the annual energy consumption by 15 %_x000d_
10 credits for a reduction in the annual energy consumption by 17 %_x000d_
11 credits for a reduction in the annual energy consumption by 19 %_x000d_
12 credits for a reduction in the annual energy consumption by 21 %_x000d_
13 credits for a reduction in the annual energy consumption by 24 %_x000d_
14 credits for a reduction in the annual energy consumption by 27 %_x000d_
15 credits for a reduction in the annual energy consumption by 30 %</v>
      </c>
      <c r="AE332" t="str">
        <v>Estimated Maximum Electricity Demand for EDUCATIONAL AND RESIDENTIAL Buildings [BEC 2012/ BEC 2012 (Rev.1)]</v>
      </c>
      <c r="AF332" t="str">
        <v>For all building types excluding residential:</v>
      </c>
    </row>
    <row r="333" xml:space="preserve">
      <c r="AC333" t="str">
        <v>Estimated Annual Energy Consumption for RESIDENTIAL Buildings [BEC 2012/ BEC 2012 (Rev.1)]</v>
      </c>
      <c r="AD333" t="str" xml:space="preserve">
        <v xml:space="preserve">1 credit for a reduction in the annual energy consumption by 3 %_x000d_
2 credits for a reduction in the annual energy consumption by 4 %_x000d_
3 credits for a reduction in the annual energy consumption by 5 %_x000d_
4 credits for a reduction in the annual energy consumption by 6 %_x000d_
5 credits for a reduction in the annual energy consumption by 7 %_x000d_
6 credits for a reduction in the annual energy consumption by 8 %_x000d_
7 credits for a reduction in the annual energy consumption by 9 %_x000d_
8 credits for a reduction in the annual energy consumption by 10 %_x000d_
9 credits for a reduction in the annual energy consumption by 11 %_x000d_
10 credits for a reduction in the annual energy consumption by 12 %_x000d_
11 credits for a reduction in the annual energy consumption by 13 %_x000d_
12 credits for a reduction in the annual energy consumption by 14 %_x000d_
13 credits for a reduction in the annual energy consumption by 16 %_x000d_
14 credits for a reduction in the annual energy consumption by 18 %_x000d_
15 credits for a reduction in the annual energy consumption by 20 %</v>
      </c>
      <c r="AE333" t="str">
        <v>Estimated Maximum Electricity Demand for EDUCATIONAL AND RESIDENTIAL Buildings [BEC 2012/ BEC 2012 (Rev.1)]</v>
      </c>
      <c r="AF333" t="str">
        <v>For residential developments:</v>
      </c>
    </row>
    <row r="334" xml:space="preserve">
      <c r="AC334" t="str">
        <v>Estimated Annual Energy Consumption for OTHER Building Types [BEC 2012/ BEC 2012 (Rev.1)]</v>
      </c>
      <c r="AD334" t="str" xml:space="preserve">
        <v xml:space="preserve">1 credit for a reduction in the annual energy consumption by 1 %_x000d_
2 credits for a reduction in the annual energy consumption by 2 %_x000d_
3 credits for a reduction in the annual energy consumption by 3 %_x000d_
4 credits for a reduction in the annual energy consumption by 4 %_x000d_
5 credits for a reduction in the annual energy consumption by 5 %_x000d_
6 credits for a reduction in the annual energy consumption by 6 %_x000d_
7 credits for a reduction in the annual energy consumption by 7 %_x000d_
8 credits for a reduction in the annual energy consumption by 8 %_x000d_
9 credits for a reduction in the annual energy consumption by 9 %_x000d_
10 credits for a reduction in the annual energy consumption by 10 %_x000d_
11 credits for a reduction in the annual energy consumption by 12 %_x000d_
12 credits for a reduction in the annual energy consumption by 14 %_x000d_
13 credits for a reduction in the annual energy consumption by 16 %_x000d_
14 credits for a reduction in the annual energy consumption by 18 %_x000d_
15 credits for a reduction in the annual energy consumption by 20 %</v>
      </c>
      <c r="AE334" t="str">
        <v>Estimated Maximum Electricity Demand for OTHER Building Types [BEC 2012/ BEC 2012 (Rev.1)]</v>
      </c>
      <c r="AF334" t="str">
        <v>For all building types excluding residential:</v>
      </c>
    </row>
    <row r="335" xml:space="preserve">
      <c r="AC335" t="str">
        <v>Estimated Annual Energy Consumption for COMMERCIAL AND HOTEL Buildings [BEC 2015]</v>
      </c>
      <c r="AD335" t="str" xml:space="preserve">
        <v xml:space="preserve">3 credits for a reduction in the annual energy consumption by 1 %_x000d_
4 credits for a reduction in the annual energy consumption by 3 %_x000d_
5 credits for a reduction in the annual energy consumption by 5 %_x000d_
6 credits for a reduction in the annual energy consumption by 8 %_x000d_
7 credits for a reduction in the annual energy consumption by 11 %_x000d_
8 credits for a reduction in the annual energy consumption by 14 %_x000d_
9 credits for a reduction in the annual energy consumption by 17 %_x000d_
10 credits for a reduction in the annual energy consumption by 20 %_x000d_
11 credits for a reduction in the annual energy consumption by 23 %_x000d_
12 credits for a reduction in the annual energy consumption by 27 %_x000d_
13 credits for a reduction in the annual energy consumption by 31 %_x000d_
14 credits for a reduction in the annual energy consumption by 35 %_x000d_
15 credits for a reduction in the annual energy consumption by 39 %</v>
      </c>
      <c r="AE335" t="str">
        <v>Estimated Maximum Electricity Demand for COMMERCIAL AND HOTEL Buildings [BEC 2015]</v>
      </c>
      <c r="AF335" t="str">
        <v>For all building types excluding residential:</v>
      </c>
    </row>
    <row r="336" xml:space="preserve">
      <c r="AC336" t="str">
        <v>Estimated Annual Energy Consumption for EDUCATIONAL Buildings [BEC 2015]</v>
      </c>
      <c r="AD336" t="str" xml:space="preserve">
        <v xml:space="preserve">4 credits for a reduction in the annual energy consumption by 1 %_x000d_
5 credits for a reduction in the annual energy consumption by 2 %_x000d_
6 credits for a reduction in the annual energy consumption by 4 %_x000d_
7 credits for a reduction in the annual energy consumption by 6 %_x000d_
8 credits for a reduction in the annual energy consumption by 8 %_x000d_
9 credits for a reduction in the annual energy consumption by 10 %_x000d_
10 credits for a reduction in the annual energy consumption by 12 %_x000d_
11 credits for a reduction in the annual energy consumption by 14 %_x000d_
12 credits for a reduction in the annual energy consumption by 16 %_x000d_
13 credits for a reduction in the annual energy consumption by 19 %_x000d_
14 credits for a reduction in the annual energy consumption by 22 %_x000d_
15 credits for a reduction in the annual energy consumption by 25 %</v>
      </c>
      <c r="AE336" t="str">
        <v>Estimated Maximum Electricity Demand for EDUCATIONAL AND RESIDENTIAL Buildings [BEC 2015]</v>
      </c>
      <c r="AF336" t="str">
        <v>For all building types excluding residential:</v>
      </c>
    </row>
    <row r="337" xml:space="preserve">
      <c r="AC337" t="str">
        <v>Estimated Annual Energy Consumption for RESIDENTIAL Buildings [BEC 2015]</v>
      </c>
      <c r="AD337" t="str" xml:space="preserve">
        <v xml:space="preserve">1 credit for a reduction in the annual energy consumption by 2 %_x000d_
2 credits for a reduction in the annual energy consumption by 3 %_x000d_
3 credits for a reduction in the annual energy consumption by 4 %_x000d_
4 credits for a reduction in the annual energy consumption by 5 %_x000d_
5 credits for a reduction in the annual energy consumption by 6 %_x000d_
6 credits for a reduction in the annual energy consumption by 7 %_x000d_
7 credits for a reduction in the annual energy consumption by 8 %_x000d_
8 credits for a reduction in the annual energy consumption by 9 %_x000d_
9 credits for a reduction in the annual energy consumption by 10 %_x000d_
10 credits for a reduction in the annual energy consumption by 11 %_x000d_
11 credits for a reduction in the annual energy consumption by 12 %_x000d_
12 credits for a reduction in the annual energy consumption by 13 %_x000d_
13 credits for a reduction in the annual energy consumption by 15 %_x000d_
14 credits for a reduction in the annual energy consumption by 17 %_x000d_
15 credits for a reduction in the annual energy consumption by 19 %</v>
      </c>
      <c r="AE337" t="str">
        <v>Estimated Maximum Electricity Demand for EDUCATIONAL AND RESIDENTIAL Buildings [BEC 2015]</v>
      </c>
      <c r="AF337" t="str">
        <v>For residential developments:</v>
      </c>
    </row>
    <row r="338" xml:space="preserve">
      <c r="AC338" t="str">
        <v>Estimated Annual Energy Consumption for OTHER Building Types [BEC 2015]</v>
      </c>
      <c r="AD338" t="str" xml:space="preserve">
        <v xml:space="preserve">2 credits for a reduction in the annual energy consumption by 1 %_x000d_
3 credits for a reduction in the annual energy consumption by 2 %_x000d_
4 credits for a reduction in the annual energy consumption by 3 %_x000d_
5 credits for a reduction in the annual energy consumption by 4 %_x000d_
6 credits for a reduction in the annual energy consumption by 5 %_x000d_
7 credits for a reduction in the annual energy consumption by 6 %_x000d_
8 credits for a reduction in the annual energy consumption by 7 %_x000d_
9 credits for a reduction in the annual energy consumption by 8 %_x000d_
10 credits for a reduction in the annual energy consumption by 9 %_x000d_
11 credits for a reduction in the annual energy consumption by 11 %_x000d_
12 credits for a reduction in the annual energy consumption by 13 %_x000d_
13 credits for a reduction in the annual energy consumption by 15 %_x000d_
14 credits for a reduction in the annual energy consumption by 17 %_x000d_
15 credits for a reduction in the annual energy consumption by 19 %</v>
      </c>
      <c r="AE338" t="str">
        <v>Estimated Maximum Electricity Demand for OTHER Building Types  [BEC 2015]</v>
      </c>
      <c r="AF338" t="str">
        <v>For all building types excluding residential:</v>
      </c>
    </row>
    <row r="339" xml:space="preserve">
      <c r="AC339" t="str">
        <v>Estimated Annual Energy Consumption for COMMERCIAL AND HOTEL Buildings [BEC 2018]</v>
      </c>
      <c r="AD339" t="str" xml:space="preserve">
        <v xml:space="preserve">3 credits for a reduction in the annual energy consumption by 1 %_x000d_
4 credits for a reduction in the annual energy consumption by 3 %_x000d_
5 credits for a reduction in the annual energy consumption by 5 %_x000d_
6 credits for a reduction in the annual energy consumption by 7 %_x000d_
7 credits for a reduction in the annual energy consumption by 9 %_x000d_
8 credits for a reduction in the annual energy consumption by 11 %_x000d_
9 credits for a reduction in the annual energy consumption by 13 %_x000d_
10 credits for a reduction in the annual energy consumption by 16 %_x000d_
11 credits for a reduction in the annual energy consumption by 19 %_x000d_
12 credits for a reduction in the annual energy consumption by 22 %_x000d_
13 credits for a reduction in the annual energy consumption by 25%_x000d_
14 credits for a reduction in the annual energy consumption by 28 %_x000d_
15 credits for a reduction in the annual energy consumption by 32 %</v>
      </c>
      <c r="AE339" t="str">
        <v>Estimated Maximum Electricity Demand for COMMERCIAL AND HOTEL Buildings [BEC 2018]</v>
      </c>
      <c r="AF339" t="str">
        <v>For all building types excluding residential:</v>
      </c>
    </row>
    <row r="340" xml:space="preserve">
      <c r="AC340" t="str">
        <v>Estimated Annual Energy Consumption for EDUCATIONAL Buildings [BEC 2018]</v>
      </c>
      <c r="AD340" t="str" xml:space="preserve">
        <v xml:space="preserve">4 credits for a reduction in the annual energy consumption by 1 %_x000d_
5 credits for a reduction in the annual energy consumption by 2 %_x000d_
6 credits for a reduction in the annual energy consumption by 4 %_x000d_
7 credits for a reduction in the annual energy consumption by 6 %_x000d_
8 credits for a reduction in the annual energy consumption by 8 %_x000d_
9 credits for a reduction in the annual energy consumption by 10 %_x000d_
10 credits for a reduction in the annual energy consumption by 12 %_x000d_
11 credits for a reduction in the annual energy consumption by 14 %_x000d_
12 credits for a reduction in the annual energy consumption by 16 %_x000d_
13 credits for a reduction in the annual energy consumption by 19 %_x000d_
14 credits for a reduction in the annual energy consumption by 22 %_x000d_
15 credits for a reduction in the annual energy consumption by 25 %</v>
      </c>
      <c r="AE340" t="str">
        <v>Estimated Maximum Electricity Demand for EDUCATIONAL AND RESIDENTIAL Buildings [BEC 2018]</v>
      </c>
      <c r="AF340" t="str">
        <v>For all building types excluding residential:</v>
      </c>
    </row>
    <row r="341" xml:space="preserve">
      <c r="AC341" t="str">
        <v>Estimated Annual Energy Consumption for RESIDENTIAL Buildings [BEC 2018]</v>
      </c>
      <c r="AD341" t="str" xml:space="preserve">
        <v xml:space="preserve">1 credit for a reduction in the annual energy consumption by 2 %_x000d_
2 credits for a reduction in the annual energy consumption by 3 %_x000d_
3 credits for a reduction in the annual energy consumption by 4 %_x000d_
4 credits for a reduction in the annual energy consumption by 5 %_x000d_
5 credits for a reduction in the annual energy consumption by 6 %_x000d_
6 credits for a reduction in the annual energy consumption by 7 %_x000d_
7 credits for a reduction in the annual energy consumption by 8 %_x000d_
8 credits for a reduction in the annual energy consumption by 9 %_x000d_
9 credits for a reduction in the annual energy consumption by 10 %_x000d_
10 credits for a reduction in the annual energy consumption by 11 %_x000d_
11 credits for a reduction in the annual energy consumption by 13 %_x000d_
12 credits for a reduction in the annual energy consumption by 14 %_x000d_
13 credits for a reduction in the annual energy consumption by 16 %_x000d_
14 credits for a reduction in the annual energy consumption by 18 %_x000d_
15 credits for a reduction in the annual energy consumption by 20 %</v>
      </c>
      <c r="AE341" t="str">
        <v>Estimated Maximum Electricity Demand for EDUCATIONAL AND RESIDENTIAL Buildings [BEC 2018]</v>
      </c>
      <c r="AF341" t="str">
        <v>For residential developments:</v>
      </c>
    </row>
    <row r="342" xml:space="preserve">
      <c r="AC342" t="str">
        <v>Estimated Annual Energy Consumption for OTHER Building Types [BEC 2018]</v>
      </c>
      <c r="AD342" t="str" xml:space="preserve">
        <v xml:space="preserve">2 credits for a reduction in the annual energy consumption by 1 %_x000d_
3 credits for a reduction in the annual energy consumption by 2 %_x000d_
4 credits for a reduction in the annual energy consumption by 3 %_x000d_
5 credits for a reduction in the annual energy consumption by 4 %_x000d_
6 credits for a reduction in the annual energy consumption by 5 %_x000d_
7 credits for a reduction in the annual energy consumption by 6 %_x000d_
8 credits for a reduction in the annual energy consumption by 7 %_x000d_
9 credits for a reduction in the annual energy consumption by 8 %_x000d_
10 credits for a reduction in the annual energy consumption by 9 %_x000d_
11 credits for a reduction in the annual energy consumption by 11 %_x000d_
12 credits for a reduction in the annual energy consumption by 13 %_x000d_
13 credits for a reduction in the annual energy consumption by 15 %_x000d_
14 credits for a reduction in the annual energy consumption by 17 %_x000d_
15 credits for a reduction in the annual energy consumption by 19 %</v>
      </c>
      <c r="AE342" t="str">
        <v>Estimated Maximum Electricity Demand for OTHER Building Types [BEC 2018]</v>
      </c>
      <c r="AF342" t="str">
        <v>For all building types excluding residential:</v>
      </c>
    </row>
    <row r="344" xml:space="preserve">
      <c r="AC344" t="str">
        <v>Estimated Maximum Electricity Demand for COMMERCIAL AND HOTEL Buildings [BEC 2012/ BEC 2012 (Rev.1)]</v>
      </c>
      <c r="AD344" t="str" xml:space="preserve">
        <v xml:space="preserve">1 credit for a reduction in the maximum electricity demand by 15 %_x000d_
2 credits for a reduction in the maximum electricity demand by 23 %_x000d_
3 credits for a reduction in the maximum electricity demand by 30 %</v>
      </c>
    </row>
    <row r="345" xml:space="preserve">
      <c r="AC345" t="str">
        <v>Estimated Maximum Electricity Demand for EDUCATIONAL AND RESIDENTIAL Buildings [BEC 2012/ BEC 2012 (Rev.1)]</v>
      </c>
      <c r="AD345" t="str" xml:space="preserve">
        <v xml:space="preserve">1 credit for a reduction in the maximum electricity demand by 8 %_x000d_
2 credits for a reduction in the maximum electricity demand by 12 %_x000d_
3 credits for a reduction in the maximum electricity demand by 15 %</v>
      </c>
    </row>
    <row r="346" xml:space="preserve">
      <c r="AC346" t="str">
        <v>Estimated Maximum Electricity Demand for OTHER Building Types [BEC 2012/ BEC 2012 (Rev.1)]</v>
      </c>
      <c r="AD346" t="str" xml:space="preserve">
        <v xml:space="preserve">1 credit for a reduction in the maximum electricity demand by 8 %_x000d_
2 credits for a reduction in the maximum electricity demand by 12 %_x000d_
3 credits for a reduction in the maximum electricity demand by 15 %</v>
      </c>
    </row>
    <row r="347" xml:space="preserve">
      <c r="AC347" t="str">
        <v>Estimated Maximum Electricity Demand for COMMERCIAL AND HOTEL Buildings [BEC 2015]</v>
      </c>
      <c r="AD347" t="str" xml:space="preserve">
        <v xml:space="preserve">1 credit for a reduction in the maximum electricity demand by 11 %_x000d_
2 credits for a reduction in the maximum electricity demand by 19 %_x000d_
3 credits for a reduction in the maximum electricity demand by 26 %</v>
      </c>
    </row>
    <row r="348" xml:space="preserve">
      <c r="AC348" t="str">
        <v>Estimated Maximum Electricity Demand for EDUCATIONAL AND RESIDENTIAL Buildings [BEC 2015]</v>
      </c>
      <c r="AD348" t="str" xml:space="preserve">
        <v xml:space="preserve">1 credit for a reduction in the maximum electricity demand by 2 %_x000d_
2 credits for a reduction in the maximum electricity demand by 6 %_x000d_
3 credits for a reduction in the maximum electricity demand by 9 %</v>
      </c>
    </row>
    <row r="349" xml:space="preserve">
      <c r="AC349" t="str">
        <v>Estimated Maximum Electricity Demand for OTHER Building Types  [BEC 2015]</v>
      </c>
      <c r="AD349" t="str" xml:space="preserve">
        <v xml:space="preserve">1 credit for a reduction in the maximum electricity demand by 7 %_x000d_
2 credits for a reduction in the maximum electricity demand by 11 %_x000d_
3 credits for a reduction in the maximum electricity demand by 14 %</v>
      </c>
    </row>
    <row r="350" xml:space="preserve">
      <c r="AC350" t="str">
        <v>Estimated Maximum Electricity Demand for COMMERCIAL AND HOTEL Buildings [BEC 2018]</v>
      </c>
      <c r="AD350" t="str" xml:space="preserve">
        <v xml:space="preserve">1 credit for a reduction in the maximum electricity demand by 10 %_x000d_
2 credits for a reduction in the maximum electricity demand by 19 %_x000d_
3 credits for a reduction in the maximum electricity demand by 26 %</v>
      </c>
    </row>
    <row r="351" xml:space="preserve">
      <c r="AC351" t="str">
        <v>Estimated Maximum Electricity Demand for EDUCATIONAL AND RESIDENTIAL Buildings [BEC 2018]</v>
      </c>
      <c r="AD351" t="str" xml:space="preserve">
        <v xml:space="preserve">1 credit for a reduction in the maximum electricity demand by 5 %_x000d_
2 credits for a reduction in the maximum electricity demand by 9 %_x000d_
3 credits for a reduction in the maximum electricity demand by 12 %</v>
      </c>
    </row>
    <row r="352" xml:space="preserve">
      <c r="AC352" t="str">
        <v>Estimated Maximum Electricity Demand for OTHER Building Types [BEC 2018]</v>
      </c>
      <c r="AD352" t="str" xml:space="preserve">
        <v xml:space="preserve">1 credit for a reduction in the maximum electricity demand by 7 %_x000d_
2 credits for a reduction in the maximum electricity demand by 11 %_x000d_
3 credits for a reduction in the maximum electricity demand by 14 %</v>
      </c>
    </row>
    <row r="353">
      <c r="AB353" t="str">
        <v>List</v>
      </c>
    </row>
    <row r="354" xml:space="preserve">
      <c r="AB354" t="str">
        <v>PR</v>
      </c>
      <c r="AC354" t="str">
        <v>For residential developments:</v>
      </c>
      <c r="AD354" t="str" xml:space="preserve">
        <v xml:space="preserve">1 credit for demonstrating the fulfilment of at least 3 items out of the following strategies._x000d_
2 credits for demonstrating the fulfilment of all of the following strategies._x000d_
a) To demonstrate compliance, energy simulation must be provided to show that the average solar irradiance of all facades is lower than 395 kWhr/m²/ apr-oct;_x000d_
b) Compliance is demonstrated by showing that a site permeability of 20% can be achieved between assessed building and nearby buildings/obstructions;_x000d_
c) Demonstrate that 20% of the habitable space can utilise natural ventilation either by the prescriptive approach or the performance approach;_x000d_
d) Demonstrate that the OTTV of habitable spaces is less than or equal to 30 W/m²; and_x000d_
e) Demonstrate that the VDF of habitable spaces are 50% more than the baseline requirements.</v>
      </c>
    </row>
    <row r="355" xml:space="preserve">
      <c r="AB355" t="str">
        <v>NA</v>
      </c>
      <c r="AC355" t="str">
        <v>For all building types excluding residential:</v>
      </c>
      <c r="AD355" t="str" xml:space="preserve">
        <v xml:space="preserve">1 credit for demonstrating the fulfilment of at least 3 items out of the following strategies._x000d_
2 credits for demonstrating the fulfilment of all of the following strategies._x000d_
a) Consideration of built form and building orientation to enhance energy conservation;_x000d_
b) Consideration of optimum spatial planning to enhance energy conservation;_x000d_
c) Consideration of building permeability provisions of building features to enhance the use of natural ventilation;_x000d_
d) Provision of fixed or movable horizontal/vertical external shading devices; and_x000d_
e) Provision of movable external shading devices for major atrium facade windows or skylights.</v>
      </c>
    </row>
    <row r="356">
      <c r="AB356">
        <v>0</v>
      </c>
    </row>
    <row r="358">
      <c r="AB358" t="str">
        <v>NA</v>
      </c>
    </row>
    <row r="359">
      <c r="AB359" t="str">
        <v>NS</v>
      </c>
    </row>
    <row r="360">
      <c r="AB360">
        <v>1</v>
      </c>
    </row>
    <row r="361">
      <c r="AB361">
        <v>0</v>
      </c>
    </row>
    <row r="363">
      <c r="AB363" t="str">
        <v>NA</v>
      </c>
    </row>
    <row r="364">
      <c r="AB364" t="str">
        <v>NS</v>
      </c>
    </row>
    <row r="365">
      <c r="AB365">
        <v>2</v>
      </c>
    </row>
    <row r="366">
      <c r="AB366">
        <v>1</v>
      </c>
    </row>
    <row r="367">
      <c r="AB367">
        <v>0</v>
      </c>
    </row>
    <row r="369">
      <c r="AB369" t="str">
        <v>NA</v>
      </c>
    </row>
    <row r="370">
      <c r="AB370" t="str">
        <v>NS</v>
      </c>
    </row>
    <row r="371">
      <c r="AB371">
        <v>15</v>
      </c>
    </row>
    <row r="372">
      <c r="AB372">
        <v>14</v>
      </c>
    </row>
    <row r="373">
      <c r="AB373">
        <v>13</v>
      </c>
    </row>
    <row r="374">
      <c r="AB374">
        <v>12</v>
      </c>
    </row>
    <row r="375">
      <c r="AB375">
        <v>11</v>
      </c>
    </row>
    <row r="376">
      <c r="AB376">
        <v>10</v>
      </c>
    </row>
    <row r="377">
      <c r="AB377">
        <v>9</v>
      </c>
    </row>
    <row r="378">
      <c r="AB378">
        <v>8</v>
      </c>
    </row>
    <row r="379">
      <c r="AB379">
        <v>7</v>
      </c>
    </row>
    <row r="380">
      <c r="AB380">
        <v>6</v>
      </c>
    </row>
    <row r="381">
      <c r="AB381">
        <v>5</v>
      </c>
    </row>
    <row r="382">
      <c r="AB382">
        <v>4</v>
      </c>
    </row>
    <row r="383">
      <c r="AB383">
        <v>3</v>
      </c>
    </row>
    <row r="384">
      <c r="AB384">
        <v>2</v>
      </c>
    </row>
    <row r="385">
      <c r="AB385">
        <v>1</v>
      </c>
    </row>
    <row r="386">
      <c r="AB386">
        <v>0</v>
      </c>
    </row>
    <row r="388">
      <c r="AB388" t="str">
        <v>NA</v>
      </c>
    </row>
    <row r="389">
      <c r="AB389" t="str">
        <v>NS</v>
      </c>
    </row>
    <row r="390">
      <c r="AB390">
        <v>5</v>
      </c>
    </row>
    <row r="391">
      <c r="AB391">
        <v>4</v>
      </c>
    </row>
    <row r="392">
      <c r="AB392">
        <v>3</v>
      </c>
    </row>
    <row r="393">
      <c r="AB393">
        <v>2</v>
      </c>
    </row>
    <row r="394">
      <c r="AB394">
        <v>1</v>
      </c>
    </row>
    <row r="395">
      <c r="AB395">
        <v>0</v>
      </c>
    </row>
    <row r="397">
      <c r="AB397" t="str">
        <v>NA</v>
      </c>
    </row>
    <row r="398">
      <c r="AB398" t="str">
        <v>NS</v>
      </c>
    </row>
    <row r="399">
      <c r="AB399">
        <v>3</v>
      </c>
    </row>
    <row r="400">
      <c r="AB400">
        <v>2</v>
      </c>
    </row>
    <row r="401">
      <c r="AB401">
        <v>1</v>
      </c>
    </row>
    <row r="402">
      <c r="AB402">
        <v>0</v>
      </c>
    </row>
    <row r="404">
      <c r="AB404" t="str">
        <v>NA</v>
      </c>
    </row>
    <row r="405">
      <c r="AB405">
        <v>15</v>
      </c>
    </row>
    <row r="407">
      <c r="AB407" t="str">
        <v>NA</v>
      </c>
    </row>
    <row r="408">
      <c r="AB408">
        <v>5</v>
      </c>
    </row>
    <row r="410">
      <c r="AB410" t="str">
        <v>NA</v>
      </c>
    </row>
    <row r="411">
      <c r="AB411">
        <v>3</v>
      </c>
    </row>
    <row r="413">
      <c r="AB413" t="str">
        <v>NA</v>
      </c>
    </row>
    <row r="414">
      <c r="AB414">
        <v>1</v>
      </c>
    </row>
    <row r="416">
      <c r="AB416" t="str">
        <v>NA</v>
      </c>
    </row>
    <row r="417">
      <c r="AB417">
        <v>2</v>
      </c>
    </row>
    <row r="419">
      <c r="AB419" t="str">
        <v>NA</v>
      </c>
    </row>
    <row r="420">
      <c r="AB420" t="str">
        <v>NS</v>
      </c>
    </row>
    <row r="421">
      <c r="AB421">
        <v>6</v>
      </c>
    </row>
    <row r="422">
      <c r="AB422">
        <v>5</v>
      </c>
    </row>
    <row r="423">
      <c r="AB423">
        <v>4</v>
      </c>
    </row>
    <row r="424">
      <c r="AB424">
        <v>3</v>
      </c>
    </row>
    <row r="425">
      <c r="AB425">
        <v>2</v>
      </c>
    </row>
    <row r="426">
      <c r="AB426">
        <v>1</v>
      </c>
    </row>
    <row r="427">
      <c r="AB427">
        <v>0</v>
      </c>
    </row>
  </sheetData>
  <mergeCells count="387">
    <mergeCell ref="S219:S220"/>
    <mergeCell ref="S129:S136"/>
    <mergeCell ref="S138:S146"/>
    <mergeCell ref="S147:S154"/>
    <mergeCell ref="S155:S162"/>
    <mergeCell ref="S163:S170"/>
    <mergeCell ref="S171:S175"/>
    <mergeCell ref="S84:S87"/>
    <mergeCell ref="S88:S95"/>
    <mergeCell ref="S96:S103"/>
    <mergeCell ref="S104:S111"/>
    <mergeCell ref="S113:S120"/>
    <mergeCell ref="S121:S128"/>
    <mergeCell ref="R185:R192"/>
    <mergeCell ref="R193:R200"/>
    <mergeCell ref="R201:R208"/>
    <mergeCell ref="R84:R87"/>
    <mergeCell ref="S176:S184"/>
    <mergeCell ref="S185:S192"/>
    <mergeCell ref="S193:S200"/>
    <mergeCell ref="S201:S208"/>
    <mergeCell ref="R210:R218"/>
    <mergeCell ref="S210:S218"/>
    <mergeCell ref="R219:R220"/>
    <mergeCell ref="S6:S8"/>
    <mergeCell ref="S10:S14"/>
    <mergeCell ref="S16:S24"/>
    <mergeCell ref="S66:S74"/>
    <mergeCell ref="S76:S83"/>
    <mergeCell ref="R138:R146"/>
    <mergeCell ref="R147:R154"/>
    <mergeCell ref="R155:R162"/>
    <mergeCell ref="R163:R170"/>
    <mergeCell ref="R171:R175"/>
    <mergeCell ref="R176:R184"/>
    <mergeCell ref="R88:R95"/>
    <mergeCell ref="R96:R103"/>
    <mergeCell ref="R104:R111"/>
    <mergeCell ref="R113:R120"/>
    <mergeCell ref="R121:R128"/>
    <mergeCell ref="R129:R136"/>
    <mergeCell ref="R6:R8"/>
    <mergeCell ref="R10:R14"/>
    <mergeCell ref="R16:R24"/>
    <mergeCell ref="R66:R74"/>
    <mergeCell ref="R76:R83"/>
    <mergeCell ref="S42:S49"/>
    <mergeCell ref="M6:P6"/>
    <mergeCell ref="M7:P7"/>
    <mergeCell ref="M10:P14"/>
    <mergeCell ref="M16:M24"/>
    <mergeCell ref="N16:N24"/>
    <mergeCell ref="P16:P24"/>
    <mergeCell ref="O42:O49"/>
    <mergeCell ref="P42:P49"/>
    <mergeCell ref="Q42:Q49"/>
    <mergeCell ref="M42:M49"/>
    <mergeCell ref="N42:N49"/>
    <mergeCell ref="Q66:Q74"/>
    <mergeCell ref="E66:E74"/>
    <mergeCell ref="F66:F74"/>
    <mergeCell ref="G66:G74"/>
    <mergeCell ref="H66:H74"/>
    <mergeCell ref="I66:I74"/>
    <mergeCell ref="R58:R65"/>
    <mergeCell ref="Q10:Q14"/>
    <mergeCell ref="Q16:Q24"/>
    <mergeCell ref="R42:R49"/>
    <mergeCell ref="R25:R33"/>
    <mergeCell ref="E16:E24"/>
    <mergeCell ref="F16:F24"/>
    <mergeCell ref="G16:G24"/>
    <mergeCell ref="H16:H24"/>
    <mergeCell ref="I50:I57"/>
    <mergeCell ref="K25:K33"/>
    <mergeCell ref="L25:L33"/>
    <mergeCell ref="M25:M33"/>
    <mergeCell ref="N25:N33"/>
    <mergeCell ref="O25:O33"/>
    <mergeCell ref="J42:J49"/>
    <mergeCell ref="K42:K49"/>
    <mergeCell ref="L42:L49"/>
    <mergeCell ref="I76:I83"/>
    <mergeCell ref="E75:H75"/>
    <mergeCell ref="Q76:Q87"/>
    <mergeCell ref="J76:J83"/>
    <mergeCell ref="Q96:Q103"/>
    <mergeCell ref="Q104:Q111"/>
    <mergeCell ref="Q113:Q120"/>
    <mergeCell ref="Q121:Q128"/>
    <mergeCell ref="K104:K111"/>
    <mergeCell ref="L104:L111"/>
    <mergeCell ref="N88:N95"/>
    <mergeCell ref="M76:M83"/>
    <mergeCell ref="G104:G111"/>
    <mergeCell ref="H104:H111"/>
    <mergeCell ref="E112:H112"/>
    <mergeCell ref="E113:E120"/>
    <mergeCell ref="F113:F120"/>
    <mergeCell ref="K113:K120"/>
    <mergeCell ref="M121:M128"/>
    <mergeCell ref="G121:G128"/>
    <mergeCell ref="H121:H128"/>
    <mergeCell ref="G113:G120"/>
    <mergeCell ref="H113:H120"/>
    <mergeCell ref="I113:I120"/>
    <mergeCell ref="Q129:Q136"/>
    <mergeCell ref="Q88:Q95"/>
    <mergeCell ref="M201:M208"/>
    <mergeCell ref="N201:N208"/>
    <mergeCell ref="O201:O208"/>
    <mergeCell ref="P201:P208"/>
    <mergeCell ref="N193:N200"/>
    <mergeCell ref="O193:O200"/>
    <mergeCell ref="P193:P200"/>
    <mergeCell ref="P155:P162"/>
    <mergeCell ref="M163:M170"/>
    <mergeCell ref="N163:N170"/>
    <mergeCell ref="O163:O170"/>
    <mergeCell ref="P163:P170"/>
    <mergeCell ref="N176:N184"/>
    <mergeCell ref="O176:O184"/>
    <mergeCell ref="P176:P184"/>
    <mergeCell ref="O138:O146"/>
    <mergeCell ref="P138:P146"/>
    <mergeCell ref="M147:M154"/>
    <mergeCell ref="N147:N154"/>
    <mergeCell ref="O147:O154"/>
    <mergeCell ref="P147:P154"/>
    <mergeCell ref="N138:N146"/>
    <mergeCell ref="N210:N218"/>
    <mergeCell ref="O210:O218"/>
    <mergeCell ref="P210:P218"/>
    <mergeCell ref="I210:I218"/>
    <mergeCell ref="M185:M192"/>
    <mergeCell ref="N185:N192"/>
    <mergeCell ref="O185:O192"/>
    <mergeCell ref="P185:P192"/>
    <mergeCell ref="M193:M200"/>
    <mergeCell ref="J210:J218"/>
    <mergeCell ref="K210:K218"/>
    <mergeCell ref="L210:L218"/>
    <mergeCell ref="I193:I200"/>
    <mergeCell ref="J193:J200"/>
    <mergeCell ref="J201:J208"/>
    <mergeCell ref="H96:H103"/>
    <mergeCell ref="E88:E95"/>
    <mergeCell ref="F88:F95"/>
    <mergeCell ref="G88:G95"/>
    <mergeCell ref="H88:H95"/>
    <mergeCell ref="H129:H136"/>
    <mergeCell ref="F121:F128"/>
    <mergeCell ref="F104:F111"/>
    <mergeCell ref="M210:M218"/>
    <mergeCell ref="J185:J192"/>
    <mergeCell ref="K163:K170"/>
    <mergeCell ref="L163:L170"/>
    <mergeCell ref="L176:L184"/>
    <mergeCell ref="H176:H184"/>
    <mergeCell ref="F163:F170"/>
    <mergeCell ref="E163:E170"/>
    <mergeCell ref="K155:K162"/>
    <mergeCell ref="F129:F136"/>
    <mergeCell ref="G129:G136"/>
    <mergeCell ref="G163:G170"/>
    <mergeCell ref="H163:H170"/>
    <mergeCell ref="E171:H175"/>
    <mergeCell ref="E176:E184"/>
    <mergeCell ref="F176:F184"/>
    <mergeCell ref="O113:O120"/>
    <mergeCell ref="K66:K74"/>
    <mergeCell ref="L66:L74"/>
    <mergeCell ref="N66:N74"/>
    <mergeCell ref="O66:O74"/>
    <mergeCell ref="P66:P74"/>
    <mergeCell ref="O88:O95"/>
    <mergeCell ref="P88:P95"/>
    <mergeCell ref="O76:O83"/>
    <mergeCell ref="P76:P83"/>
    <mergeCell ref="P113:P120"/>
    <mergeCell ref="O96:O103"/>
    <mergeCell ref="A229:C229"/>
    <mergeCell ref="A228:C228"/>
    <mergeCell ref="A227:C227"/>
    <mergeCell ref="A219:C219"/>
    <mergeCell ref="A220:C220"/>
    <mergeCell ref="E210:E218"/>
    <mergeCell ref="F210:F218"/>
    <mergeCell ref="A6:D8"/>
    <mergeCell ref="Q201:Q208"/>
    <mergeCell ref="Q210:Q218"/>
    <mergeCell ref="Q219:Q220"/>
    <mergeCell ref="K76:K83"/>
    <mergeCell ref="L76:L83"/>
    <mergeCell ref="I84:L87"/>
    <mergeCell ref="I129:I136"/>
    <mergeCell ref="K121:K128"/>
    <mergeCell ref="L121:L128"/>
    <mergeCell ref="K138:K146"/>
    <mergeCell ref="E129:E136"/>
    <mergeCell ref="J129:J136"/>
    <mergeCell ref="K129:K136"/>
    <mergeCell ref="F155:F162"/>
    <mergeCell ref="I155:I162"/>
    <mergeCell ref="J155:J162"/>
    <mergeCell ref="A86:A87"/>
    <mergeCell ref="K185:K192"/>
    <mergeCell ref="L185:L192"/>
    <mergeCell ref="K201:K208"/>
    <mergeCell ref="L201:L208"/>
    <mergeCell ref="E104:E111"/>
    <mergeCell ref="E121:E128"/>
    <mergeCell ref="I104:I111"/>
    <mergeCell ref="J121:J128"/>
    <mergeCell ref="E155:E162"/>
    <mergeCell ref="L113:L120"/>
    <mergeCell ref="L129:L136"/>
    <mergeCell ref="G155:G162"/>
    <mergeCell ref="H155:H162"/>
    <mergeCell ref="I147:I154"/>
    <mergeCell ref="J147:J154"/>
    <mergeCell ref="L147:L154"/>
    <mergeCell ref="I121:I128"/>
    <mergeCell ref="I138:I146"/>
    <mergeCell ref="J138:J146"/>
    <mergeCell ref="L155:L162"/>
    <mergeCell ref="E96:E103"/>
    <mergeCell ref="F96:F103"/>
    <mergeCell ref="G96:G103"/>
    <mergeCell ref="I171:L175"/>
    <mergeCell ref="I176:I184"/>
    <mergeCell ref="J176:J184"/>
    <mergeCell ref="K176:K184"/>
    <mergeCell ref="N76:N83"/>
    <mergeCell ref="M66:M74"/>
    <mergeCell ref="I6:L6"/>
    <mergeCell ref="I7:L7"/>
    <mergeCell ref="I10:L14"/>
    <mergeCell ref="I16:I24"/>
    <mergeCell ref="J16:J24"/>
    <mergeCell ref="K16:K24"/>
    <mergeCell ref="L16:L24"/>
    <mergeCell ref="I9:Q9"/>
    <mergeCell ref="Q6:Q8"/>
    <mergeCell ref="O16:O24"/>
    <mergeCell ref="P121:P128"/>
    <mergeCell ref="M129:M136"/>
    <mergeCell ref="N129:N136"/>
    <mergeCell ref="O129:O136"/>
    <mergeCell ref="P129:P136"/>
    <mergeCell ref="J66:J74"/>
    <mergeCell ref="M113:M120"/>
    <mergeCell ref="N113:N120"/>
    <mergeCell ref="A230:C230"/>
    <mergeCell ref="A231:C231"/>
    <mergeCell ref="A222:C222"/>
    <mergeCell ref="A223:C225"/>
    <mergeCell ref="A226:C226"/>
    <mergeCell ref="M84:P87"/>
    <mergeCell ref="M88:M95"/>
    <mergeCell ref="K193:K200"/>
    <mergeCell ref="L193:L200"/>
    <mergeCell ref="I201:I208"/>
    <mergeCell ref="P96:P103"/>
    <mergeCell ref="M104:M111"/>
    <mergeCell ref="N104:N111"/>
    <mergeCell ref="O104:O111"/>
    <mergeCell ref="P104:P111"/>
    <mergeCell ref="M96:M103"/>
    <mergeCell ref="N96:N103"/>
    <mergeCell ref="K147:K154"/>
    <mergeCell ref="E137:H137"/>
    <mergeCell ref="E138:E146"/>
    <mergeCell ref="F138:F146"/>
    <mergeCell ref="G138:G146"/>
    <mergeCell ref="H138:H146"/>
    <mergeCell ref="E147:E154"/>
    <mergeCell ref="E6:H6"/>
    <mergeCell ref="E7:H7"/>
    <mergeCell ref="E10:H14"/>
    <mergeCell ref="E15:H15"/>
    <mergeCell ref="E84:H87"/>
    <mergeCell ref="E76:E83"/>
    <mergeCell ref="F76:F83"/>
    <mergeCell ref="G76:G83"/>
    <mergeCell ref="H76:H83"/>
    <mergeCell ref="E9:H9"/>
    <mergeCell ref="E42:E49"/>
    <mergeCell ref="F42:F49"/>
    <mergeCell ref="G42:G49"/>
    <mergeCell ref="H42:H49"/>
    <mergeCell ref="E50:E57"/>
    <mergeCell ref="F50:F57"/>
    <mergeCell ref="G50:G57"/>
    <mergeCell ref="H50:H57"/>
    <mergeCell ref="E25:E33"/>
    <mergeCell ref="F25:F33"/>
    <mergeCell ref="G25:G33"/>
    <mergeCell ref="H25:H33"/>
    <mergeCell ref="E34:E41"/>
    <mergeCell ref="F34:F41"/>
    <mergeCell ref="F147:F154"/>
    <mergeCell ref="G147:G154"/>
    <mergeCell ref="H147:H154"/>
    <mergeCell ref="E209:H209"/>
    <mergeCell ref="H201:H208"/>
    <mergeCell ref="H193:H200"/>
    <mergeCell ref="G210:G218"/>
    <mergeCell ref="H210:H218"/>
    <mergeCell ref="G185:G192"/>
    <mergeCell ref="H185:H192"/>
    <mergeCell ref="E193:E200"/>
    <mergeCell ref="F193:F200"/>
    <mergeCell ref="G193:G200"/>
    <mergeCell ref="E201:E208"/>
    <mergeCell ref="F201:F208"/>
    <mergeCell ref="G201:G208"/>
    <mergeCell ref="E185:E192"/>
    <mergeCell ref="F185:F192"/>
    <mergeCell ref="G176:G184"/>
    <mergeCell ref="Q138:Q175"/>
    <mergeCell ref="Q176:Q200"/>
    <mergeCell ref="I88:I95"/>
    <mergeCell ref="J88:J95"/>
    <mergeCell ref="K88:K95"/>
    <mergeCell ref="L88:L95"/>
    <mergeCell ref="I96:I103"/>
    <mergeCell ref="M138:M146"/>
    <mergeCell ref="M155:M162"/>
    <mergeCell ref="M171:P175"/>
    <mergeCell ref="M176:M184"/>
    <mergeCell ref="O121:O128"/>
    <mergeCell ref="N121:N128"/>
    <mergeCell ref="N155:N162"/>
    <mergeCell ref="O155:O162"/>
    <mergeCell ref="J96:J103"/>
    <mergeCell ref="L96:L103"/>
    <mergeCell ref="J104:J111"/>
    <mergeCell ref="K96:K103"/>
    <mergeCell ref="J113:J120"/>
    <mergeCell ref="L138:L146"/>
    <mergeCell ref="I185:I192"/>
    <mergeCell ref="I163:I170"/>
    <mergeCell ref="J163:J170"/>
    <mergeCell ref="I25:I33"/>
    <mergeCell ref="J25:J33"/>
    <mergeCell ref="P25:P33"/>
    <mergeCell ref="Q25:Q33"/>
    <mergeCell ref="S25:S33"/>
    <mergeCell ref="M34:M41"/>
    <mergeCell ref="N34:N41"/>
    <mergeCell ref="O34:O41"/>
    <mergeCell ref="P34:P41"/>
    <mergeCell ref="G34:G41"/>
    <mergeCell ref="H34:H41"/>
    <mergeCell ref="I34:I41"/>
    <mergeCell ref="J34:J41"/>
    <mergeCell ref="K34:K41"/>
    <mergeCell ref="L34:L41"/>
    <mergeCell ref="Q34:Q41"/>
    <mergeCell ref="R34:R41"/>
    <mergeCell ref="S34:S41"/>
    <mergeCell ref="I42:I49"/>
    <mergeCell ref="K50:K57"/>
    <mergeCell ref="L50:L57"/>
    <mergeCell ref="M50:M57"/>
    <mergeCell ref="N50:N57"/>
    <mergeCell ref="O50:O57"/>
    <mergeCell ref="P50:P57"/>
    <mergeCell ref="Q50:Q57"/>
    <mergeCell ref="R50:R57"/>
    <mergeCell ref="J50:J57"/>
    <mergeCell ref="S50:S57"/>
    <mergeCell ref="E58:E65"/>
    <mergeCell ref="F58:F65"/>
    <mergeCell ref="G58:G65"/>
    <mergeCell ref="H58:H65"/>
    <mergeCell ref="I58:I65"/>
    <mergeCell ref="J58:J65"/>
    <mergeCell ref="K58:K65"/>
    <mergeCell ref="S58:S65"/>
    <mergeCell ref="L58:L65"/>
    <mergeCell ref="M58:M65"/>
    <mergeCell ref="N58:N65"/>
    <mergeCell ref="O58:O65"/>
    <mergeCell ref="P58:P65"/>
    <mergeCell ref="Q58:Q65"/>
  </mergeCells>
  <pageMargins left="0.7874015748031497" right="0.5511811023622047" top="0.5118110236220472" bottom="0.7480314960629921" header="0.31496062992125984" footer="0.31496062992125984"/>
  <ignoredErrors>
    <ignoredError numberStoredAsText="1" sqref="A1:AR1009"/>
  </ignoredErrors>
</worksheet>
</file>

<file path=xl/worksheets/sheet5.xml><?xml version="1.0" encoding="utf-8"?>
<worksheet xmlns="http://schemas.openxmlformats.org/spreadsheetml/2006/main" xmlns:r="http://schemas.openxmlformats.org/officeDocument/2006/relationships">
  <dimension ref="A1:K22"/>
  <sheetViews>
    <sheetView workbookViewId="0"/>
  </sheetViews>
  <sheetData>
    <row r="1">
      <c r="I1" t="str">
        <v>NB v1.2_20200504</v>
      </c>
    </row>
    <row r="2">
      <c r="H2" t="str">
        <f>'Project Summary'!C6</f>
        <v>2123-123XX(x)</v>
      </c>
    </row>
    <row r="3">
      <c r="H3" t="str">
        <f>"BEAM Plus " &amp; 'Project Summary'!C9 &amp; " Report For"</f>
        <v>BEAM Plus Provisional Assessment Report For</v>
      </c>
    </row>
    <row r="4">
      <c r="A4" t="str">
        <v>Appendix A - Credit Summary</v>
      </c>
      <c r="H4" t="str">
        <f>'Project Summary'!C7</f>
        <v>ABC Residential Development</v>
      </c>
    </row>
    <row r="6">
      <c r="A6" t="str">
        <v>Final Summary for Energy Use</v>
      </c>
    </row>
    <row r="8">
      <c r="A8" t="str">
        <v>Building Category</v>
      </c>
      <c r="D8" t="str">
        <v>Total credits available</v>
      </c>
      <c r="E8" t="str">
        <v>Credits achieved</v>
      </c>
      <c r="F8" t="str">
        <v>% of total CFA</v>
      </c>
      <c r="G8" t="str">
        <v>Weighted credits available</v>
      </c>
      <c r="H8" t="str">
        <v>Weighted credits achieved</v>
      </c>
    </row>
    <row r="11">
      <c r="A11" t="str">
        <v>A</v>
      </c>
      <c r="D11">
        <f>'EU Comment'!E219</f>
        <v>34</v>
      </c>
      <c r="E11">
        <f>'EU Comment'!E220</f>
        <v>23</v>
      </c>
      <c r="F11" t="e">
        <f>'EU Comment'!W2</f>
        <v>#DIV/0!</v>
      </c>
      <c r="G11" t="e">
        <f>D11*F11</f>
        <v>#DIV/0!</v>
      </c>
      <c r="H11" t="e">
        <f>E11*F11</f>
        <v>#DIV/0!</v>
      </c>
    </row>
    <row r="12">
      <c r="A12" t="str">
        <v>B</v>
      </c>
      <c r="D12">
        <f>'EU Comment'!F219</f>
        <v>36</v>
      </c>
      <c r="E12">
        <f>'EU Comment'!F220</f>
        <v>27</v>
      </c>
      <c r="F12" t="e">
        <f>'EU Comment'!W3</f>
        <v>#DIV/0!</v>
      </c>
      <c r="G12" t="e">
        <f>D12*F12</f>
        <v>#DIV/0!</v>
      </c>
      <c r="H12" t="e">
        <f>E12*F12</f>
        <v>#DIV/0!</v>
      </c>
    </row>
    <row r="13">
      <c r="A13" t="str">
        <v>C</v>
      </c>
      <c r="D13">
        <f>'EU Comment'!G219</f>
        <v>0</v>
      </c>
      <c r="E13">
        <f>'EU Comment'!G220</f>
        <v>0</v>
      </c>
      <c r="F13" t="e">
        <f>'EU Comment'!W4</f>
        <v>#DIV/0!</v>
      </c>
      <c r="G13" t="e">
        <f>D13*F13</f>
        <v>#DIV/0!</v>
      </c>
      <c r="H13" t="e">
        <f>E13*F13</f>
        <v>#DIV/0!</v>
      </c>
    </row>
    <row r="14">
      <c r="A14" t="str">
        <v>D</v>
      </c>
      <c r="D14">
        <f>'EU Comment'!H219</f>
        <v>0</v>
      </c>
      <c r="E14">
        <f>'EU Comment'!H220</f>
        <v>0</v>
      </c>
      <c r="F14" t="e">
        <f>'EU Comment'!W5</f>
        <v>#DIV/0!</v>
      </c>
      <c r="G14" t="e">
        <f>D14*F14</f>
        <v>#DIV/0!</v>
      </c>
      <c r="H14" t="e">
        <f>E14*F14</f>
        <v>#DIV/0!</v>
      </c>
    </row>
    <row r="15">
      <c r="A15" t="str">
        <v>Total EU Credit</v>
      </c>
      <c r="G15" t="e">
        <f>SUM(G11:G14)</f>
        <v>#DIV/0!</v>
      </c>
      <c r="H15" t="e">
        <f>SUM(H11:H14)</f>
        <v>#DIV/0!</v>
      </c>
    </row>
  </sheetData>
  <mergeCells count="12">
    <mergeCell ref="A11:C11"/>
    <mergeCell ref="A12:C12"/>
    <mergeCell ref="A13:C13"/>
    <mergeCell ref="A14:C14"/>
    <mergeCell ref="A15:F15"/>
    <mergeCell ref="A5:H5"/>
    <mergeCell ref="A8:C10"/>
    <mergeCell ref="D8:D10"/>
    <mergeCell ref="E8:E10"/>
    <mergeCell ref="F8:F10"/>
    <mergeCell ref="G8:G10"/>
    <mergeCell ref="H8:H10"/>
  </mergeCells>
  <pageMargins left="0.7877604166666666" right="0.5416666666666666" top="0.5208333333333334" bottom="0.7480314960629921" header="0.31496062992125984" footer="0.31496062992125984"/>
  <ignoredErrors>
    <ignoredError numberStoredAsText="1" sqref="A1:K22"/>
  </ignoredErrors>
</worksheet>
</file>

<file path=xl/worksheets/sheet6.xml><?xml version="1.0" encoding="utf-8"?>
<worksheet xmlns="http://schemas.openxmlformats.org/spreadsheetml/2006/main" xmlns:r="http://schemas.openxmlformats.org/officeDocument/2006/relationships">
  <dimension ref="A1:Y412"/>
  <sheetViews>
    <sheetView workbookViewId="0"/>
  </sheetViews>
  <sheetData>
    <row r="1">
      <c r="I1" t="str">
        <v>NB v1.2_20200504</v>
      </c>
      <c r="Y1">
        <v>11</v>
      </c>
    </row>
    <row r="2">
      <c r="E2" t="str">
        <f>'Project Summary'!C6</f>
        <v>2123-123XX(x)</v>
      </c>
      <c r="Y2">
        <v>16</v>
      </c>
    </row>
    <row r="3">
      <c r="E3" t="str">
        <f>"BEAM Plus " &amp; 'Project Summary'!C9 &amp; " Report For"</f>
        <v>BEAM Plus Provisional Assessment Report For</v>
      </c>
      <c r="Y3">
        <v>22</v>
      </c>
    </row>
    <row r="4">
      <c r="A4" t="str">
        <v xml:space="preserve">Appendix A - Credit Summary </v>
      </c>
      <c r="E4" t="str">
        <f>'Project Summary'!C7</f>
        <v>ABC Residential Development</v>
      </c>
      <c r="Y4">
        <v>27</v>
      </c>
    </row>
    <row r="5">
      <c r="Y5">
        <v>32</v>
      </c>
    </row>
    <row r="6">
      <c r="A6" t="str">
        <v>Water Use</v>
      </c>
      <c r="E6" t="str">
        <v>Credit</v>
      </c>
      <c r="F6" t="str">
        <v>Credits Applicable</v>
      </c>
      <c r="G6" t="str">
        <v>Credit(s) Achieved</v>
      </c>
      <c r="H6" t="str">
        <v>Remarks</v>
      </c>
      <c r="Y6">
        <v>38</v>
      </c>
    </row>
    <row r="7">
      <c r="A7" t="str">
        <v>5.P</v>
      </c>
      <c r="C7" t="str">
        <v>PREREQUISITE</v>
      </c>
      <c r="E7" t="str">
        <v xml:space="preserve"> </v>
      </c>
      <c r="F7" t="str">
        <v xml:space="preserve"> </v>
      </c>
      <c r="Y7">
        <v>43</v>
      </c>
    </row>
    <row r="8">
      <c r="A8" t="str">
        <v>WU P1</v>
      </c>
      <c r="C8" t="str">
        <v>Water Quality Survey</v>
      </c>
      <c r="E8" t="str">
        <f>G8</f>
        <v>PR</v>
      </c>
      <c r="F8" t="str">
        <v>Pre-requisite</v>
      </c>
      <c r="G8" t="str">
        <v>PR</v>
      </c>
      <c r="H8" t="str">
        <v>Reminder: Please use "Potable Water" as the appropriate term for WU P1, WU P2 and WU 1.</v>
      </c>
      <c r="Y8">
        <v>48</v>
      </c>
    </row>
    <row r="9">
      <c r="C9" t="str">
        <v>Demonstrating that the quality of potable water meets the referenced drinking water quality standards at all points of use.</v>
      </c>
      <c r="Y9">
        <v>53</v>
      </c>
    </row>
    <row r="10">
      <c r="Y10">
        <v>59</v>
      </c>
    </row>
    <row r="11">
      <c r="C11" t="str">
        <v>The Applicant submitted specification, method statement, plumbing schematic diagram and layout drawings highlighting the location of water sampling points and distribution route to demonstrate that the water samples will be taken at each potable water supply tank and the farthest points of potable water distribution system from the water tanks. The method statement and specification stated the summary of testing parameters and their acceptable criteria to demonstrate the compliance with WSD and BEAM Plus requirements.</v>
      </c>
    </row>
    <row r="12">
      <c r="C12" t="str">
        <f>IFERROR(VLOOKUP($E8,$U:$V,2,FALSE),"-")</f>
        <v>The prerequisite is achieved in the Provisional Assessment.</v>
      </c>
    </row>
    <row r="13">
      <c r="A13" t="str">
        <v>WU P2</v>
      </c>
      <c r="C13" t="str">
        <v>Minimum Water Saving Performance</v>
      </c>
      <c r="E13" t="str">
        <f>G13</f>
        <v>PR</v>
      </c>
      <c r="F13" t="str">
        <v>Pre-requisite</v>
      </c>
      <c r="G13" t="str">
        <v>PR</v>
      </c>
      <c r="H13" t="str">
        <v>Reminder: Please use "Potable Water" as the appropriate term for WU P1, WU P2 and WU 1. Please list out the flow rate of each water fixture.</v>
      </c>
    </row>
    <row r="14" xml:space="preserve">
      <c r="C14" t="str" xml:space="preserve">
        <v xml:space="preserve">Demonstrate that the use of water efficient devices leads to an estimated_x000d_
aggregate annual saving of 10%.</v>
      </c>
    </row>
    <row r="16">
      <c r="C16" t="str">
        <v>The Applicant submitted extracts of specification, plumbing schematic diagrams and layout drawings, catalogues of water fixtures, and the annual water use calculation to demonstrate the compliance with BEAM Plus requirement. The designed water system will have an annual water saving (design:  5787561.67L) of 70.66 % as compared with the baseline (19732143.33L). The calculation of water saving is based on the proposed lavatory basin faucets (1.8L/min and 2L/min for disable), and kitchen sink 5.2L/min under the operation pressure of 5 Bar.</v>
      </c>
    </row>
    <row r="17">
      <c r="C17" t="str">
        <f>IFERROR(VLOOKUP($E13,$U:$V,2,FALSE),"-")</f>
        <v>The prerequisite is achieved in the Provisional Assessment.</v>
      </c>
    </row>
    <row r="18">
      <c r="A18">
        <v>5.1</v>
      </c>
      <c r="C18" t="str">
        <v>WATER CONSERVATION</v>
      </c>
    </row>
    <row r="19">
      <c r="A19" t="str">
        <v>WU 1</v>
      </c>
      <c r="C19" t="str">
        <v>Annual Water Use</v>
      </c>
      <c r="E19">
        <f>G19</f>
        <v>3</v>
      </c>
      <c r="F19">
        <f>IF(G19="NA","NA",IF(OR(G19="NS",G19=0,G19=1,G19=2,G19=3),3,"-"))</f>
        <v>3</v>
      </c>
      <c r="G19">
        <v>3</v>
      </c>
      <c r="H19" t="str">
        <v>Reminder: Please use "Potable Water" as the appropriate term for WU P1, WU P2 and WU 1. Please list out the flow rate of each water fixture.</v>
      </c>
    </row>
    <row r="20" xml:space="preserve">
      <c r="A20" t="str">
        <v>Three Credits</v>
      </c>
      <c r="C20" t="str" xml:space="preserve">
        <v xml:space="preserve">1 credit for demonstrating that the use of water efficient devices leads to an estimated aggregate annual saving of 20%._x000d_
2 credits for demonstrating an estimated annual saving of 25%._x000d_
3 credits for demonstrating an estimated annual saving of 30%.</v>
      </c>
    </row>
    <row r="22">
      <c r="C22" t="str">
        <v>The Applicant submitted extracts of specification, plumbing schematic diagrams and layout drawings, catalogues of water fixtures, and the annual water use calculation to demonstrate the compliance with BEAM Plus requirement. The designed water system will have an annual water saving (design:  5787561.67L) of 70.66 % as compared with the baseline (19732143.33L). The calculation of water saving is based on the proposed lavatory basin faucets (1.8L/min and 2L/min for disable), and kitchen sink 5.2L/min under the operation pressure of 5 Bar.</v>
      </c>
    </row>
    <row r="23">
      <c r="C23" t="str">
        <f>IFERROR(VLOOKUP($E19,$R:$S,2,FALSE),"-")</f>
        <v>3 credits are achieved in the Provisional Assessment.</v>
      </c>
    </row>
    <row r="24">
      <c r="A24" t="str">
        <v>WU 2</v>
      </c>
      <c r="C24" t="str">
        <v>Monitoring and Control</v>
      </c>
      <c r="E24" t="str">
        <f>G24</f>
        <v>NS</v>
      </c>
      <c r="F24">
        <f>IF(G24="NA","NA",IF(OR(G24="NS",G24=0,G24=1),1,"-"))</f>
        <v>1</v>
      </c>
      <c r="G24" t="str">
        <v>NS</v>
      </c>
    </row>
    <row r="25">
      <c r="A25" t="str">
        <v>One Credit</v>
      </c>
      <c r="C25" t="str">
        <v>1 credit for installation of devices to monitor water leakage from the fresh water distribution systems without embedded plumbing pipework.</v>
      </c>
    </row>
    <row r="27">
      <c r="C27" t="str">
        <v>Insert Credit Commentary Here</v>
      </c>
    </row>
    <row r="28">
      <c r="C28" t="str">
        <f>IFERROR(VLOOKUP($E24,$R:$S,2,FALSE),"-")</f>
        <v>No information was submitted. Credit is not achieved in the Provisional Assessment.</v>
      </c>
    </row>
    <row r="29">
      <c r="A29" t="str">
        <v>WU 3</v>
      </c>
      <c r="C29" t="str">
        <v xml:space="preserve">Water Efficient Irrigation </v>
      </c>
      <c r="E29" t="str">
        <f>G29</f>
        <v>NA</v>
      </c>
      <c r="F29" t="str">
        <f>IF(G29="NA","NA",IF(OR(G29="NS",G29=0,G29=1),1,"-"))</f>
        <v>NA</v>
      </c>
      <c r="G29" t="str">
        <v>NA</v>
      </c>
      <c r="H29" t="str">
        <v>EXCLUSIONS: Where soft landscaping and planting coverage is less than 50% of the area of the building footprint.</v>
      </c>
    </row>
    <row r="30" xml:space="preserve">
      <c r="A30" t="str">
        <v>One Credit</v>
      </c>
      <c r="C30" t="str" xml:space="preserve">
        <v xml:space="preserve">1 credit for the use of an irrigation system which does not require the use of municipal fresh water after a period of establishment is complete._x000d_
Alternately,_x000d_
1 credit for demonstrating highly efficient irrigation technology and/or the use of harvested rainwater and/or recycled grey water to reduce fresh water consumption for irrigation by 50% or more in comparison with conventional irrigation of water intensive planting.</v>
      </c>
    </row>
    <row r="32">
      <c r="C32" t="str">
        <v>The Applicant has submitted the building footprint (10905.5sqm)　and greenery （４５９９．９４　ｓｑｍ）　calculation to demonstrate not over 50% of greenery is provided.</v>
      </c>
    </row>
    <row r="33">
      <c r="C33" t="str">
        <f>IFERROR(VLOOKUP($E29,$R:$S,2,FALSE),"-")</f>
        <v>Credit is not applicable in the Provisional Assessment.</v>
      </c>
    </row>
    <row r="34">
      <c r="A34" t="str">
        <v>WU 4</v>
      </c>
      <c r="C34" t="str">
        <v>Water Recycling</v>
      </c>
      <c r="E34">
        <f>G34</f>
        <v>1</v>
      </c>
      <c r="F34">
        <f>IF(G34="NA","NA",IF(OR(G34="NS",G34=0,G34=1),1,"-"))</f>
        <v>1</v>
      </c>
      <c r="G34">
        <v>1</v>
      </c>
    </row>
    <row r="35">
      <c r="A35" t="str">
        <v>WU 4a</v>
      </c>
      <c r="C35" t="str">
        <v>Harvested Rainwater</v>
      </c>
    </row>
    <row r="36">
      <c r="A36" t="str">
        <v>One Credit</v>
      </c>
      <c r="C36" t="str">
        <v>1 credit for harvesting of rainwater which will lead to a reduction of 5% or more in the consumption of fresh water.</v>
      </c>
    </row>
    <row r="38">
      <c r="C38" t="str">
        <v>The Applicant has submitted greenery area, layout plan for catchment area, rainwater schematic and layout, rainwater saving calculation to demonstrate 1367580.57L rainwater harvested and achieved 6.93% annual water saving out of 19732143.33L</v>
      </c>
    </row>
    <row r="39">
      <c r="C39" t="str">
        <f>IFERROR(VLOOKUP($E34,$R:$S,2,FALSE),"-")</f>
        <v>1 credit is achieved in the Provisional Assessment.</v>
      </c>
    </row>
    <row r="40">
      <c r="A40" t="str">
        <v>WU 4b</v>
      </c>
      <c r="C40" t="str">
        <v>Recycled Water</v>
      </c>
      <c r="E40" t="str">
        <f>G40</f>
        <v>NS</v>
      </c>
      <c r="F40">
        <f>IF(G40="NA","NA",IF(OR(G40="NS",G40=0,G40=1),1,"-"))</f>
        <v>1</v>
      </c>
      <c r="G40" t="str">
        <v>NS</v>
      </c>
    </row>
    <row r="41">
      <c r="A41" t="str">
        <v>One Credit</v>
      </c>
      <c r="C41" t="str">
        <v>1 credit where recycled grey water will lead to a reduction of 5% or more in the consumption of fresh water.</v>
      </c>
    </row>
    <row r="43">
      <c r="C43" t="str">
        <v>Insert Credit Commentary Here</v>
      </c>
    </row>
    <row r="44">
      <c r="C44" t="str">
        <f>IFERROR(VLOOKUP($E40,$R:$S,2,FALSE),"-")</f>
        <v>No information was submitted. Credit is not achieved in the Provisional Assessment.</v>
      </c>
    </row>
    <row r="45">
      <c r="A45" t="str">
        <v>WU 4c</v>
      </c>
      <c r="C45" t="str">
        <v>A Combination</v>
      </c>
      <c r="E45" t="str">
        <f>IF(G45=1,"1B",G45)</f>
        <v>NS</v>
      </c>
      <c r="F45" t="str">
        <v>Bonus</v>
      </c>
      <c r="G45" t="str">
        <v>NS</v>
      </c>
    </row>
    <row r="46">
      <c r="A46" t="str">
        <v>One Bonus Credit</v>
      </c>
      <c r="C46" t="str">
        <v>1 BONUS credit where harvesting and/or recycling leads to a reduction of 10% or more in the consumption of fresh water.</v>
      </c>
    </row>
    <row r="48">
      <c r="C48" t="str">
        <v>Insert Credit Commentary Here</v>
      </c>
    </row>
    <row r="49">
      <c r="C49" t="str">
        <f>IFERROR(VLOOKUP($E45,$R:$S,2,FALSE),"-")</f>
        <v>No information was submitted. Credit is not achieved in the Provisional Assessment.</v>
      </c>
    </row>
    <row r="50">
      <c r="A50" t="str">
        <v>WU 5</v>
      </c>
      <c r="C50" t="str">
        <v>Water Efficient Appliances</v>
      </c>
      <c r="E50" t="str">
        <f>G50</f>
        <v>NA</v>
      </c>
      <c r="F50" t="str">
        <f>IF(G50="NA","NA",IF(OR(G50="NS",G50=0,G50=1),1,"-"))</f>
        <v>NA</v>
      </c>
      <c r="G50" t="str">
        <v>NA</v>
      </c>
      <c r="H50" t="str">
        <v>EXCLUSIONS: Buildings in which facilities and/or appliances are not installed by the developer.</v>
      </c>
    </row>
    <row r="51">
      <c r="A51" t="str">
        <v>One Credit</v>
      </c>
      <c r="C51" t="str">
        <v>1 credit for installing water efficient appliances that have Water Efficiency Labelling Scheme Grade 2 or above.</v>
      </c>
    </row>
    <row r="53">
      <c r="C53" t="str">
        <v xml:space="preserve">Since this development has no floor area designated for the purpose of habitation, this credit is not applicable </v>
      </c>
    </row>
    <row r="54">
      <c r="C54" t="str">
        <f>IFERROR(VLOOKUP($E50,$R:$S,2,FALSE),"-")</f>
        <v>Credit is not applicable in the Provisional Assessment.</v>
      </c>
    </row>
    <row r="55">
      <c r="A55">
        <v>5.2</v>
      </c>
      <c r="C55" t="str">
        <v>EFFLUENT</v>
      </c>
    </row>
    <row r="56">
      <c r="A56" t="str">
        <v>WU 6</v>
      </c>
      <c r="C56" t="str">
        <v>Effluent Discharge to Foul Sewers</v>
      </c>
      <c r="E56">
        <f>G56</f>
        <v>1</v>
      </c>
      <c r="F56">
        <f>IF(G56="NA","NA",IF(OR(G56="NS",G56=0,G56=1),1,"-"))</f>
        <v>1</v>
      </c>
      <c r="G56">
        <v>1</v>
      </c>
      <c r="H56" t="str">
        <v>Reminder: Please use "annual sewage volumes" as the appropriate term. Please list out the flow rate of each water fixture.</v>
      </c>
    </row>
    <row r="57">
      <c r="A57" t="str">
        <v>One Credit</v>
      </c>
      <c r="C57" t="str">
        <v>1 credit for demonstrating a reduction in annual sewage volumes by 20% or more.</v>
      </c>
    </row>
    <row r="59">
      <c r="C59" t="str">
        <v xml:space="preserve">The Applicant submitted specification, drainage layout and schematic drawings, occupancy schedule, catalogues and annual effluent discharge reduction calculation to demonstrate that an annual reduction of sewage volume of 54.16% could be achieved as compared with the baseline. The annual effluent discharge for design and baseline cases are 74584830L and 34188090L respectively. The calculation is based on the flush volume of the water closets (4.5/3 L per flush and 2L per flush) </v>
      </c>
    </row>
    <row r="60">
      <c r="C60" t="str">
        <f>IFERROR(VLOOKUP($E56,$R:$S,2,FALSE),"-")</f>
        <v>1 credit is achieved in the Provisional Assessment.</v>
      </c>
    </row>
    <row r="61">
      <c r="C61" t="str">
        <v>Sub-Total Number of Applicable WU Credit</v>
      </c>
      <c r="E61">
        <f>F61</f>
        <v>7</v>
      </c>
      <c r="F61">
        <f>SUM(F19:F60)</f>
        <v>7</v>
      </c>
      <c r="H61" t="str">
        <v>Excluding Bonus Credits</v>
      </c>
    </row>
    <row r="62">
      <c r="C62" t="str">
        <v>Number of Achieved WU Credit</v>
      </c>
      <c r="E62">
        <f>G62</f>
        <v>5</v>
      </c>
      <c r="G62">
        <f>SUM(G19:G44,G50:G60)</f>
        <v>5</v>
      </c>
    </row>
    <row r="65">
      <c r="C65" t="str">
        <v xml:space="preserve"> </v>
      </c>
    </row>
    <row r="124">
      <c r="C124" t="str">
        <v xml:space="preserve"> </v>
      </c>
    </row>
    <row r="297">
      <c r="R297" t="str">
        <v>NS</v>
      </c>
      <c r="S297" t="str">
        <f>"No information was submitted. Credit is not achieved in the "&amp; 'Project Summary'!C9 &amp; "."</f>
        <v>No information was submitted. Credit is not achieved in the Provisional Assessment.</v>
      </c>
      <c r="U297" t="str">
        <v>PR</v>
      </c>
      <c r="V297" t="str">
        <f>"The prerequisite is achieved in the " &amp; 'Project Summary'!C9&amp; "."</f>
        <v>The prerequisite is achieved in the Provisional Assessment.</v>
      </c>
    </row>
    <row r="298">
      <c r="R298" t="str">
        <v>NA</v>
      </c>
      <c r="S298" t="str">
        <f>"Credit is not applicable in the "&amp; 'Project Summary'!C9 &amp; "."</f>
        <v>Credit is not applicable in the Provisional Assessment.</v>
      </c>
      <c r="U298" t="str">
        <v>NA</v>
      </c>
      <c r="V298" t="str">
        <f>"The prerequisite is not applicable in the " &amp; 'Project Summary'!C9&amp; "."</f>
        <v>The prerequisite is not applicable in the Provisional Assessment.</v>
      </c>
    </row>
    <row r="299">
      <c r="R299">
        <v>0</v>
      </c>
      <c r="S299" t="str">
        <f>"Credit is not achieved in the "&amp; 'Project Summary'!C9 &amp; "."</f>
        <v>Credit is not achieved in the Provisional Assessment.</v>
      </c>
      <c r="U299">
        <v>0</v>
      </c>
      <c r="V299" t="str">
        <f>"The prerequisite is not achieved in the " &amp; 'Project Summary'!C9&amp; "."</f>
        <v>The prerequisite is not achieved in the Provisional Assessment.</v>
      </c>
    </row>
    <row r="300">
      <c r="R300">
        <v>1</v>
      </c>
      <c r="S300" t="str">
        <f>"1 credit is achieved in the "&amp; 'Project Summary'!C9 &amp; "."</f>
        <v>1 credit is achieved in the Provisional Assessment.</v>
      </c>
    </row>
    <row r="301">
      <c r="R301">
        <v>2</v>
      </c>
      <c r="S301" t="str">
        <f>"2 credits are achieved in the "&amp; 'Project Summary'!C9 &amp; "."</f>
        <v>2 credits are achieved in the Provisional Assessment.</v>
      </c>
    </row>
    <row r="303">
      <c r="R303">
        <v>3</v>
      </c>
      <c r="S303" t="str">
        <f>"3 credits are achieved in the "&amp; 'Project Summary'!C9 &amp; "."</f>
        <v>3 credits are achieved in the Provisional Assessment.</v>
      </c>
    </row>
    <row r="304">
      <c r="R304">
        <v>4</v>
      </c>
      <c r="S304" t="str">
        <f>"4 credits are achieved in the "&amp; 'Project Summary'!C9 &amp; "."</f>
        <v>4 credits are achieved in the Provisional Assessment.</v>
      </c>
    </row>
    <row r="305">
      <c r="R305">
        <v>5</v>
      </c>
      <c r="S305" t="str">
        <f>"5 credits are achieved in the "&amp; 'Project Summary'!C9 &amp; "."</f>
        <v>5 credits are achieved in the Provisional Assessment.</v>
      </c>
    </row>
    <row r="306">
      <c r="R306">
        <v>6</v>
      </c>
      <c r="S306" t="str">
        <f>"6 credits are achieved in the "&amp; 'Project Summary'!C9 &amp; "."</f>
        <v>6 credits are achieved in the Provisional Assessment.</v>
      </c>
    </row>
    <row r="307">
      <c r="R307">
        <v>7</v>
      </c>
      <c r="S307" t="str">
        <f>"7 credits are achieved in the "&amp; 'Project Summary'!C9 &amp; "."</f>
        <v>7 credits are achieved in the Provisional Assessment.</v>
      </c>
    </row>
    <row r="308">
      <c r="R308">
        <v>8</v>
      </c>
      <c r="S308" t="str">
        <f>"8 credits are achieved in the "&amp; 'Project Summary'!C9 &amp; "."</f>
        <v>8 credits are achieved in the Provisional Assessment.</v>
      </c>
    </row>
    <row r="309">
      <c r="R309">
        <v>9</v>
      </c>
      <c r="S309" t="str">
        <f>"9 credits are achieved in the "&amp; 'Project Summary'!C9 &amp; "."</f>
        <v>9 credits are achieved in the Provisional Assessment.</v>
      </c>
    </row>
    <row r="310">
      <c r="R310">
        <v>10</v>
      </c>
      <c r="S310" t="str">
        <f>"10 credits are achieved in the "&amp; 'Project Summary'!C9 &amp; "."</f>
        <v>10 credits are achieved in the Provisional Assessment.</v>
      </c>
    </row>
    <row r="311">
      <c r="R311">
        <v>11</v>
      </c>
      <c r="S311" t="str">
        <f>"11 credits are achieved in the "&amp; 'Project Summary'!C9 &amp; "."</f>
        <v>11 credits are achieved in the Provisional Assessment.</v>
      </c>
    </row>
    <row r="312">
      <c r="R312">
        <v>12</v>
      </c>
      <c r="S312" t="str">
        <f>"12 credits are achieved in the "&amp; 'Project Summary'!C9 &amp; "."</f>
        <v>12 credits are achieved in the Provisional Assessment.</v>
      </c>
    </row>
    <row r="313">
      <c r="R313">
        <v>13</v>
      </c>
      <c r="S313" t="str">
        <f>"13 credits are achieved in the "&amp; 'Project Summary'!C9 &amp; "."</f>
        <v>13 credits are achieved in the Provisional Assessment.</v>
      </c>
    </row>
    <row r="314">
      <c r="R314">
        <v>14</v>
      </c>
      <c r="S314" t="str">
        <f>"14 credits are achieved in the "&amp; 'Project Summary'!C9 &amp; "."</f>
        <v>14 credits are achieved in the Provisional Assessment.</v>
      </c>
    </row>
    <row r="315">
      <c r="R315">
        <v>15</v>
      </c>
      <c r="S315" t="str">
        <f>"15 credits are achieved in the "&amp; 'Project Summary'!C9 &amp; "."</f>
        <v>15 credits are achieved in the Provisional Assessment.</v>
      </c>
    </row>
    <row r="316">
      <c r="R316" t="str">
        <v>1B</v>
      </c>
      <c r="S316" t="str">
        <f>"1 Bonus credit is achieved in the "&amp; 'Project Summary'!C9 &amp; "."</f>
        <v>1 Bonus credit is achieved in the Provisional Assessment.</v>
      </c>
    </row>
    <row r="318">
      <c r="Q318" t="str">
        <v>List</v>
      </c>
    </row>
    <row r="319">
      <c r="Q319" t="str">
        <v>PR</v>
      </c>
    </row>
    <row r="320">
      <c r="Q320" t="str">
        <v>NA</v>
      </c>
    </row>
    <row r="321">
      <c r="Q321">
        <v>0</v>
      </c>
    </row>
    <row r="323">
      <c r="Q323" t="str">
        <v>NA</v>
      </c>
    </row>
    <row r="324">
      <c r="Q324" t="str">
        <v>NS</v>
      </c>
    </row>
    <row r="325">
      <c r="Q325">
        <v>1</v>
      </c>
    </row>
    <row r="326">
      <c r="Q326">
        <v>0</v>
      </c>
    </row>
    <row r="328">
      <c r="Q328" t="str">
        <v>NA</v>
      </c>
    </row>
    <row r="329">
      <c r="Q329" t="str">
        <v>NS</v>
      </c>
    </row>
    <row r="330">
      <c r="Q330">
        <v>2</v>
      </c>
    </row>
    <row r="331">
      <c r="Q331">
        <v>1</v>
      </c>
    </row>
    <row r="332">
      <c r="Q332">
        <v>0</v>
      </c>
    </row>
    <row r="334">
      <c r="Q334" t="str">
        <v>NA</v>
      </c>
    </row>
    <row r="335">
      <c r="Q335">
        <v>1</v>
      </c>
    </row>
    <row r="337">
      <c r="Q337" t="str">
        <v>NA</v>
      </c>
    </row>
    <row r="338">
      <c r="Q338">
        <v>3</v>
      </c>
    </row>
    <row r="340">
      <c r="Q340" t="str">
        <v>NA</v>
      </c>
    </row>
    <row r="341">
      <c r="Q341" t="str">
        <v>NS</v>
      </c>
    </row>
    <row r="342">
      <c r="Q342">
        <v>3</v>
      </c>
    </row>
    <row r="343">
      <c r="Q343">
        <v>2</v>
      </c>
    </row>
    <row r="344">
      <c r="Q344">
        <v>1</v>
      </c>
    </row>
    <row r="345">
      <c r="Q345">
        <v>0</v>
      </c>
    </row>
  </sheetData>
  <mergeCells count="40">
    <mergeCell ref="E56:E60"/>
    <mergeCell ref="E24:E28"/>
    <mergeCell ref="E29:E33"/>
    <mergeCell ref="E34:E39"/>
    <mergeCell ref="E40:E44"/>
    <mergeCell ref="E45:E49"/>
    <mergeCell ref="E50:E54"/>
    <mergeCell ref="A6:C6"/>
    <mergeCell ref="E8:E12"/>
    <mergeCell ref="E13:E17"/>
    <mergeCell ref="E19:E23"/>
    <mergeCell ref="H8:H12"/>
    <mergeCell ref="H13:H17"/>
    <mergeCell ref="F8:F12"/>
    <mergeCell ref="F13:F17"/>
    <mergeCell ref="G8:G12"/>
    <mergeCell ref="G13:G17"/>
    <mergeCell ref="F19:F23"/>
    <mergeCell ref="H19:H23"/>
    <mergeCell ref="H61:H62"/>
    <mergeCell ref="H34:H49"/>
    <mergeCell ref="G40:G44"/>
    <mergeCell ref="G45:G49"/>
    <mergeCell ref="G50:G54"/>
    <mergeCell ref="G56:G60"/>
    <mergeCell ref="H24:H28"/>
    <mergeCell ref="H29:H33"/>
    <mergeCell ref="H50:H54"/>
    <mergeCell ref="F56:F60"/>
    <mergeCell ref="G19:G23"/>
    <mergeCell ref="G24:G28"/>
    <mergeCell ref="G29:G33"/>
    <mergeCell ref="F50:F54"/>
    <mergeCell ref="G34:G39"/>
    <mergeCell ref="H56:H60"/>
    <mergeCell ref="F24:F28"/>
    <mergeCell ref="F29:F33"/>
    <mergeCell ref="F34:F39"/>
    <mergeCell ref="F40:F44"/>
    <mergeCell ref="F45:F49"/>
  </mergeCells>
  <pageMargins left="0.7874015748031497" right="0.5511811023622047" top="0.5118110236220472" bottom="0.7480314960629921" header="0.31496062992125984" footer="0.31496062992125984"/>
  <ignoredErrors>
    <ignoredError numberStoredAsText="1" sqref="A1:Y412"/>
  </ignoredErrors>
</worksheet>
</file>

<file path=xl/worksheets/sheet7.xml><?xml version="1.0" encoding="utf-8"?>
<worksheet xmlns="http://schemas.openxmlformats.org/spreadsheetml/2006/main" xmlns:r="http://schemas.openxmlformats.org/officeDocument/2006/relationships">
  <dimension ref="A1:AH345"/>
  <sheetViews>
    <sheetView workbookViewId="0"/>
  </sheetViews>
  <sheetData>
    <row r="1">
      <c r="I1" t="str">
        <v>NB v1.2_20200504</v>
      </c>
      <c r="T1" t="str">
        <v>Categories</v>
      </c>
      <c r="U1" t="str">
        <v xml:space="preserve">Type of Area Classification </v>
      </c>
      <c r="V1" t="str">
        <v>Area (m2)</v>
      </c>
      <c r="W1" t="str">
        <v>% Area</v>
      </c>
      <c r="Y1">
        <v>13</v>
      </c>
    </row>
    <row r="2">
      <c r="H2" t="str">
        <f>'Project Summary'!C6</f>
        <v>2123-123XX(x)</v>
      </c>
      <c r="T2" t="str">
        <v>A</v>
      </c>
      <c r="W2" t="e">
        <f>V2/$V$6</f>
        <v>#DIV/0!</v>
      </c>
      <c r="Y2">
        <v>19</v>
      </c>
    </row>
    <row r="3">
      <c r="H3" t="str">
        <f>"BEAM Plus " &amp; 'Project Summary'!C9 &amp; " Report For"</f>
        <v>BEAM Plus Provisional Assessment Report For</v>
      </c>
      <c r="T3" t="str">
        <v>B</v>
      </c>
      <c r="U3" t="str">
        <v xml:space="preserve"> </v>
      </c>
      <c r="W3" t="e">
        <f>V3/$V$6</f>
        <v>#DIV/0!</v>
      </c>
      <c r="Y3">
        <v>28</v>
      </c>
    </row>
    <row r="4">
      <c r="A4" t="str">
        <v xml:space="preserve">Appendix A - Credit Summary </v>
      </c>
      <c r="H4" t="str">
        <f>'Project Summary'!C7</f>
        <v>ABC Residential Development</v>
      </c>
      <c r="T4" t="str">
        <v>C</v>
      </c>
      <c r="W4" t="e">
        <f>V4/$V$6</f>
        <v>#DIV/0!</v>
      </c>
      <c r="Y4">
        <v>36</v>
      </c>
    </row>
    <row r="5">
      <c r="T5" t="str">
        <v>D</v>
      </c>
      <c r="W5" t="e">
        <f>V5/$V$6</f>
        <v>#DIV/0!</v>
      </c>
      <c r="Y5">
        <v>44</v>
      </c>
    </row>
    <row r="6">
      <c r="A6" t="str">
        <v>Indoor Environmental Quality</v>
      </c>
      <c r="E6" t="str">
        <v>Credit</v>
      </c>
      <c r="I6" t="str">
        <v>Credits Applicable</v>
      </c>
      <c r="M6" t="str">
        <v>Credit(s) Achieved</v>
      </c>
      <c r="Q6" t="str">
        <v>Remarks</v>
      </c>
      <c r="R6" t="str">
        <v>No. of NA Credits</v>
      </c>
      <c r="S6" t="str">
        <v>No. of Contested Credits</v>
      </c>
      <c r="U6" t="str">
        <v>Total Area</v>
      </c>
      <c r="V6">
        <f>SUM(V2:V5)</f>
        <v>0</v>
      </c>
      <c r="Y6">
        <v>54</v>
      </c>
    </row>
    <row r="7">
      <c r="E7" t="str">
        <v>Area Categories</v>
      </c>
      <c r="I7" t="str">
        <v>Area Categories</v>
      </c>
      <c r="M7" t="str">
        <v>Area Categories</v>
      </c>
      <c r="Y7">
        <v>62</v>
      </c>
    </row>
    <row r="8">
      <c r="E8" t="str">
        <v>A</v>
      </c>
      <c r="F8" t="str">
        <v>B</v>
      </c>
      <c r="G8" t="str">
        <v>C</v>
      </c>
      <c r="H8" t="str">
        <v>D</v>
      </c>
      <c r="I8" t="str">
        <v>A</v>
      </c>
      <c r="J8" t="str">
        <v>B</v>
      </c>
      <c r="K8" t="str">
        <v>C</v>
      </c>
      <c r="L8" t="str">
        <v>D</v>
      </c>
      <c r="M8" t="str">
        <v>A</v>
      </c>
      <c r="N8" t="str">
        <v>B</v>
      </c>
      <c r="O8" t="str">
        <v>C</v>
      </c>
      <c r="P8" t="str">
        <v>D</v>
      </c>
      <c r="Y8">
        <v>70</v>
      </c>
    </row>
    <row r="9">
      <c r="A9" t="str">
        <v>6.P</v>
      </c>
      <c r="C9" t="str">
        <v>PREREQUISITE</v>
      </c>
      <c r="Y9">
        <v>78</v>
      </c>
    </row>
    <row r="10">
      <c r="A10" t="str">
        <v>IEQ P1</v>
      </c>
      <c r="C10" t="str">
        <v>Minimum Ventilation Performance</v>
      </c>
      <c r="E10" t="str">
        <f>M10</f>
        <v>Insert No. of Credit(s) Here</v>
      </c>
      <c r="I10" t="str">
        <v>Pre-requisite</v>
      </c>
      <c r="M10" t="str">
        <v>Insert No. of Credit(s) Here</v>
      </c>
      <c r="Q10" t="str">
        <v>EXCLUSIONS: Residential and similar buildings without central air conditioning.</v>
      </c>
      <c r="R10" t="str">
        <f>IF(M10="NA","NA","")</f>
        <v/>
      </c>
      <c r="Y10">
        <v>86</v>
      </c>
    </row>
    <row r="11">
      <c r="C11" t="str">
        <v>Demonstrate that the project is in compliance with the minimum requirements of ASHRAE 62.1-2007 [1] in respect of Outdoor Air Quality; and Minimum Ventilation Rate.</v>
      </c>
      <c r="Y11">
        <v>95</v>
      </c>
    </row>
    <row r="12">
      <c r="Y12">
        <v>103</v>
      </c>
    </row>
    <row r="13">
      <c r="C13" t="str">
        <v>Insert Credit Commentary Here</v>
      </c>
      <c r="Y13">
        <v>112</v>
      </c>
    </row>
    <row r="14">
      <c r="C14" t="str">
        <f>IFERROR(VLOOKUP($E10,$AG:$AH,2,FALSE),"-")</f>
        <v>-</v>
      </c>
      <c r="Y14">
        <v>120</v>
      </c>
    </row>
    <row r="15">
      <c r="A15">
        <v>6.1</v>
      </c>
      <c r="C15" t="str">
        <v>SECURITY</v>
      </c>
      <c r="Y15">
        <v>129</v>
      </c>
    </row>
    <row r="16">
      <c r="A16" t="str">
        <v>IEQ 1</v>
      </c>
      <c r="C16" t="str">
        <v>Security</v>
      </c>
      <c r="E16" t="str">
        <f>IF(M16&lt;&gt;"",M16,"")</f>
        <v/>
      </c>
      <c r="F16" t="str">
        <f>IF(N16&lt;&gt;"",N16,"")</f>
        <v/>
      </c>
      <c r="G16" t="str">
        <f>IF(O16&lt;&gt;"",O16,"")</f>
        <v/>
      </c>
      <c r="H16" t="str">
        <f>IF(P16&lt;&gt;"",P16,"")</f>
        <v/>
      </c>
      <c r="I16" t="str">
        <f>IF(M16="NA","NA",IF(AND(M16&lt;&gt;"",OR(M16="NS",M16&gt;=0)),1,"-"))</f>
        <v>-</v>
      </c>
      <c r="J16" t="str">
        <f>IF(N16="NA","NA",IF(AND(N16&lt;&gt;"",OR(N16="NS",N16&gt;=0)),1,"-"))</f>
        <v>-</v>
      </c>
      <c r="K16" t="str">
        <f>IF(O16="NA","NA",IF(AND(O16&lt;&gt;"",OR(O16="NS",O16&gt;=0)),1,"-"))</f>
        <v>-</v>
      </c>
      <c r="L16" t="str">
        <f>IF(P16="NA","NA",IF(AND(P16&lt;&gt;"",OR(P16="NS",P16&gt;=0)),1,"-"))</f>
        <v>-</v>
      </c>
      <c r="R16" t="e">
        <f>IF(COUNTIF(M16:P23,"NA")/COUNTA(M16:P23)=1,"NA","")</f>
        <v>#DIV/0!</v>
      </c>
      <c r="S16" t="str">
        <f>IF(COUNTIF(M16:P23,0)&gt;0,0,"")</f>
        <v/>
      </c>
      <c r="Y16">
        <v>137</v>
      </c>
    </row>
    <row r="17">
      <c r="A17" t="str">
        <v>One Credit</v>
      </c>
      <c r="C17" t="str">
        <v>1 credit for scoring at least 75% of the applicable security measures and facilities for the building.</v>
      </c>
      <c r="Y17">
        <v>144</v>
      </c>
    </row>
    <row r="18">
      <c r="Y18">
        <v>152</v>
      </c>
    </row>
    <row r="19">
      <c r="C19" t="str">
        <v>Insert Credit Commentary Here</v>
      </c>
      <c r="Y19">
        <v>161</v>
      </c>
    </row>
    <row r="20">
      <c r="C20" t="str">
        <f>"Category A   " &amp; IFERROR(VLOOKUP(E16,AD:AE,2,FALSE),"")</f>
        <v xml:space="preserve">Category A   </v>
      </c>
      <c r="Y20">
        <v>169</v>
      </c>
    </row>
    <row r="21">
      <c r="C21" t="str">
        <f>"Category B   " &amp; IFERROR(VLOOKUP(F16,AD:AE,2,FALSE),"")</f>
        <v xml:space="preserve">Category B   </v>
      </c>
      <c r="Y21">
        <v>178</v>
      </c>
    </row>
    <row r="22">
      <c r="C22" t="str">
        <f>"Category C   " &amp; IFERROR(VLOOKUP(G16,AD:AE,2,FALSE),"")</f>
        <v xml:space="preserve">Category C   </v>
      </c>
      <c r="Y22">
        <v>186</v>
      </c>
    </row>
    <row r="23">
      <c r="C23" t="str">
        <f>"Category D   " &amp; IFERROR(VLOOKUP(H16,AD:AE,2,FALSE),"")</f>
        <v xml:space="preserve">Category D   </v>
      </c>
      <c r="Y23">
        <v>193</v>
      </c>
    </row>
    <row r="24">
      <c r="A24">
        <v>6.2</v>
      </c>
      <c r="C24" t="str">
        <v>HYGIENE</v>
      </c>
      <c r="Y24">
        <v>198</v>
      </c>
    </row>
    <row r="25">
      <c r="A25" t="str">
        <v>IEQ 2</v>
      </c>
      <c r="C25" t="str">
        <v>Plumbing and Drainage</v>
      </c>
      <c r="E25" t="str">
        <f>IF(M25&lt;&gt;"",M25,"")</f>
        <v/>
      </c>
      <c r="F25" t="str">
        <f>IF(N25&lt;&gt;"",N25,"")</f>
        <v/>
      </c>
      <c r="G25" t="str">
        <f>IF(O25&lt;&gt;"",O25,"")</f>
        <v/>
      </c>
      <c r="H25" t="str">
        <f>IF(P25&lt;&gt;"",P25,"")</f>
        <v/>
      </c>
      <c r="I25" t="str">
        <f>IF(M25="NA","NA",IF(AND(M25&lt;&gt;"",OR(M25="NS",M25&gt;=0)),1,"-"))</f>
        <v>-</v>
      </c>
      <c r="J25" t="str">
        <f>IF(N25="NA","NA",IF(AND(N25&lt;&gt;"",OR(N25="NS",N25&gt;=0)),1,"-"))</f>
        <v>-</v>
      </c>
      <c r="K25" t="str">
        <f>IF(O25="NA","NA",IF(AND(O25&lt;&gt;"",OR(O25="NS",O25&gt;=0)),1,"-"))</f>
        <v>-</v>
      </c>
      <c r="L25" t="str">
        <f>IF(P25="NA","NA",IF(AND(P25&lt;&gt;"",OR(P25="NS",P25&gt;=0)),1,"-"))</f>
        <v>-</v>
      </c>
      <c r="R25" t="e">
        <f>IF(COUNTIF(M25:P32,"NA")/COUNTA(M25:P32)=1,"NA","")</f>
        <v>#DIV/0!</v>
      </c>
      <c r="S25" t="str">
        <f>IF(COUNTIF(M25:P32,0)&gt;0,0,"")</f>
        <v/>
      </c>
      <c r="Y25">
        <v>207</v>
      </c>
    </row>
    <row r="26">
      <c r="A26" t="str">
        <v>One Credit</v>
      </c>
      <c r="C26" t="str">
        <v>1 credit for designs that reduce the potential for transmission of harmful bacteria viruses and odours.</v>
      </c>
      <c r="Y26">
        <v>25</v>
      </c>
    </row>
    <row r="27">
      <c r="Y27">
        <v>222</v>
      </c>
    </row>
    <row r="28">
      <c r="C28" t="str">
        <v>Insert Credit Commentary Here</v>
      </c>
      <c r="Y28">
        <v>227</v>
      </c>
    </row>
    <row r="29">
      <c r="C29" t="str">
        <f>"Category A   " &amp; IFERROR(VLOOKUP(E25,AD:AE,2,FALSE),"")</f>
        <v xml:space="preserve">Category A   </v>
      </c>
      <c r="Y29">
        <v>235</v>
      </c>
    </row>
    <row r="30">
      <c r="C30" t="str">
        <f>"Category B   " &amp; IFERROR(VLOOKUP(F25,AD:AE,2,FALSE),"")</f>
        <v xml:space="preserve">Category B   </v>
      </c>
      <c r="Y30">
        <v>244</v>
      </c>
    </row>
    <row r="31">
      <c r="C31" t="str">
        <f>"Category C   " &amp; IFERROR(VLOOKUP(G25,AD:AE,2,FALSE),"")</f>
        <v xml:space="preserve">Category C   </v>
      </c>
      <c r="Y31">
        <v>253</v>
      </c>
    </row>
    <row r="32">
      <c r="C32" t="str">
        <f>"Category D   " &amp; IFERROR(VLOOKUP(H25,AD:AE,2,FALSE),"")</f>
        <v xml:space="preserve">Category D   </v>
      </c>
      <c r="Y32">
        <v>261</v>
      </c>
    </row>
    <row r="33">
      <c r="A33" t="str">
        <v>IEQ 3</v>
      </c>
      <c r="C33" t="str">
        <v>Biological Contamination</v>
      </c>
      <c r="E33" t="str">
        <f>IF(M33&lt;&gt;"",M33,"")</f>
        <v/>
      </c>
      <c r="F33" t="str">
        <f>IF(N33&lt;&gt;"",N33,"")</f>
        <v/>
      </c>
      <c r="G33" t="str">
        <f>IF(O33&lt;&gt;"",O33,"")</f>
        <v/>
      </c>
      <c r="H33" t="str">
        <f>IF(P33&lt;&gt;"",P33,"")</f>
        <v/>
      </c>
      <c r="I33" t="str">
        <f>IF(M33="NA","NA",IF(AND(M33&lt;&gt;"",OR(M33="NS",M33&gt;=0)),1,"-"))</f>
        <v>-</v>
      </c>
      <c r="J33" t="str">
        <f>IF(N33="NA","NA",IF(AND(N33&lt;&gt;"",OR(N33="NS",N33&gt;=0)),1,"-"))</f>
        <v>-</v>
      </c>
      <c r="K33" t="str">
        <f>IF(O33="NA","NA",IF(AND(O33&lt;&gt;"",OR(O33="NS",O33&gt;=0)),1,"-"))</f>
        <v>-</v>
      </c>
      <c r="L33" t="str">
        <f>IF(P33="NA","NA",IF(AND(P33&lt;&gt;"",OR(P33="NS",P33&gt;=0)),1,"-"))</f>
        <v>-</v>
      </c>
      <c r="Q33" t="str">
        <v>EXCLUSIONS: Residential buildings.</v>
      </c>
      <c r="R33" t="e">
        <f>IF(COUNTIF(M33:P40,"NA")/COUNTA(M33:P40)=1,"NA","")</f>
        <v>#DIV/0!</v>
      </c>
      <c r="S33" t="str">
        <f>IF(COUNTIF(M33:P40,0)&gt;0,0,"")</f>
        <v/>
      </c>
    </row>
    <row r="34">
      <c r="A34" t="str">
        <v>One Credit</v>
      </c>
      <c r="C34" t="str">
        <v>1 credit for complying with the recommendations given in the Code of Practice - Prevention of Legionnaires Disease, in respect of airconditioning and ventilation systems, and water systems.</v>
      </c>
    </row>
    <row r="36">
      <c r="C36" t="str">
        <v>Insert Credit Commentary Here</v>
      </c>
    </row>
    <row r="37">
      <c r="C37" t="str">
        <f>"Category A   " &amp; IFERROR(VLOOKUP(E33,AD:AE,2,FALSE),"")</f>
        <v xml:space="preserve">Category A   </v>
      </c>
    </row>
    <row r="38">
      <c r="C38" t="str">
        <f>"Category B   " &amp; IFERROR(VLOOKUP(F33,AD:AE,2,FALSE),"")</f>
        <v xml:space="preserve">Category B   </v>
      </c>
    </row>
    <row r="39">
      <c r="C39" t="str">
        <f>"Category C   " &amp; IFERROR(VLOOKUP(G33,AD:AE,2,FALSE),"")</f>
        <v xml:space="preserve">Category C   </v>
      </c>
    </row>
    <row r="40">
      <c r="C40" t="str">
        <f>"Category D   " &amp; IFERROR(VLOOKUP(H33,AD:AE,2,FALSE),"")</f>
        <v xml:space="preserve">Category D   </v>
      </c>
    </row>
    <row r="41">
      <c r="A41" t="str">
        <v>IEQ 4</v>
      </c>
      <c r="C41" t="str">
        <v>Waste Disposal Facilities</v>
      </c>
      <c r="E41" t="str">
        <f>IF(M41&lt;&gt;"",M41,"")</f>
        <v/>
      </c>
      <c r="F41" t="str">
        <f>IF(N41&lt;&gt;"",N41,"")</f>
        <v/>
      </c>
      <c r="G41" t="str">
        <f>IF(O41&lt;&gt;"",O41,"")</f>
        <v/>
      </c>
      <c r="H41" t="str">
        <f>IF(P41&lt;&gt;"",P41,"")</f>
        <v/>
      </c>
      <c r="I41" t="str">
        <f>IF(M41="NA","NA",IF(AND(M41&lt;&gt;"",OR(M41="NS",M41&gt;=0)),1,"-"))</f>
        <v>-</v>
      </c>
      <c r="J41" t="str">
        <f>IF(N41="NA","NA",IF(AND(N41&lt;&gt;"",OR(N41="NS",N41&gt;=0)),1,"-"))</f>
        <v>-</v>
      </c>
      <c r="K41" t="str">
        <f>IF(O41="NA","NA",IF(AND(O41&lt;&gt;"",OR(O41="NS",O41&gt;=0)),1,"-"))</f>
        <v>-</v>
      </c>
      <c r="L41" t="str">
        <f>IF(P41="NA","NA",IF(AND(P41&lt;&gt;"",OR(P41="NS",P41&gt;=0)),1,"-"))</f>
        <v>-</v>
      </c>
      <c r="R41" t="e">
        <f>IF(COUNTIF(M41:P48,"NA")/COUNTA(M41:P48)=1,"NA","")</f>
        <v>#DIV/0!</v>
      </c>
      <c r="S41" t="str">
        <f>IF(COUNTIF(M41:P48,0)&gt;0,0,"")</f>
        <v/>
      </c>
    </row>
    <row r="42">
      <c r="A42" t="str">
        <v>One Credit</v>
      </c>
      <c r="C42" t="str">
        <v>1 credit for the provision of a de-odourising system in all refuse collection rooms and chambers.</v>
      </c>
    </row>
    <row r="44">
      <c r="C44" t="str">
        <v>Insert Credit Commentary Here</v>
      </c>
    </row>
    <row r="45">
      <c r="C45" t="str">
        <f>"Category A   " &amp; IFERROR(VLOOKUP(E41,AD:AE,2,FALSE),"")</f>
        <v xml:space="preserve">Category A   </v>
      </c>
    </row>
    <row r="46">
      <c r="C46" t="str">
        <f>"Category B   " &amp; IFERROR(VLOOKUP(F41,AD:AE,2,FALSE),"")</f>
        <v xml:space="preserve">Category B   </v>
      </c>
    </row>
    <row r="47">
      <c r="C47" t="str">
        <f>"Category C   " &amp; IFERROR(VLOOKUP(G41,AD:AE,2,FALSE),"")</f>
        <v xml:space="preserve">Category C   </v>
      </c>
    </row>
    <row r="48">
      <c r="C48" t="str">
        <f>"Category D   " &amp; IFERROR(VLOOKUP(H41,AD:AE,2,FALSE),"")</f>
        <v xml:space="preserve">Category D   </v>
      </c>
    </row>
    <row r="49">
      <c r="A49">
        <v>6.3</v>
      </c>
      <c r="C49" t="str">
        <v>INDOOR AIR QUALITY</v>
      </c>
    </row>
    <row r="50">
      <c r="A50" t="str">
        <v>IEQ 5</v>
      </c>
      <c r="C50" t="str">
        <v>Construction IAQ Management</v>
      </c>
      <c r="E50" t="str">
        <f>IF(M50&lt;&gt;"",M50,"")</f>
        <v/>
      </c>
      <c r="F50" t="str">
        <f>IF(N50&lt;&gt;"",N50,"")</f>
        <v/>
      </c>
      <c r="G50" t="str">
        <f>IF(O50&lt;&gt;"",O50,"")</f>
        <v/>
      </c>
      <c r="H50" t="str">
        <f>IF(P50&lt;&gt;"",P50,"")</f>
        <v/>
      </c>
      <c r="I50" t="str">
        <f>IF(M50="NA","NA",IF(AND(M50&lt;&gt;"",OR(M50="NS",M50&gt;=0)),1,"-"))</f>
        <v>-</v>
      </c>
      <c r="J50" t="str">
        <f>IF(N50="NA","NA",IF(AND(N50&lt;&gt;"",OR(N50="NS",N50&gt;=0)),1,"-"))</f>
        <v>-</v>
      </c>
      <c r="K50" t="str">
        <f>IF(O50="NA","NA",IF(AND(O50&lt;&gt;"",OR(O50="NS",O50&gt;=0)),1,"-"))</f>
        <v>-</v>
      </c>
      <c r="L50" t="str">
        <f>IF(P50="NA","NA",IF(AND(P50&lt;&gt;"",OR(P50="NS",P50&gt;=0)),1,"-"))</f>
        <v>-</v>
      </c>
      <c r="Q50" t="str">
        <v>EXCLUSIONS: Residential and similar buildings not provided with central air-conditioning and ventilation systems.</v>
      </c>
      <c r="R50" t="e">
        <f>IF(COUNTIF(M50:P58,"NA")/COUNTA(M50:P58)=1,"NA","")</f>
        <v>#DIV/0!</v>
      </c>
      <c r="S50" t="str">
        <f>IF(COUNTIF(M50:P58,0)&gt;0,0,"")</f>
        <v/>
      </c>
    </row>
    <row r="51">
      <c r="A51" t="str">
        <v>IEQ 5a</v>
      </c>
      <c r="C51" t="str">
        <v xml:space="preserve">Construction IAQ management </v>
      </c>
    </row>
    <row r="52">
      <c r="A52" t="str">
        <v>One Credit</v>
      </c>
      <c r="C52" t="str">
        <v>1 credit for implementing a Construction IAQ Management Plan.</v>
      </c>
    </row>
    <row r="54">
      <c r="C54" t="str">
        <v>Insert Credit Commentary Here</v>
      </c>
    </row>
    <row r="55">
      <c r="C55" t="str">
        <f>"Category A   " &amp; IFERROR(VLOOKUP(E50,AD:AE,2,FALSE),"")</f>
        <v xml:space="preserve">Category A   </v>
      </c>
    </row>
    <row r="56">
      <c r="C56" t="str">
        <f>"Category B   " &amp; IFERROR(VLOOKUP(F50,AD:AE,2,FALSE),"")</f>
        <v xml:space="preserve">Category B   </v>
      </c>
    </row>
    <row r="57">
      <c r="C57" t="str">
        <f>"Category C   " &amp; IFERROR(VLOOKUP(G50,AD:AE,2,FALSE),"")</f>
        <v xml:space="preserve">Category C   </v>
      </c>
    </row>
    <row r="58">
      <c r="C58" t="str">
        <f>"Category D   " &amp; IFERROR(VLOOKUP(H50,AD:AE,2,FALSE),"")</f>
        <v xml:space="preserve">Category D   </v>
      </c>
    </row>
    <row r="59">
      <c r="A59" t="str">
        <v>IEQ 5b</v>
      </c>
      <c r="C59" t="str">
        <v xml:space="preserve">Filter Replacement and Flush-Out </v>
      </c>
      <c r="E59" t="str">
        <f>IF(M59&lt;&gt;"",M59,"")</f>
        <v/>
      </c>
      <c r="F59" t="str">
        <f>IF(N59&lt;&gt;"",N59,"")</f>
        <v/>
      </c>
      <c r="G59" t="str">
        <f>IF(O59&lt;&gt;"",O59,"")</f>
        <v/>
      </c>
      <c r="H59" t="str">
        <f>IF(P59&lt;&gt;"",P59,"")</f>
        <v/>
      </c>
      <c r="I59" t="str">
        <f>IF(M59="NA","NA",IF(AND(M59&lt;&gt;"",OR(M59="NS",M59&gt;=0)),1,"-"))</f>
        <v>-</v>
      </c>
      <c r="J59" t="str">
        <f>IF(N59="NA","NA",IF(AND(N59&lt;&gt;"",OR(N59="NS",N59&gt;=0)),1,"-"))</f>
        <v>-</v>
      </c>
      <c r="K59" t="str">
        <f>IF(O59="NA","NA",IF(AND(O59&lt;&gt;"",OR(O59="NS",O59&gt;=0)),1,"-"))</f>
        <v>-</v>
      </c>
      <c r="L59" t="str">
        <f>IF(P59="NA","NA",IF(AND(P59&lt;&gt;"",OR(P59="NS",P59&gt;=0)),1,"-"))</f>
        <v>-</v>
      </c>
      <c r="R59" t="e">
        <f>IF(COUNTIF(M59:P66,"NA")/COUNTA(M59:P66)=1,"NA","")</f>
        <v>#DIV/0!</v>
      </c>
      <c r="S59" t="str">
        <f>IF(COUNTIF(M59:P66,0)&gt;0,0,"")</f>
        <v/>
      </c>
    </row>
    <row r="60">
      <c r="A60" t="str">
        <v>One Credit</v>
      </c>
      <c r="C60" t="str">
        <v>1 credit for undertaking a building ‘flush out’ or ‘bake out’; and replacement of all filters prior to occupancy.</v>
      </c>
    </row>
    <row r="62">
      <c r="C62" t="str">
        <v>Insert Credit Commentary Here</v>
      </c>
    </row>
    <row r="63">
      <c r="C63" t="str">
        <f>"Category A   " &amp; IFERROR(VLOOKUP(E59,AD:AE,2,FALSE),"")</f>
        <v xml:space="preserve">Category A   </v>
      </c>
    </row>
    <row r="64">
      <c r="C64" t="str">
        <f>"Category B   " &amp; IFERROR(VLOOKUP(F59,AD:AE,2,FALSE),"")</f>
        <v xml:space="preserve">Category B   </v>
      </c>
    </row>
    <row r="65">
      <c r="C65" t="str">
        <f>"Category C   " &amp; IFERROR(VLOOKUP(G59,AD:AE,2,FALSE),"")</f>
        <v xml:space="preserve">Category C   </v>
      </c>
    </row>
    <row r="66">
      <c r="C66" t="str">
        <f>"Category D   " &amp; IFERROR(VLOOKUP(H59,AD:AE,2,FALSE),"")</f>
        <v xml:space="preserve">Category D   </v>
      </c>
    </row>
    <row r="67">
      <c r="A67" t="str">
        <v>IEQ 6</v>
      </c>
      <c r="C67" t="str">
        <v>Outdoor Sources of Air Pollution</v>
      </c>
      <c r="E67" t="str">
        <f>IF(M67&lt;&gt;"",M67,"")</f>
        <v/>
      </c>
      <c r="F67" t="str">
        <f>IF(N67&lt;&gt;"",N67,"")</f>
        <v/>
      </c>
      <c r="G67" t="str">
        <f>IF(O67&lt;&gt;"",O67,"")</f>
        <v/>
      </c>
      <c r="H67" t="str">
        <f>IF(P67&lt;&gt;"",P67,"")</f>
        <v/>
      </c>
      <c r="I67" t="str">
        <f>IF(M67="NA","NA",IF(AND(M67&lt;&gt;"",OR(M67="NS",M67&gt;=0)),2,"-"))</f>
        <v>-</v>
      </c>
      <c r="J67" t="str">
        <f>IF(N67="NA","NA",IF(AND(N67&lt;&gt;"",OR(N67="NS",N67&gt;=0)),2,"-"))</f>
        <v>-</v>
      </c>
      <c r="K67" t="str">
        <f>IF(O67="NA","NA",IF(AND(O67&lt;&gt;"",OR(O67="NS",O67&gt;=0)),2,"-"))</f>
        <v>-</v>
      </c>
      <c r="L67" t="str">
        <f>IF(P67="NA","NA",IF(AND(P67&lt;&gt;"",OR(P67="NS",P67&gt;=0)),2,"-"))</f>
        <v>-</v>
      </c>
      <c r="R67" t="e">
        <f>IF(COUNTIF(M67:P74,"NA")/COUNTA(M67:P74)=1,"NA","")</f>
        <v>#DIV/0!</v>
      </c>
      <c r="S67" t="str">
        <f>IF(COUNTIF(M67:P74,0)&gt;0,0,"")</f>
        <v/>
      </c>
    </row>
    <row r="68" xml:space="preserve">
      <c r="A68" t="str">
        <v>Two Credits</v>
      </c>
      <c r="C68" t="str" xml:space="preserve">
        <v xml:space="preserve">1 credit for demonstrating compliance with appropriate criteria for CO, NO2 and O3._x000d_
1 credit for demonstrating compliance with the appropriate criteria for RSP.</v>
      </c>
    </row>
    <row r="70">
      <c r="C70" t="str">
        <v>Insert Credit Commentary Here</v>
      </c>
    </row>
    <row r="71">
      <c r="C71" t="str">
        <f>"Category A   " &amp; IFERROR(VLOOKUP(E67,AD:AE,2,FALSE),"")</f>
        <v xml:space="preserve">Category A   </v>
      </c>
    </row>
    <row r="72">
      <c r="C72" t="str">
        <f>"Category B   " &amp; IFERROR(VLOOKUP(F67,AD:AE,2,FALSE),"")</f>
        <v xml:space="preserve">Category B   </v>
      </c>
    </row>
    <row r="73">
      <c r="C73" t="str">
        <f>"Category C   " &amp; IFERROR(VLOOKUP(G67,AD:AE,2,FALSE),"")</f>
        <v xml:space="preserve">Category C   </v>
      </c>
    </row>
    <row r="74">
      <c r="C74" t="str">
        <f>"Category D   " &amp; IFERROR(VLOOKUP(H67,AD:AE,2,FALSE),"")</f>
        <v xml:space="preserve">Category D   </v>
      </c>
    </row>
    <row r="75">
      <c r="A75" t="str">
        <v>IEQ 7</v>
      </c>
      <c r="C75" t="str">
        <v>Indoor Sources of Air Pollution</v>
      </c>
      <c r="E75" t="str">
        <f>IF(OR(M75="",M77="",M79=""),"",IF(COUNTIF(M75:M82,"NA")=3,"NA",IF(COUNTIF(M75:M82,"NS")=3,"NS",SUM(M75:M82))))</f>
        <v/>
      </c>
      <c r="F75" t="str">
        <f>IF(OR(N75="",N77="",N79=""),"",IF(COUNTIF(N75:N82,"NA")=3,"NA",IF(COUNTIF(N75:N82,"NS")=3,"NS",SUM(N75:N82))))</f>
        <v/>
      </c>
      <c r="G75" t="str">
        <f>IF(OR(O75="",O77="",O79=""),"",IF(COUNTIF(O75:O82,"NA")=3,"NA",IF(COUNTIF(O75:O82,"NS")=3,"NS",SUM(O75:O82))))</f>
        <v/>
      </c>
      <c r="H75" t="str">
        <f>IF(OR(P75="",P77="",P79=""),"",IF(COUNTIF(P75:P82,"NA")=3,"NA",IF(COUNTIF(P75:P82,"NS")=3,"NS",SUM(P75:P82))))</f>
        <v/>
      </c>
      <c r="I75" t="str">
        <f>IF(OR(M75="",M77="",M79=""),"-",IF(COUNTIF(M75:M82,"NA")=3,"NA",IF(COUNTIF(M75:M82,"NA")=2,1,IF(COUNTIF(M75:M82,"NA")=1,2,3))))</f>
        <v>-</v>
      </c>
      <c r="J75" t="str">
        <f>IF(OR(N75="",N77="",N79=""),"-",IF(COUNTIF(N75:N82,"NA")=3,"NA",IF(COUNTIF(N75:N82,"NA")=2,1,IF(COUNTIF(N75:N82,"NA")=1,2,3))))</f>
        <v>-</v>
      </c>
      <c r="K75" t="str">
        <f>IF(OR(O75="",O77="",O79=""),"-",IF(COUNTIF(O75:O82,"NA")=3,"NA",IF(COUNTIF(O75:O82,"NA")=2,1,IF(COUNTIF(O75:O82,"NA")=1,2,3))))</f>
        <v>-</v>
      </c>
      <c r="L75" t="str">
        <f>IF(OR(P75="",P77="",P79=""),"-",IF(COUNTIF(P75:P82,"NA")=3,"NA",IF(COUNTIF(P75:P82,"NA")=2,1,IF(COUNTIF(P75:P82,"NA")=1,2,3))))</f>
        <v>-</v>
      </c>
      <c r="R75" t="e">
        <f>IF(COUNTIF(M75:P82,"NA")/COUNTA(M75:P82)=1,"NA","")</f>
        <v>#DIV/0!</v>
      </c>
      <c r="S75" t="str">
        <f>IF(COUNTIF(M75:P82,0)&gt;0,0,"")</f>
        <v/>
      </c>
    </row>
    <row r="76" xml:space="preserve">
      <c r="A76" t="str">
        <v>Three credits</v>
      </c>
      <c r="C76" t="str" xml:space="preserve">
        <v xml:space="preserve">1 credit for demonstrating compliance with the appropriate criteria for VOCs._x000d_
1 credit for demonstrating compliance with the appropriate criteria for HCHO._x000d_
1 credit for demonstrating compliance with the appropriate criteria for Rn.</v>
      </c>
    </row>
    <row r="78">
      <c r="C78" t="str">
        <v>Insert Credit Commentary Here</v>
      </c>
    </row>
    <row r="79">
      <c r="C79" t="str">
        <f>"Category A   " &amp; IFERROR(VLOOKUP(E75,AD:AE,2,FALSE),"")</f>
        <v xml:space="preserve">Category A   </v>
      </c>
    </row>
    <row r="80">
      <c r="C80" t="str">
        <f>"Category B   " &amp; IFERROR(VLOOKUP(F75,AD:AE,2,FALSE),"")</f>
        <v xml:space="preserve">Category B   </v>
      </c>
    </row>
    <row r="81">
      <c r="C81" t="str">
        <f>"Category C   " &amp; IFERROR(VLOOKUP(G75,AD:AE,2,FALSE),"")</f>
        <v xml:space="preserve">Category C   </v>
      </c>
    </row>
    <row r="82">
      <c r="C82" t="str">
        <f>"Category D   " &amp; IFERROR(VLOOKUP(H75,AD:AE,2,FALSE),"")</f>
        <v xml:space="preserve">Category D   </v>
      </c>
    </row>
    <row r="83">
      <c r="A83" t="str">
        <v>IEQ 8</v>
      </c>
      <c r="C83" t="str">
        <v>IAQ in Car Parks</v>
      </c>
      <c r="E83" t="str">
        <f>IF(M83&lt;&gt;"",M83,"")</f>
        <v/>
      </c>
      <c r="F83" t="str">
        <f>IF(N83&lt;&gt;"",N83,"")</f>
        <v/>
      </c>
      <c r="G83" t="str">
        <f>IF(O83&lt;&gt;"",O83,"")</f>
        <v/>
      </c>
      <c r="H83" t="str">
        <f>IF(P83&lt;&gt;"",P83,"")</f>
        <v/>
      </c>
      <c r="I83" t="str">
        <f>IF(M83="NA","NA",IF(AND(M83&lt;&gt;"",OR(M83="NS",M83&gt;=0)),1,"-"))</f>
        <v>-</v>
      </c>
      <c r="J83" t="str">
        <f>IF(N83="NA","NA",IF(AND(N83&lt;&gt;"",OR(N83="NS",N83&gt;=0)),1,"-"))</f>
        <v>-</v>
      </c>
      <c r="K83" t="str">
        <f>IF(O83="NA","NA",IF(AND(O83&lt;&gt;"",OR(O83="NS",O83&gt;=0)),1,"-"))</f>
        <v>-</v>
      </c>
      <c r="L83" t="str">
        <f>IF(P83="NA","NA",IF(AND(P83&lt;&gt;"",OR(P83="NS",P83&gt;=0)),1,"-"))</f>
        <v>-</v>
      </c>
      <c r="Q83" t="str">
        <v>EXCLUSIONS: Buildings not provided with enclosed or semi-enclosed car parks.</v>
      </c>
      <c r="R83" t="e">
        <f>IF(COUNTIF(M83:P90,"NA")/COUNTA(M83:P90)=1,"NA","")</f>
        <v>#DIV/0!</v>
      </c>
      <c r="S83" t="str">
        <f>IF(COUNTIF(M83:P90,0)&gt;0,0,"")</f>
        <v/>
      </c>
    </row>
    <row r="84">
      <c r="A84" t="str">
        <v>One Credit</v>
      </c>
      <c r="C84" t="str">
        <v>1 credit for demonstrating compliance with the design requirements specified in ProPECC PN 2/96.</v>
      </c>
    </row>
    <row r="86">
      <c r="C86" t="str">
        <v>Insert Credit Commentary Here</v>
      </c>
    </row>
    <row r="87">
      <c r="C87" t="str">
        <f>"Category A   " &amp; IFERROR(VLOOKUP(E83,AD:AE,2,FALSE),"")</f>
        <v xml:space="preserve">Category A   </v>
      </c>
    </row>
    <row r="88">
      <c r="C88" t="str">
        <f>"Category B   " &amp; IFERROR(VLOOKUP(F83,AD:AE,2,FALSE),"")</f>
        <v xml:space="preserve">Category B   </v>
      </c>
    </row>
    <row r="89">
      <c r="C89" t="str">
        <f>"Category C   " &amp; IFERROR(VLOOKUP(G83,AD:AE,2,FALSE),"")</f>
        <v xml:space="preserve">Category C   </v>
      </c>
    </row>
    <row r="90">
      <c r="C90" t="str">
        <f>"Category D   " &amp; IFERROR(VLOOKUP(H83,AD:AE,2,FALSE),"")</f>
        <v xml:space="preserve">Category D   </v>
      </c>
    </row>
    <row r="91">
      <c r="A91">
        <v>6.4</v>
      </c>
      <c r="C91" t="str">
        <v>VENTILATION</v>
      </c>
    </row>
    <row r="92">
      <c r="A92" t="str">
        <v>IEQ 9</v>
      </c>
      <c r="C92" t="str">
        <v>Increased Ventilation</v>
      </c>
      <c r="E92" t="str">
        <f>IF(M92&lt;&gt;"",M92,"")</f>
        <v/>
      </c>
      <c r="F92" t="str">
        <f>IF(N92&lt;&gt;"",N92,"")</f>
        <v/>
      </c>
      <c r="G92" t="str">
        <f>IF(O92&lt;&gt;"",O92,"")</f>
        <v/>
      </c>
      <c r="H92" t="str">
        <f>IF(P92&lt;&gt;"",P92,"")</f>
        <v/>
      </c>
      <c r="I92" t="str">
        <f>IF(M92="NA","NA",IF(AND(M92&lt;&gt;"",OR(M92="NS",M92&gt;=0)),1,"-"))</f>
        <v>-</v>
      </c>
      <c r="J92" t="str">
        <f>IF(N92="NA","NA",IF(AND(N92&lt;&gt;"",OR(N92="NS",N92&gt;=0)),1,"-"))</f>
        <v>-</v>
      </c>
      <c r="K92" t="str">
        <f>IF(O92="NA","NA",IF(AND(O92&lt;&gt;"",OR(O92="NS",O92&gt;=0)),1,"-"))</f>
        <v>-</v>
      </c>
      <c r="L92" t="str">
        <f>IF(P92="NA","NA",IF(AND(P92&lt;&gt;"",OR(P92="NS",P92&gt;=0)),1,"-"))</f>
        <v>-</v>
      </c>
      <c r="Q92" t="str">
        <v>EXCLUSIONS: Residential and similar buildings without central air conditioning.</v>
      </c>
      <c r="R92" t="e">
        <f>IF(COUNTIF(M92:P99,"NA")/COUNTA(M92:P99)=1,"NA","")</f>
        <v>#DIV/0!</v>
      </c>
      <c r="S92" t="str">
        <f>IF(COUNTIF(M92:P99,0)&gt;0,0,"")</f>
        <v/>
      </c>
    </row>
    <row r="93">
      <c r="A93" t="str">
        <v>One Credit</v>
      </c>
      <c r="C93" t="str">
        <v>1 credit for demonstrating an outdoor ventilation rate that exceeds ASHRAE 62.1:2007 [1] requirements by at least 30%.</v>
      </c>
    </row>
    <row r="95">
      <c r="C95" t="str">
        <v>Insert Credit Commentary Here</v>
      </c>
    </row>
    <row r="96">
      <c r="C96" t="str">
        <f>"Category A   " &amp; IFERROR(VLOOKUP(E92,AD:AE,2,FALSE),"")</f>
        <v xml:space="preserve">Category A   </v>
      </c>
    </row>
    <row r="97">
      <c r="C97" t="str">
        <f>"Category B   " &amp; IFERROR(VLOOKUP(F92,AD:AE,2,FALSE),"")</f>
        <v xml:space="preserve">Category B   </v>
      </c>
    </row>
    <row r="98">
      <c r="C98" t="str">
        <f>"Category C   " &amp; IFERROR(VLOOKUP(G92,AD:AE,2,FALSE),"")</f>
        <v xml:space="preserve">Category C   </v>
      </c>
    </row>
    <row r="99">
      <c r="C99" t="str">
        <f>"Category D   " &amp; IFERROR(VLOOKUP(H92,AD:AE,2,FALSE),"")</f>
        <v xml:space="preserve">Category D   </v>
      </c>
    </row>
    <row r="100">
      <c r="A100" t="str">
        <v>IEQ 10</v>
      </c>
      <c r="C100" t="str">
        <v>Background Ventilation</v>
      </c>
      <c r="E100" t="str">
        <f>IF(M100&lt;&gt;"",M100,"")</f>
        <v/>
      </c>
      <c r="F100" t="str">
        <f>IF(N100&lt;&gt;"",N100,"")</f>
        <v/>
      </c>
      <c r="G100" t="str">
        <f>IF(O100&lt;&gt;"",O100,"")</f>
        <v/>
      </c>
      <c r="H100" t="str">
        <f>IF(P100&lt;&gt;"",P100,"")</f>
        <v/>
      </c>
      <c r="I100" t="str">
        <f>IF(M100="NA","NA",IF(AND(M100&lt;&gt;"",OR(M100="NS",M100&gt;=0)),1,"-"))</f>
        <v>-</v>
      </c>
      <c r="J100" t="str">
        <f>IF(N100="NA","NA",IF(AND(N100&lt;&gt;"",OR(N100="NS",N100&gt;=0)),1,"-"))</f>
        <v>-</v>
      </c>
      <c r="K100" t="str">
        <f>IF(O100="NA","NA",IF(AND(O100&lt;&gt;"",OR(O100="NS",O100&gt;=0)),1,"-"))</f>
        <v>-</v>
      </c>
      <c r="L100" t="str">
        <f>IF(P100="NA","NA",IF(AND(P100&lt;&gt;"",OR(P100="NS",P100&gt;=0)),1,"-"))</f>
        <v>-</v>
      </c>
      <c r="Q100" t="str">
        <v>EXCLUSIONS: Buildings not designed to utilise natural ventilation.</v>
      </c>
      <c r="R100" t="e">
        <f>IF(COUNTIF(M100:P107,"NA")/COUNTA(M100:P107)=1,"NA","")</f>
        <v>#DIV/0!</v>
      </c>
      <c r="S100" t="str">
        <f>IF(COUNTIF(M100:P107,0)&gt;0,0,"")</f>
        <v/>
      </c>
    </row>
    <row r="101">
      <c r="A101" t="str">
        <v>One Credit</v>
      </c>
      <c r="C101" t="str">
        <v>1 credit where it can be demonstrated that adequate ventilation can be achieved by natural means.</v>
      </c>
    </row>
    <row r="103">
      <c r="C103" t="str">
        <v>Insert Credit Commentary Here</v>
      </c>
    </row>
    <row r="104">
      <c r="C104" t="str">
        <f>"Category A   " &amp; IFERROR(VLOOKUP(E100,AD:AE,2,FALSE),"")</f>
        <v xml:space="preserve">Category A   </v>
      </c>
    </row>
    <row r="105">
      <c r="C105" t="str">
        <f>"Category B   " &amp; IFERROR(VLOOKUP(F100,AD:AE,2,FALSE),"")</f>
        <v xml:space="preserve">Category B   </v>
      </c>
    </row>
    <row r="106">
      <c r="C106" t="str">
        <f>"Category C   " &amp; IFERROR(VLOOKUP(G100,AD:AE,2,FALSE),"")</f>
        <v xml:space="preserve">Category C   </v>
      </c>
    </row>
    <row r="107">
      <c r="C107" t="str">
        <f>"Category D   " &amp; IFERROR(VLOOKUP(H100,AD:AE,2,FALSE),"")</f>
        <v xml:space="preserve">Category D   </v>
      </c>
    </row>
    <row r="108">
      <c r="A108" t="str">
        <v>IEQ 11</v>
      </c>
      <c r="C108" t="str">
        <v>Localised Ventilation</v>
      </c>
      <c r="E108" t="str">
        <f>IF(M108&lt;&gt;"",M108,"")</f>
        <v/>
      </c>
      <c r="F108" t="str">
        <f>IF(N108&lt;&gt;"",N108,"")</f>
        <v/>
      </c>
      <c r="G108" t="str">
        <f>IF(O108&lt;&gt;"",O108,"")</f>
        <v/>
      </c>
      <c r="H108" t="str">
        <f>IF(P108&lt;&gt;"",P108,"")</f>
        <v/>
      </c>
      <c r="I108" t="str">
        <f>IF(M108="NA","NA",IF(AND(M108&lt;&gt;"",OR(M108="NS",M108&gt;=0)),1,"-"))</f>
        <v>-</v>
      </c>
      <c r="J108" t="str">
        <f>IF(N108="NA","NA",IF(AND(N108&lt;&gt;"",OR(N108="NS",N108&gt;=0)),1,"-"))</f>
        <v>-</v>
      </c>
      <c r="K108" t="str">
        <f>IF(O108="NA","NA",IF(AND(O108&lt;&gt;"",OR(O108="NS",O108&gt;=0)),1,"-"))</f>
        <v>-</v>
      </c>
      <c r="L108" t="str">
        <f>IF(P108="NA","NA",IF(AND(P108&lt;&gt;"",OR(P108="NS",P108&gt;=0)),1,"-"))</f>
        <v>-</v>
      </c>
      <c r="Q108" t="str">
        <v>EXCLUSIONS: Item b) is excluded for residential buildings.</v>
      </c>
      <c r="R108" t="e">
        <f>IF(COUNTIF(M108:P116,"NA")/COUNTA(M108:P116)=1,"NA","")</f>
        <v>#DIV/0!</v>
      </c>
      <c r="S108" t="str">
        <f>IF(COUNTIF(M108:P116,0)&gt;0,0,"")</f>
        <v/>
      </c>
    </row>
    <row r="109">
      <c r="A109" t="str">
        <v>IEQ 11a</v>
      </c>
      <c r="C109" t="str">
        <v>Source Control</v>
      </c>
    </row>
    <row r="110">
      <c r="A110" t="str">
        <v>One Credit</v>
      </c>
      <c r="C110" t="str">
        <v>1 credit for the provision of an adequate ventilation system for rooms/areas where significant indoor pollution sources are generated.</v>
      </c>
    </row>
    <row r="112">
      <c r="C112" t="str">
        <v>Insert Credit Commentary Here</v>
      </c>
    </row>
    <row r="113">
      <c r="C113" t="str">
        <f>"Category A   " &amp; IFERROR(VLOOKUP(E108,AD:AE,2,FALSE),"")</f>
        <v xml:space="preserve">Category A   </v>
      </c>
    </row>
    <row r="114">
      <c r="C114" t="str">
        <f>"Category B   " &amp; IFERROR(VLOOKUP(F108,AD:AE,2,FALSE),"")</f>
        <v xml:space="preserve">Category B   </v>
      </c>
    </row>
    <row r="115">
      <c r="C115" t="str">
        <f>"Category C   " &amp; IFERROR(VLOOKUP(G108,AD:AE,2,FALSE),"")</f>
        <v xml:space="preserve">Category C   </v>
      </c>
    </row>
    <row r="116">
      <c r="C116" t="str">
        <f>"Category D   " &amp; IFERROR(VLOOKUP(H108,AD:AE,2,FALSE),"")</f>
        <v xml:space="preserve">Category D   </v>
      </c>
    </row>
    <row r="117">
      <c r="A117" t="str">
        <v>IEQ 11b</v>
      </c>
      <c r="C117" t="str">
        <v>Local Exhaust</v>
      </c>
      <c r="E117" t="str">
        <f>IF(M117&lt;&gt;"",M117,"")</f>
        <v/>
      </c>
      <c r="F117" t="str">
        <f>IF(N117&lt;&gt;"",N117,"")</f>
        <v/>
      </c>
      <c r="G117" t="str">
        <f>IF(O117&lt;&gt;"",O117,"")</f>
        <v/>
      </c>
      <c r="H117" t="str">
        <f>IF(P117&lt;&gt;"",P117,"")</f>
        <v/>
      </c>
      <c r="I117" t="str">
        <f>IF(M117="NA","NA",IF(AND(M117&lt;&gt;"",OR(M117="NS",M117&gt;=0)),1,"-"))</f>
        <v>-</v>
      </c>
      <c r="J117" t="str">
        <f>IF(N117="NA","NA",IF(AND(N117&lt;&gt;"",OR(N117="NS",N117&gt;=0)),1,"-"))</f>
        <v>-</v>
      </c>
      <c r="K117" t="str">
        <f>IF(O117="NA","NA",IF(AND(O117&lt;&gt;"",OR(O117="NS",O117&gt;=0)),1,"-"))</f>
        <v>-</v>
      </c>
      <c r="L117" t="str">
        <f>IF(P117="NA","NA",IF(AND(P117&lt;&gt;"",OR(P117="NS",P117&gt;=0)),1,"-"))</f>
        <v>-</v>
      </c>
      <c r="R117" t="e">
        <f>IF(COUNTIF(M117:P124,"NA")/COUNTA(M117:P124)=1,"NA","")</f>
        <v>#DIV/0!</v>
      </c>
      <c r="S117" t="str">
        <f>IF(COUNTIF(M117:P124,0)&gt;0,0,"")</f>
        <v/>
      </c>
    </row>
    <row r="118">
      <c r="A118" t="str">
        <v>One Credit</v>
      </c>
      <c r="C118" t="str">
        <v>1 credit for the provision of a general exhaust system for future tenants.</v>
      </c>
    </row>
    <row r="120">
      <c r="C120" t="str">
        <v>Insert Credit Commentary Here</v>
      </c>
    </row>
    <row r="121">
      <c r="C121" t="str">
        <f>"Category A   " &amp; IFERROR(VLOOKUP(E117,AD:AE,2,FALSE),"")</f>
        <v xml:space="preserve">Category A   </v>
      </c>
    </row>
    <row r="122">
      <c r="C122" t="str">
        <f>"Category B   " &amp; IFERROR(VLOOKUP(F117,AD:AE,2,FALSE),"")</f>
        <v xml:space="preserve">Category B   </v>
      </c>
    </row>
    <row r="123">
      <c r="C123" t="str">
        <f>"Category C   " &amp; IFERROR(VLOOKUP(G117,AD:AE,2,FALSE),"")</f>
        <v xml:space="preserve">Category C   </v>
      </c>
    </row>
    <row r="124">
      <c r="C124" t="str">
        <f>"Category D   " &amp; IFERROR(VLOOKUP(H117,AD:AE,2,FALSE),"")</f>
        <v xml:space="preserve">Category D   </v>
      </c>
    </row>
    <row r="125">
      <c r="A125" t="str">
        <v>IEQ 12a</v>
      </c>
      <c r="C125" t="str">
        <v>Ventilation in Common Areas</v>
      </c>
      <c r="E125" t="str">
        <f>IF(M125&lt;&gt;"",M125,"")</f>
        <v/>
      </c>
      <c r="F125" t="str">
        <f>IF(N125&lt;&gt;"",N125,"")</f>
        <v/>
      </c>
      <c r="G125" t="str">
        <f>IF(O125&lt;&gt;"",O125,"")</f>
        <v/>
      </c>
      <c r="H125" t="str">
        <f>IF(P125&lt;&gt;"",P125,"")</f>
        <v/>
      </c>
      <c r="I125" t="str">
        <f>IF(M125="NA","NA",IF(AND(M125&lt;&gt;"",OR(M125="NS",M125&gt;=0)),1,"-"))</f>
        <v>-</v>
      </c>
      <c r="J125" t="str">
        <f>IF(N125="NA","NA",IF(AND(N125&lt;&gt;"",OR(N125="NS",N125&gt;=0)),1,"-"))</f>
        <v>-</v>
      </c>
      <c r="K125" t="str">
        <f>IF(O125="NA","NA",IF(AND(O125&lt;&gt;"",OR(O125="NS",O125&gt;=0)),1,"-"))</f>
        <v>-</v>
      </c>
      <c r="L125" t="str">
        <f>IF(P125="NA","NA",IF(AND(P125&lt;&gt;"",OR(P125="NS",P125&gt;=0)),1,"-"))</f>
        <v>-</v>
      </c>
      <c r="Q125" t="str">
        <v>EXCLUSIONS: Spaces covered under the section on Localised Ventilation.</v>
      </c>
      <c r="R125" t="e">
        <f>IF(COUNTIF(M125:P133,"NA")/COUNTA(M125:P133)=1,"NA","")</f>
        <v>#DIV/0!</v>
      </c>
      <c r="S125" t="str">
        <f>IF(COUNTIF(M125:P133,0)&gt;0,0,"")</f>
        <v/>
      </c>
    </row>
    <row r="126">
      <c r="A126" t="str">
        <v>One Credit</v>
      </c>
      <c r="C126" t="str">
        <v>Ventilation By Any Means</v>
      </c>
    </row>
    <row r="127">
      <c r="C127" t="str">
        <v>1 credit for demonstrating that all enclosed common areas in a building are provided with adequate ventilation.</v>
      </c>
    </row>
    <row r="129">
      <c r="C129" t="str">
        <v>Insert Credit Commentary Here</v>
      </c>
    </row>
    <row r="130">
      <c r="C130" t="str">
        <f>"Category A   " &amp; IFERROR(VLOOKUP(E125,AD:AE,2,FALSE),"")</f>
        <v xml:space="preserve">Category A   </v>
      </c>
    </row>
    <row r="131">
      <c r="C131" t="str">
        <f>"Category B   " &amp; IFERROR(VLOOKUP(F125,AD:AE,2,FALSE),"")</f>
        <v xml:space="preserve">Category B   </v>
      </c>
    </row>
    <row r="132">
      <c r="C132" t="str">
        <f>"Category C   " &amp; IFERROR(VLOOKUP(G125,AD:AE,2,FALSE),"")</f>
        <v xml:space="preserve">Category C   </v>
      </c>
    </row>
    <row r="133">
      <c r="C133" t="str">
        <f>"Category D   " &amp; IFERROR(VLOOKUP(H125,AD:AE,2,FALSE),"")</f>
        <v xml:space="preserve">Category D   </v>
      </c>
    </row>
    <row r="134">
      <c r="A134" t="str">
        <v>IEQ 12b</v>
      </c>
      <c r="C134" t="str">
        <v>Use of Natural Ventilation</v>
      </c>
      <c r="E134" t="str">
        <f>IF(M134=1,"1B",M134)</f>
        <v>Insert No. of Credit(s) Here</v>
      </c>
      <c r="I134" t="str">
        <v>Bonus</v>
      </c>
      <c r="M134" t="str">
        <v>Insert No. of Credit(s) Here</v>
      </c>
      <c r="R134" t="str">
        <f>IF(M134="NA","NA","")</f>
        <v/>
      </c>
      <c r="S134" t="str">
        <f>IF(M134=0,0,"")</f>
        <v/>
      </c>
    </row>
    <row r="135">
      <c r="A135" t="str">
        <v>One Bonus Credit</v>
      </c>
      <c r="C135" t="str">
        <v>1 BONUS credit where the provision for ventilation is by natural means.</v>
      </c>
    </row>
    <row r="137">
      <c r="C137" t="str">
        <v>Insert Credit Commentary Here</v>
      </c>
    </row>
    <row r="138">
      <c r="C138" t="str">
        <f>IFERROR(VLOOKUP($E134,$AD:$AE,2,FALSE),"-")</f>
        <v>-</v>
      </c>
    </row>
    <row r="139">
      <c r="A139">
        <v>6.5</v>
      </c>
      <c r="C139" t="str">
        <v>THERMAL COMFORT</v>
      </c>
    </row>
    <row r="140">
      <c r="A140" t="str">
        <v>IEQ 13</v>
      </c>
      <c r="C140" t="str">
        <v>Thermal Comfort In Air-Conditioned Premises</v>
      </c>
      <c r="E140" t="str">
        <f>IF(M140&lt;&gt;"",M140,"")</f>
        <v/>
      </c>
      <c r="F140" t="str">
        <f>IF(N140&lt;&gt;"",N140,"")</f>
        <v/>
      </c>
      <c r="G140" t="str">
        <f>IF(O140&lt;&gt;"",O140,"")</f>
        <v/>
      </c>
      <c r="H140" t="str">
        <f>IF(P140&lt;&gt;"",P140,"")</f>
        <v/>
      </c>
      <c r="I140" t="str">
        <f>IF(M140="NA","NA",IF(AND(M140&lt;&gt;"",OR(M140="NS",M140&gt;=0)),1,"-"))</f>
        <v>-</v>
      </c>
      <c r="J140" t="str">
        <f>IF(N140="NA","NA",IF(AND(N140&lt;&gt;"",OR(N140="NS",N140&gt;=0)),1,"-"))</f>
        <v>-</v>
      </c>
      <c r="K140" t="str">
        <f>IF(O140="NA","NA",IF(AND(O140&lt;&gt;"",OR(O140="NS",O140&gt;=0)),1,"-"))</f>
        <v>-</v>
      </c>
      <c r="L140" t="str">
        <f>IF(P140="NA","NA",IF(AND(P140&lt;&gt;"",OR(P140="NS",P140&gt;=0)),1,"-"))</f>
        <v>-</v>
      </c>
      <c r="Q140" t="str">
        <v>EXCLUSIONS: Buildings where air-conditioning is provided by window units or split units.</v>
      </c>
      <c r="R140" t="e">
        <f>IF(COUNTIF(M140:P148,"NA")/COUNTA(M140:P148)=1,"NA","")</f>
        <v>#DIV/0!</v>
      </c>
      <c r="S140" t="str">
        <f>IF(COUNTIF(M140:P148,0)&gt;0,0,"")</f>
        <v/>
      </c>
    </row>
    <row r="141">
      <c r="A141" t="str">
        <v>IEQ 13a</v>
      </c>
      <c r="C141" t="str">
        <v>Temperature</v>
      </c>
    </row>
    <row r="142">
      <c r="A142" t="str">
        <v>One Credit</v>
      </c>
      <c r="C142" t="str">
        <v>1 credit for sustaining the air temperature at the design value within ±1.5°C when the air side system is operating at steady state under normal occupied periods.</v>
      </c>
    </row>
    <row r="144">
      <c r="C144" t="str">
        <v>Insert Credit Commentary Here</v>
      </c>
    </row>
    <row r="145">
      <c r="C145" t="str">
        <f>"Category A   " &amp; IFERROR(VLOOKUP(E140,AD:AE,2,FALSE),"")</f>
        <v xml:space="preserve">Category A   </v>
      </c>
    </row>
    <row r="146">
      <c r="C146" t="str">
        <f>"Category B   " &amp; IFERROR(VLOOKUP(F140,AD:AE,2,FALSE),"")</f>
        <v xml:space="preserve">Category B   </v>
      </c>
    </row>
    <row r="147">
      <c r="C147" t="str">
        <f>"Category C   " &amp; IFERROR(VLOOKUP(G140,AD:AE,2,FALSE),"")</f>
        <v xml:space="preserve">Category C   </v>
      </c>
    </row>
    <row r="148">
      <c r="C148" t="str">
        <f>"Category D   " &amp; IFERROR(VLOOKUP(H140,AD:AE,2,FALSE),"")</f>
        <v xml:space="preserve">Category D   </v>
      </c>
    </row>
    <row r="149">
      <c r="A149" t="str">
        <v>IEQ 13b</v>
      </c>
      <c r="C149" t="str">
        <v>Room Air Distribution</v>
      </c>
      <c r="E149" t="str">
        <f>IF(M149&lt;&gt;"",M149,"")</f>
        <v/>
      </c>
      <c r="F149" t="str">
        <f>IF(N149&lt;&gt;"",N149,"")</f>
        <v/>
      </c>
      <c r="G149" t="str">
        <f>IF(O149&lt;&gt;"",O149,"")</f>
        <v/>
      </c>
      <c r="H149" t="str">
        <f>IF(P149&lt;&gt;"",P149,"")</f>
        <v/>
      </c>
      <c r="I149" t="str">
        <f>IF(M149="NA","NA",IF(AND(M149&lt;&gt;"",OR(M149="NS",M149&gt;=0)),1,"-"))</f>
        <v>-</v>
      </c>
      <c r="J149" t="str">
        <f>IF(N149="NA","NA",IF(AND(N149&lt;&gt;"",OR(N149="NS",N149&gt;=0)),1,"-"))</f>
        <v>-</v>
      </c>
      <c r="K149" t="str">
        <f>IF(O149="NA","NA",IF(AND(O149&lt;&gt;"",OR(O149="NS",O149&gt;=0)),1,"-"))</f>
        <v>-</v>
      </c>
      <c r="L149" t="str">
        <f>IF(P149="NA","NA",IF(AND(P149&lt;&gt;"",OR(P149="NS",P149&gt;=0)),1,"-"))</f>
        <v>-</v>
      </c>
      <c r="R149" t="e">
        <f>IF(COUNTIF(M149:P156,"NA")/COUNTA(M149:P156)=1,"NA","")</f>
        <v>#DIV/0!</v>
      </c>
      <c r="S149" t="str">
        <f>IF(COUNTIF(M149:P156,0)&gt;0,0,"")</f>
        <v/>
      </c>
    </row>
    <row r="150">
      <c r="A150" t="str">
        <v>One Credit</v>
      </c>
      <c r="C150" t="str">
        <v>1 credit where room air diffusers satisfy the Air Diffusion Performance Index.</v>
      </c>
    </row>
    <row r="152">
      <c r="C152" t="str">
        <v>Insert Credit Commentary Here</v>
      </c>
    </row>
    <row r="153">
      <c r="C153" t="str">
        <f>"Category A   " &amp; IFERROR(VLOOKUP(E149,AD:AE,2,FALSE),"")</f>
        <v xml:space="preserve">Category A   </v>
      </c>
    </row>
    <row r="154">
      <c r="C154" t="str">
        <f>"Category B   " &amp; IFERROR(VLOOKUP(F149,AD:AE,2,FALSE),"")</f>
        <v xml:space="preserve">Category B   </v>
      </c>
    </row>
    <row r="155">
      <c r="C155" t="str">
        <f>"Category C   " &amp; IFERROR(VLOOKUP(G149,AD:AE,2,FALSE),"")</f>
        <v xml:space="preserve">Category C   </v>
      </c>
    </row>
    <row r="156">
      <c r="C156" t="str">
        <f>"Category D   " &amp; IFERROR(VLOOKUP(H149,AD:AE,2,FALSE),"")</f>
        <v xml:space="preserve">Category D   </v>
      </c>
    </row>
    <row r="157">
      <c r="A157" t="str">
        <v>IEQ 14</v>
      </c>
      <c r="C157" t="str">
        <v>Thermal Comfort in Naturally Ventilated Premises</v>
      </c>
      <c r="E157" t="str">
        <f>IF(M157&lt;&gt;"",M157,"")</f>
        <v/>
      </c>
      <c r="F157" t="str">
        <f>IF(N157&lt;&gt;"",N157,"")</f>
        <v/>
      </c>
      <c r="G157" t="str">
        <f>IF(O157&lt;&gt;"",O157,"")</f>
        <v/>
      </c>
      <c r="H157" t="str">
        <f>IF(P157&lt;&gt;"",P157,"")</f>
        <v/>
      </c>
      <c r="I157" t="str">
        <f>IF(M157="NA","NA",IF(AND(M157&lt;&gt;"",OR(M157="NS",M157&gt;=0)),1,"-"))</f>
        <v>-</v>
      </c>
      <c r="J157" t="str">
        <f>IF(N157="NA","NA",IF(AND(N157&lt;&gt;"",OR(N157="NS",N157&gt;=0)),1,"-"))</f>
        <v>-</v>
      </c>
      <c r="K157" t="str">
        <f>IF(O157="NA","NA",IF(AND(O157&lt;&gt;"",OR(O157="NS",O157&gt;=0)),1,"-"))</f>
        <v>-</v>
      </c>
      <c r="L157" t="str">
        <f>IF(P157="NA","NA",IF(AND(P157&lt;&gt;"",OR(P157="NS",P157&gt;=0)),1,"-"))</f>
        <v>-</v>
      </c>
      <c r="Q157" t="str">
        <v>EXCLUSIONS: Buildings that are not designed to utilise natural ventilation.</v>
      </c>
      <c r="R157" t="e">
        <f>IF(COUNTIF(M157:P165,"NA")/COUNTA(M157:P165)=1,"NA","")</f>
        <v>#DIV/0!</v>
      </c>
      <c r="S157" t="str">
        <f>IF(COUNTIF(M157:P165,0)&gt;0,0,"")</f>
        <v/>
      </c>
    </row>
    <row r="158">
      <c r="A158" t="str">
        <v>IEQ 14a</v>
      </c>
      <c r="C158" t="str">
        <v>Performance with Natural Ventilation</v>
      </c>
    </row>
    <row r="159" xml:space="preserve">
      <c r="A159" t="str">
        <v>One Credit</v>
      </c>
      <c r="C159" t="str" xml:space="preserve">
        <v xml:space="preserve">1 credit for demonstrating indoor operative temperatures in occupied/habitable rooms meet the 80% acceptability limits._x000d_
Alternatively,_x000d_
1 credit for demonstrating the predicted Mean Vote (PMV) in occupied/habitable rooms is between –1 and +1._x000d_
Alternatively,_x000d_
1 credit for demonstrating that, the thermal performance, and the internal wind speeds, of the occupied/habitable rooms fall within the 80% acceptability range for the tropical climate conditions of Hong Kong.</v>
      </c>
    </row>
    <row r="161">
      <c r="C161" t="str">
        <v>Insert Credit Commentary Here</v>
      </c>
    </row>
    <row r="162">
      <c r="C162" t="str">
        <f>"Category A   " &amp; IFERROR(VLOOKUP(E157,AD:AE,2,FALSE),"")</f>
        <v xml:space="preserve">Category A   </v>
      </c>
    </row>
    <row r="163">
      <c r="C163" t="str">
        <f>"Category B   " &amp; IFERROR(VLOOKUP(F157,AD:AE,2,FALSE),"")</f>
        <v xml:space="preserve">Category B   </v>
      </c>
    </row>
    <row r="164">
      <c r="C164" t="str">
        <f>"Category C   " &amp; IFERROR(VLOOKUP(G157,AD:AE,2,FALSE),"")</f>
        <v xml:space="preserve">Category C   </v>
      </c>
    </row>
    <row r="165">
      <c r="C165" t="str">
        <f>"Category D   " &amp; IFERROR(VLOOKUP(H157,AD:AE,2,FALSE),"")</f>
        <v xml:space="preserve">Category D   </v>
      </c>
    </row>
    <row r="166">
      <c r="A166" t="str">
        <v>IEQ 14b</v>
      </c>
      <c r="C166" t="str">
        <v>Performance with Air-Conditioning</v>
      </c>
      <c r="E166" t="str">
        <f>IF(M166&lt;&gt;"",M166,"")</f>
        <v/>
      </c>
      <c r="F166" t="str">
        <f>IF(N166&lt;&gt;"",N166,"")</f>
        <v/>
      </c>
      <c r="G166" t="str">
        <f>IF(O166&lt;&gt;"",O166,"")</f>
        <v/>
      </c>
      <c r="H166" t="str">
        <f>IF(P166&lt;&gt;"",P166,"")</f>
        <v/>
      </c>
      <c r="I166" t="str">
        <f>IF(M166="NA","NA",IF(AND(M166&lt;&gt;"",OR(M166="NS",M166&gt;=0)),1,"-"))</f>
        <v>-</v>
      </c>
      <c r="J166" t="str">
        <f>IF(N166="NA","NA",IF(AND(N166&lt;&gt;"",OR(N166="NS",N166&gt;=0)),1,"-"))</f>
        <v>-</v>
      </c>
      <c r="K166" t="str">
        <f>IF(O166="NA","NA",IF(AND(O166&lt;&gt;"",OR(O166="NS",O166&gt;=0)),1,"-"))</f>
        <v>-</v>
      </c>
      <c r="L166" t="str">
        <f>IF(P166="NA","NA",IF(AND(P166&lt;&gt;"",OR(P166="NS",P166&gt;=0)),1,"-"))</f>
        <v>-</v>
      </c>
      <c r="R166" t="e">
        <f>IF(COUNTIF(M166:P173,"NA")/COUNTA(M166:P173)=1,"NA","")</f>
        <v>#DIV/0!</v>
      </c>
      <c r="S166" t="str">
        <f>IF(COUNTIF(M166:P173,0)&gt;0,0,"")</f>
        <v/>
      </c>
    </row>
    <row r="167">
      <c r="A167" t="str">
        <v>One Credit</v>
      </c>
      <c r="C167" t="str">
        <v>1 credit for sustaining the air temperature at the design value within ±1.5°C when the air-conditioning unit is operating at steady state under normal occupied periods.</v>
      </c>
    </row>
    <row r="169">
      <c r="C169" t="str">
        <v>Insert Credit Commentary Here</v>
      </c>
    </row>
    <row r="170">
      <c r="C170" t="str">
        <f>"Category A   " &amp; IFERROR(VLOOKUP(E166,AD:AE,2,FALSE),"")</f>
        <v xml:space="preserve">Category A   </v>
      </c>
    </row>
    <row r="171">
      <c r="C171" t="str">
        <f>"Category B   " &amp; IFERROR(VLOOKUP(F166,AD:AE,2,FALSE),"")</f>
        <v xml:space="preserve">Category B   </v>
      </c>
    </row>
    <row r="172">
      <c r="C172" t="str">
        <f>"Category C   " &amp; IFERROR(VLOOKUP(G166,AD:AE,2,FALSE),"")</f>
        <v xml:space="preserve">Category C   </v>
      </c>
    </row>
    <row r="173">
      <c r="C173" t="str">
        <f>"Category D   " &amp; IFERROR(VLOOKUP(H166,AD:AE,2,FALSE),"")</f>
        <v xml:space="preserve">Category D   </v>
      </c>
    </row>
    <row r="174">
      <c r="A174">
        <v>6.6</v>
      </c>
      <c r="C174" t="str">
        <v>LIGHTING QUALITY</v>
      </c>
    </row>
    <row r="175">
      <c r="A175" t="str">
        <v>IEQ 15</v>
      </c>
      <c r="C175" t="str">
        <v>Natural Lighting</v>
      </c>
      <c r="E175" t="str">
        <f>IF(M175&lt;&gt;"",M175,"")</f>
        <v/>
      </c>
      <c r="F175" t="str">
        <f>IF(N175&lt;&gt;"",N175,"")</f>
        <v/>
      </c>
      <c r="G175" t="str">
        <f>IF(O175&lt;&gt;"",O175,"")</f>
        <v/>
      </c>
      <c r="H175" t="str">
        <f>IF(P175&lt;&gt;"",P175,"")</f>
        <v/>
      </c>
      <c r="I175" t="str">
        <f>IF(M175="NA","NA",IF(AND(M175&lt;&gt;"",OR(M175="NS",M175&gt;=0)),2,"-"))</f>
        <v>-</v>
      </c>
      <c r="J175" t="str">
        <f>IF(N175="NA","NA",IF(AND(N175&lt;&gt;"",OR(N175="NS",N175&gt;=0)),2,"-"))</f>
        <v>-</v>
      </c>
      <c r="K175" t="str">
        <f>IF(O175="NA","NA",IF(AND(O175&lt;&gt;"",OR(O175="NS",O175&gt;=0)),2,"-"))</f>
        <v>-</v>
      </c>
      <c r="L175" t="str">
        <f>IF(P175="NA","NA",IF(AND(P175&lt;&gt;"",OR(P175="NS",P175&gt;=0)),2,"-"))</f>
        <v>-</v>
      </c>
      <c r="R175" t="e">
        <f>IF(COUNTIF(M175:P182,"NA")/COUNTA(M175:P182)=1,"NA","")</f>
        <v>#DIV/0!</v>
      </c>
      <c r="S175" t="str">
        <f>IF(COUNTIF(M175:P182,0)&gt;0,0,"")</f>
        <v/>
      </c>
    </row>
    <row r="176" xml:space="preserve">
      <c r="A176" t="str">
        <v>Two Credits</v>
      </c>
      <c r="C176" t="str" xml:space="preserve">
        <v xml:space="preserve">1 credit where at least 80% of the floor area in all normally occupied spaces is adequately lit with an average daylight factor of 1%._x000d_
2 credits where at least 95% of the floor area in all normally occupied spaces is adequately lit with an average daylight factor of 1%.</v>
      </c>
    </row>
    <row r="178">
      <c r="C178" t="str">
        <v>Insert Credit Commentary Here</v>
      </c>
    </row>
    <row r="179">
      <c r="C179" t="str">
        <f>"Category A   " &amp; IFERROR(VLOOKUP(E175,AD:AE,2,FALSE),"")</f>
        <v xml:space="preserve">Category A   </v>
      </c>
    </row>
    <row r="180">
      <c r="C180" t="str">
        <f>"Category B   " &amp; IFERROR(VLOOKUP(F175,AD:AE,2,FALSE),"")</f>
        <v xml:space="preserve">Category B   </v>
      </c>
    </row>
    <row r="181">
      <c r="C181" t="str">
        <f>"Category C   " &amp; IFERROR(VLOOKUP(G175,AD:AE,2,FALSE),"")</f>
        <v xml:space="preserve">Category C   </v>
      </c>
    </row>
    <row r="182">
      <c r="C182" t="str">
        <f>"Category D   " &amp; IFERROR(VLOOKUP(H175,AD:AE,2,FALSE),"")</f>
        <v xml:space="preserve">Category D   </v>
      </c>
    </row>
    <row r="183">
      <c r="A183" t="str">
        <v>IEQ 16</v>
      </c>
      <c r="C183" t="str">
        <v>Interior Lighting in Normally Occupied Areas</v>
      </c>
      <c r="E183" t="str">
        <f>IF(M183&lt;&gt;"",M183,"")</f>
        <v/>
      </c>
      <c r="F183" t="str">
        <f>IF(N183&lt;&gt;"",N183,"")</f>
        <v/>
      </c>
      <c r="G183" t="str">
        <f>IF(O183&lt;&gt;"",O183,"")</f>
        <v/>
      </c>
      <c r="H183" t="str">
        <f>IF(P183&lt;&gt;"",P183,"")</f>
        <v/>
      </c>
      <c r="I183" t="str">
        <f>IF(M183="NA","NA",IF(AND(M183&lt;&gt;"",OR(M183="NS",M183&gt;=0)),1,"-"))</f>
        <v>-</v>
      </c>
      <c r="J183" t="str">
        <f>IF(N183="NA","NA",IF(AND(N183&lt;&gt;"",OR(N183="NS",N183&gt;=0)),1,"-"))</f>
        <v>-</v>
      </c>
      <c r="K183" t="str">
        <f>IF(O183="NA","NA",IF(AND(O183&lt;&gt;"",OR(O183="NS",O183&gt;=0)),1,"-"))</f>
        <v>-</v>
      </c>
      <c r="L183" t="str">
        <f>IF(P183="NA","NA",IF(AND(P183&lt;&gt;"",OR(P183="NS",P183&gt;=0)),1,"-"))</f>
        <v>-</v>
      </c>
      <c r="Q183" t="str">
        <v>EXCLUSIONS: Residential buildings, hotels and apartment buildings.</v>
      </c>
      <c r="R183" t="e">
        <f>IF(COUNTIF(M183:P190,"NA")/COUNTA(M183:P190)=1,"NA","")</f>
        <v>#DIV/0!</v>
      </c>
      <c r="S183" t="str">
        <f>IF(COUNTIF(M183:P190,0)&gt;0,0,"")</f>
        <v/>
      </c>
    </row>
    <row r="184" xml:space="preserve">
      <c r="A184" t="str">
        <v>One Credit</v>
      </c>
      <c r="C184" t="str" xml:space="preserve">
        <v xml:space="preserve">1 credit where the prescribed lighting performance in each type of premises in respect of illuminance and lighting quality is achieved._x000d_
It is required to fulfill the following:_x000d_
(i) prescribed lighting performance in respect of maintained illuminance and illuminance variation; and_x000d_
(ii) the limiting unified glare rating is achieved and light sources have an appropriate colour rendering index.</v>
      </c>
    </row>
    <row r="186">
      <c r="C186" t="str">
        <v>Insert Credit Commentary Here</v>
      </c>
    </row>
    <row r="187">
      <c r="C187" t="str">
        <f>"Category A   " &amp; IFERROR(VLOOKUP(E183,AD:AE,2,FALSE),"")</f>
        <v xml:space="preserve">Category A   </v>
      </c>
    </row>
    <row r="188">
      <c r="C188" t="str">
        <f>"Category B   " &amp; IFERROR(VLOOKUP(F183,AD:AE,2,FALSE),"")</f>
        <v xml:space="preserve">Category B   </v>
      </c>
    </row>
    <row r="189">
      <c r="C189" t="str">
        <f>"Category C   " &amp; IFERROR(VLOOKUP(G183,AD:AE,2,FALSE),"")</f>
        <v xml:space="preserve">Category C   </v>
      </c>
    </row>
    <row r="190">
      <c r="C190" t="str">
        <f>"Category D   " &amp; IFERROR(VLOOKUP(H183,AD:AE,2,FALSE),"")</f>
        <v xml:space="preserve">Category D   </v>
      </c>
    </row>
    <row r="191">
      <c r="A191" t="str">
        <v>One Bonus Credit</v>
      </c>
      <c r="C191" t="str">
        <v>1 BONUS credit for providing automatic control of artificial lighting such as daylight sensors at perimeter zones and/or occupancy sensors.</v>
      </c>
      <c r="E191" t="str">
        <f>IF(M191=1,"1B",M191)</f>
        <v>Insert No. of Credit(s) Here</v>
      </c>
      <c r="I191" t="str">
        <v>Bonus</v>
      </c>
      <c r="M191" t="str">
        <v>Insert No. of Credit(s) Here</v>
      </c>
      <c r="R191" t="str">
        <f>IF(M191="NA","NA","")</f>
        <v/>
      </c>
      <c r="S191" t="str">
        <f>IF(M191=0,0,"")</f>
        <v/>
      </c>
    </row>
    <row r="193">
      <c r="C193" t="str">
        <v>Insert Credit Commentary Here</v>
      </c>
    </row>
    <row r="194">
      <c r="C194" t="str">
        <f>IFERROR(VLOOKUP($E191,$AD:$AE,2,FALSE),"-")</f>
        <v>-</v>
      </c>
    </row>
    <row r="195">
      <c r="A195" t="str">
        <v>IEQ 17</v>
      </c>
      <c r="C195" t="str">
        <v>Interior Lighting in Areas Not Normally Occupied</v>
      </c>
      <c r="E195" t="str">
        <f>IF(M195&lt;&gt;"",M195,"")</f>
        <v/>
      </c>
      <c r="F195" t="str">
        <f>IF(N195&lt;&gt;"",N195,"")</f>
        <v/>
      </c>
      <c r="G195" t="str">
        <f>IF(O195&lt;&gt;"",O195,"")</f>
        <v/>
      </c>
      <c r="H195" t="str">
        <f>IF(P195&lt;&gt;"",P195,"")</f>
        <v/>
      </c>
      <c r="I195" t="str">
        <f>IF(M195="NA","NA",IF(AND(M195&lt;&gt;"",OR(M195="NS",M195&gt;=0)),1,"-"))</f>
        <v>-</v>
      </c>
      <c r="J195" t="str">
        <f>IF(N195="NA","NA",IF(AND(N195&lt;&gt;"",OR(N195="NS",N195&gt;=0)),1,"-"))</f>
        <v>-</v>
      </c>
      <c r="K195" t="str">
        <f>IF(O195="NA","NA",IF(AND(O195&lt;&gt;"",OR(O195="NS",O195&gt;=0)),1,"-"))</f>
        <v>-</v>
      </c>
      <c r="L195" t="str">
        <f>IF(P195="NA","NA",IF(AND(P195&lt;&gt;"",OR(P195="NS",P195&gt;=0)),1,"-"))</f>
        <v>-</v>
      </c>
      <c r="R195" t="e">
        <f>IF(COUNTIF(M195:P202,"NA")/COUNTA(M195:P202)=1,"NA","")</f>
        <v>#DIV/0!</v>
      </c>
      <c r="S195" t="str">
        <f>IF(COUNTIF(M195:P202,0)&gt;0,0,"")</f>
        <v/>
      </c>
    </row>
    <row r="196">
      <c r="A196" t="str">
        <v>One Credit</v>
      </c>
      <c r="C196" t="str">
        <v>1 credit where the prescribed lighting performance in each type of common or service space in respect of light output and lighting quality is achieved.</v>
      </c>
    </row>
    <row r="198">
      <c r="C198" t="str">
        <v>Insert Credit Commentary Here</v>
      </c>
    </row>
    <row r="199">
      <c r="C199" t="str">
        <f>"Category A   " &amp; IFERROR(VLOOKUP(E195,AD:AE,2,FALSE),"")</f>
        <v xml:space="preserve">Category A   </v>
      </c>
    </row>
    <row r="200">
      <c r="C200" t="str">
        <f>"Category B   " &amp; IFERROR(VLOOKUP(F195,AD:AE,2,FALSE),"")</f>
        <v xml:space="preserve">Category B   </v>
      </c>
    </row>
    <row r="201">
      <c r="C201" t="str">
        <f>"Category C   " &amp; IFERROR(VLOOKUP(G195,AD:AE,2,FALSE),"")</f>
        <v xml:space="preserve">Category C   </v>
      </c>
    </row>
    <row r="202">
      <c r="C202" t="str">
        <f>"Category D   " &amp; IFERROR(VLOOKUP(H195,AD:AE,2,FALSE),"")</f>
        <v xml:space="preserve">Category D   </v>
      </c>
    </row>
    <row r="203">
      <c r="A203">
        <v>6.7</v>
      </c>
      <c r="C203" t="str">
        <v>ACOUSTICS AND NOISE</v>
      </c>
    </row>
    <row r="204">
      <c r="A204" t="str">
        <v>IEQ 18</v>
      </c>
      <c r="C204" t="str">
        <v>Room Acoustics</v>
      </c>
      <c r="E204" t="str">
        <f>IF(M204&lt;&gt;"",M204,"")</f>
        <v/>
      </c>
      <c r="F204" t="str">
        <f>IF(N204&lt;&gt;"",N204,"")</f>
        <v/>
      </c>
      <c r="G204" t="str">
        <f>IF(O204&lt;&gt;"",O204,"")</f>
        <v/>
      </c>
      <c r="H204" t="str">
        <f>IF(P204&lt;&gt;"",P204,"")</f>
        <v/>
      </c>
      <c r="I204" t="str">
        <f>IF(M204="NA","NA",IF(AND(M204&lt;&gt;"",OR(M204="NS",M204&gt;=0)),1,"-"))</f>
        <v>-</v>
      </c>
      <c r="J204" t="str">
        <f>IF(N204="NA","NA",IF(AND(N204&lt;&gt;"",OR(N204="NS",N204&gt;=0)),1,"-"))</f>
        <v>-</v>
      </c>
      <c r="K204" t="str">
        <f>IF(O204="NA","NA",IF(AND(O204&lt;&gt;"",OR(O204="NS",O204&gt;=0)),1,"-"))</f>
        <v>-</v>
      </c>
      <c r="L204" t="str">
        <f>IF(P204="NA","NA",IF(AND(P204&lt;&gt;"",OR(P204="NS",P204&gt;=0)),1,"-"))</f>
        <v>-</v>
      </c>
      <c r="Q204" t="str">
        <v>EXCLUSIONS: Buildings/premises where speech intelligibility is not important, and rooms of a special acoustical nature.</v>
      </c>
      <c r="R204" t="e">
        <f>IF(COUNTIF(M204:P211,"NA")/COUNTA(M204:P211)=1,"NA","")</f>
        <v>#DIV/0!</v>
      </c>
      <c r="S204" t="str">
        <f>IF(COUNTIF(M204:P211,0)&gt;0,0,"")</f>
        <v/>
      </c>
    </row>
    <row r="205">
      <c r="A205" t="str">
        <v>One Credit</v>
      </c>
      <c r="C205" t="str">
        <v>1 credit for demonstrating that internal noise levels are within the prescribed criteria and the mid-frequency reverberation time in applicable rooms meets the prescribed criteria for give types of premises.</v>
      </c>
    </row>
    <row r="207">
      <c r="C207" t="str">
        <v>Insert Credit Commentary Here</v>
      </c>
    </row>
    <row r="208">
      <c r="C208" t="str">
        <f>"Category A   " &amp; IFERROR(VLOOKUP(E204,AD:AE,2,FALSE),"")</f>
        <v xml:space="preserve">Category A   </v>
      </c>
    </row>
    <row r="209">
      <c r="C209" t="str">
        <f>"Category B   " &amp; IFERROR(VLOOKUP(F204,AD:AE,2,FALSE),"")</f>
        <v xml:space="preserve">Category B   </v>
      </c>
    </row>
    <row r="210">
      <c r="C210" t="str">
        <f>"Category C   " &amp; IFERROR(VLOOKUP(G204,AD:AE,2,FALSE),"")</f>
        <v xml:space="preserve">Category C   </v>
      </c>
    </row>
    <row r="211">
      <c r="C211" t="str">
        <f>"Category D   " &amp; IFERROR(VLOOKUP(H204,AD:AE,2,FALSE),"")</f>
        <v xml:space="preserve">Category D   </v>
      </c>
    </row>
    <row r="212">
      <c r="A212" t="str">
        <v>IEQ 19</v>
      </c>
      <c r="C212" t="str">
        <v>Noise Isolation</v>
      </c>
      <c r="E212" t="str">
        <f>IF(M212&lt;&gt;"",M212,"")</f>
        <v/>
      </c>
      <c r="F212" t="str">
        <f>IF(N212&lt;&gt;"",N212,"")</f>
        <v/>
      </c>
      <c r="G212" t="str">
        <f>IF(O212&lt;&gt;"",O212,"")</f>
        <v/>
      </c>
      <c r="H212" t="str">
        <f>IF(P212&lt;&gt;"",P212,"")</f>
        <v/>
      </c>
      <c r="I212" t="str">
        <f>IF(M212="NA","NA",IF(AND(M212&lt;&gt;"",OR(M212="NS",M212&gt;=0)),1,"-"))</f>
        <v>-</v>
      </c>
      <c r="J212" t="str">
        <f>IF(N212="NA","NA",IF(AND(N212&lt;&gt;"",OR(N212="NS",N212&gt;=0)),1,"-"))</f>
        <v>-</v>
      </c>
      <c r="K212" t="str">
        <f>IF(O212="NA","NA",IF(AND(O212&lt;&gt;"",OR(O212="NS",O212&gt;=0)),1,"-"))</f>
        <v>-</v>
      </c>
      <c r="L212" t="str">
        <f>IF(P212="NA","NA",IF(AND(P212&lt;&gt;"",OR(P212="NS",P212&gt;=0)),1,"-"))</f>
        <v>-</v>
      </c>
      <c r="Q212" t="str">
        <v>EXCLUSIONS: Buildings/premises which are inherently noisy and unaffected by noise from adjacent premises/spaces.</v>
      </c>
      <c r="R212" t="e">
        <f>IF(COUNTIF(M212:P219,"NA")/COUNTA(M212:P219)=1,"NA","")</f>
        <v>#DIV/0!</v>
      </c>
      <c r="S212" t="str">
        <f>IF(COUNTIF(M212:P219,0)&gt;0,0,"")</f>
        <v/>
      </c>
    </row>
    <row r="213">
      <c r="A213" t="str">
        <v>One Credit</v>
      </c>
      <c r="C213" t="str">
        <v>1 credit for demonstrating airborne and impact noise isolation between rooms, spaces and premises meets the prescribed criteria.</v>
      </c>
    </row>
    <row r="215">
      <c r="C215" t="str">
        <v>Insert Credit Commentary Here</v>
      </c>
    </row>
    <row r="216">
      <c r="C216" t="str">
        <f>"Category A   " &amp; IFERROR(VLOOKUP(E212,AD:AE,2,FALSE),"")</f>
        <v xml:space="preserve">Category A   </v>
      </c>
    </row>
    <row r="217">
      <c r="C217" t="str">
        <f>"Category B   " &amp; IFERROR(VLOOKUP(F212,AD:AE,2,FALSE),"")</f>
        <v xml:space="preserve">Category B   </v>
      </c>
    </row>
    <row r="218">
      <c r="C218" t="str">
        <f>"Category C   " &amp; IFERROR(VLOOKUP(G212,AD:AE,2,FALSE),"")</f>
        <v xml:space="preserve">Category C   </v>
      </c>
    </row>
    <row r="219">
      <c r="C219" t="str">
        <f>"Category D   " &amp; IFERROR(VLOOKUP(H212,AD:AE,2,FALSE),"")</f>
        <v xml:space="preserve">Category D   </v>
      </c>
    </row>
    <row r="220" xml:space="preserve">
      <c r="A220" t="str">
        <v>One Bonus Credit</v>
      </c>
      <c r="C220" t="str" xml:space="preserve">
        <v xml:space="preserve">For residential developments only,_x000d_
1 BONUS credit for demonstrating impact noise isolation between floors meets the prescribed criteria.</v>
      </c>
      <c r="E220" t="str">
        <f>IF(M220=1,"1B",M220)</f>
        <v>Insert No. of Credit(s) Here</v>
      </c>
      <c r="I220" t="str">
        <v>Bonus</v>
      </c>
      <c r="M220" t="str">
        <v>Insert No. of Credit(s) Here</v>
      </c>
      <c r="R220" t="str">
        <f>IF(M220="NA","NA","")</f>
        <v/>
      </c>
      <c r="S220" t="str">
        <f>IF(M220=0,0,"")</f>
        <v/>
      </c>
    </row>
    <row r="222">
      <c r="C222" t="str">
        <v>Insert Credit Commentary Here</v>
      </c>
    </row>
    <row r="223">
      <c r="C223" t="str">
        <f>IFERROR(VLOOKUP($E220,$AD:$AE,2,FALSE),"-")</f>
        <v>-</v>
      </c>
    </row>
    <row r="224">
      <c r="A224" t="str">
        <v>IEQ 20</v>
      </c>
      <c r="C224" t="str">
        <v>Background Noise</v>
      </c>
      <c r="E224" t="str">
        <f>IF(M224&lt;&gt;"",M224,"")</f>
        <v/>
      </c>
      <c r="F224" t="str">
        <f>IF(N224&lt;&gt;"",N224,"")</f>
        <v/>
      </c>
      <c r="G224" t="str">
        <f>IF(O224&lt;&gt;"",O224,"")</f>
        <v/>
      </c>
      <c r="H224" t="str">
        <f>IF(P224&lt;&gt;"",P224,"")</f>
        <v/>
      </c>
      <c r="I224" t="str">
        <f>IF(M224="NA","NA",IF(AND(M224&lt;&gt;"",OR(M224="NS",M224&gt;=0)),1,"-"))</f>
        <v>-</v>
      </c>
      <c r="J224" t="str">
        <f>IF(N224="NA","NA",IF(AND(N224&lt;&gt;"",OR(N224="NS",N224&gt;=0)),1,"-"))</f>
        <v>-</v>
      </c>
      <c r="K224" t="str">
        <f>IF(O224="NA","NA",IF(AND(O224&lt;&gt;"",OR(O224="NS",O224&gt;=0)),1,"-"))</f>
        <v>-</v>
      </c>
      <c r="L224" t="str">
        <f>IF(P224="NA","NA",IF(AND(P224&lt;&gt;"",OR(P224="NS",P224&gt;=0)),1,"-"))</f>
        <v>-</v>
      </c>
      <c r="Q224" t="str">
        <v>EXCLUSIONS: Buildings/premises in which speech intelligibility is not important.</v>
      </c>
      <c r="R224" t="e">
        <f>IF(COUNTIF(M224:P231,"NA")/COUNTA(M224:P231)=1,"NA","")</f>
        <v>#DIV/0!</v>
      </c>
      <c r="S224" t="str">
        <f>IF(COUNTIF(M224:P231,0)&gt;0,0,"")</f>
        <v/>
      </c>
    </row>
    <row r="225">
      <c r="A225" t="str">
        <v>One Credit</v>
      </c>
      <c r="C225" t="str">
        <v>1 credit for demonstrating background noise levels are within the prescribed criteria.</v>
      </c>
    </row>
    <row r="227">
      <c r="C227" t="str">
        <v>Insert Credit Commentary Here</v>
      </c>
    </row>
    <row r="228">
      <c r="C228" t="str">
        <f>"Category A   " &amp; IFERROR(VLOOKUP(E224,AD:AE,2,FALSE),"")</f>
        <v xml:space="preserve">Category A   </v>
      </c>
    </row>
    <row r="229">
      <c r="C229" t="str">
        <f>"Category B   " &amp; IFERROR(VLOOKUP(F224,AD:AE,2,FALSE),"")</f>
        <v xml:space="preserve">Category B   </v>
      </c>
    </row>
    <row r="230">
      <c r="C230" t="str">
        <f>"Category C   " &amp; IFERROR(VLOOKUP(G224,AD:AE,2,FALSE),"")</f>
        <v xml:space="preserve">Category C   </v>
      </c>
    </row>
    <row r="231">
      <c r="C231" t="str">
        <f>"Category D   " &amp; IFERROR(VLOOKUP(H224,AD:AE,2,FALSE),"")</f>
        <v xml:space="preserve">Category D   </v>
      </c>
    </row>
    <row r="232">
      <c r="A232" t="str">
        <v>IEQ 21</v>
      </c>
      <c r="C232" t="str">
        <v>Indoor Vibration</v>
      </c>
      <c r="E232" t="str">
        <f>IF(M232&lt;&gt;"",M232,"")</f>
        <v/>
      </c>
      <c r="F232" t="str">
        <f>IF(N232&lt;&gt;"",N232,"")</f>
        <v/>
      </c>
      <c r="G232" t="str">
        <f>IF(O232&lt;&gt;"",O232,"")</f>
        <v/>
      </c>
      <c r="H232" t="str">
        <f>IF(P232&lt;&gt;"",P232,"")</f>
        <v/>
      </c>
      <c r="I232" t="str">
        <f>IF(M232="NA","NA",IF(AND(M232&lt;&gt;"",OR(M232="NS",M232&gt;=0)),1,"-"))</f>
        <v>-</v>
      </c>
      <c r="J232" t="str">
        <f>IF(N232="NA","NA",IF(AND(N232&lt;&gt;"",OR(N232="NS",N232&gt;=0)),1,"-"))</f>
        <v>-</v>
      </c>
      <c r="K232" t="str">
        <f>IF(O232="NA","NA",IF(AND(O232&lt;&gt;"",OR(O232="NS",O232&gt;=0)),1,"-"))</f>
        <v>-</v>
      </c>
      <c r="L232" t="str">
        <f>IF(P232="NA","NA",IF(AND(P232&lt;&gt;"",OR(P232="NS",P232&gt;=0)),1,"-"))</f>
        <v>-</v>
      </c>
      <c r="R232" t="e">
        <f>IF(COUNTIF(M232:P239,"NA")/COUNTA(M232:P239)=1,"NA","")</f>
        <v>#DIV/0!</v>
      </c>
      <c r="S232" t="str">
        <f>IF(COUNTIF(M232:P239,0)&gt;0,0,"")</f>
        <v/>
      </c>
    </row>
    <row r="233">
      <c r="A233" t="str">
        <v>One Credit</v>
      </c>
      <c r="C233" t="str">
        <v>1 credit for demonstrating vibration levels do not exceed the prescribed criteria.</v>
      </c>
    </row>
    <row r="235">
      <c r="C235" t="str">
        <v>Insert Credit Commentary Here</v>
      </c>
    </row>
    <row r="236">
      <c r="C236" t="str">
        <f>"Category A   " &amp; IFERROR(VLOOKUP(E232,AD:AE,2,FALSE),"")</f>
        <v xml:space="preserve">Category A   </v>
      </c>
    </row>
    <row r="237">
      <c r="C237" t="str">
        <f>"Category B   " &amp; IFERROR(VLOOKUP(F232,AD:AE,2,FALSE),"")</f>
        <v xml:space="preserve">Category B   </v>
      </c>
    </row>
    <row r="238">
      <c r="C238" t="str">
        <f>"Category C   " &amp; IFERROR(VLOOKUP(G232,AD:AE,2,FALSE),"")</f>
        <v xml:space="preserve">Category C   </v>
      </c>
    </row>
    <row r="239">
      <c r="C239" t="str">
        <f>"Category D   " &amp; IFERROR(VLOOKUP(H232,AD:AE,2,FALSE),"")</f>
        <v xml:space="preserve">Category D   </v>
      </c>
    </row>
    <row r="240">
      <c r="A240">
        <v>6.8</v>
      </c>
      <c r="C240" t="str">
        <v>BUILDING AMENITIES</v>
      </c>
    </row>
    <row r="241">
      <c r="A241" t="str">
        <v>IEQ 22</v>
      </c>
      <c r="C241" t="str">
        <v>Access for Persons with Disability</v>
      </c>
      <c r="E241" t="str">
        <f>IF(M241&lt;&gt;"",M241,"")</f>
        <v/>
      </c>
      <c r="F241" t="str">
        <f>IF(N241&lt;&gt;"",N241,"")</f>
        <v/>
      </c>
      <c r="G241" t="str">
        <f>IF(O241&lt;&gt;"",O241,"")</f>
        <v/>
      </c>
      <c r="H241" t="str">
        <f>IF(P241&lt;&gt;"",P241,"")</f>
        <v/>
      </c>
      <c r="I241" t="str">
        <f>IF(M241="NA","NA",IF(AND(M241&lt;&gt;"",OR(M241="NS",M241&gt;=0)),1,"-"))</f>
        <v>-</v>
      </c>
      <c r="J241" t="str">
        <f>IF(N241="NA","NA",IF(AND(N241&lt;&gt;"",OR(N241="NS",N241&gt;=0)),1,"-"))</f>
        <v>-</v>
      </c>
      <c r="K241" t="str">
        <f>IF(O241="NA","NA",IF(AND(O241&lt;&gt;"",OR(O241="NS",O241&gt;=0)),1,"-"))</f>
        <v>-</v>
      </c>
      <c r="L241" t="str">
        <f>IF(P241="NA","NA",IF(AND(P241&lt;&gt;"",OR(P241="NS",P241&gt;=0)),1,"-"))</f>
        <v>-</v>
      </c>
      <c r="R241" t="e">
        <f>IF(COUNTIF(M241:P248,"NA")/COUNTA(M241:P248)=1,"NA","")</f>
        <v>#DIV/0!</v>
      </c>
      <c r="S241" t="str">
        <f>IF(COUNTIF(M241:P248,0)&gt;0,0,"")</f>
        <v/>
      </c>
    </row>
    <row r="242">
      <c r="A242" t="str">
        <v>One Credit</v>
      </c>
      <c r="C242" t="str">
        <v>1 credit for providing at least 3 enhanced provisions</v>
      </c>
    </row>
    <row r="244">
      <c r="C244" t="str">
        <v>Insert Credit Commentary Here</v>
      </c>
    </row>
    <row r="245">
      <c r="C245" t="str">
        <f>"Category A   " &amp; IFERROR(VLOOKUP(E241,AD:AE,2,FALSE),"")</f>
        <v xml:space="preserve">Category A   </v>
      </c>
    </row>
    <row r="246">
      <c r="C246" t="str">
        <f>"Category B   " &amp; IFERROR(VLOOKUP(F241,AD:AE,2,FALSE),"")</f>
        <v xml:space="preserve">Category B   </v>
      </c>
    </row>
    <row r="247">
      <c r="C247" t="str">
        <f>"Category C   " &amp; IFERROR(VLOOKUP(G241,AD:AE,2,FALSE),"")</f>
        <v xml:space="preserve">Category C   </v>
      </c>
    </row>
    <row r="248">
      <c r="C248" t="str">
        <f>"Category D   " &amp; IFERROR(VLOOKUP(H241,AD:AE,2,FALSE),"")</f>
        <v xml:space="preserve">Category D   </v>
      </c>
    </row>
    <row r="249">
      <c r="A249" t="str">
        <v>IEQ 23</v>
      </c>
      <c r="C249" t="str">
        <v xml:space="preserve">Amenity Features </v>
      </c>
      <c r="E249" t="str">
        <f>IF(M249&lt;&gt;"",M249,"")</f>
        <v/>
      </c>
      <c r="F249" t="str">
        <f>IF(N249&lt;&gt;"",N249,"")</f>
        <v/>
      </c>
      <c r="G249" t="str">
        <f>IF(O249&lt;&gt;"",O249,"")</f>
        <v/>
      </c>
      <c r="H249" t="str">
        <f>IF(P249&lt;&gt;"",P249,"")</f>
        <v/>
      </c>
      <c r="I249" t="str">
        <f>IF(M249="NA","NA",IF(AND(M249&lt;&gt;"",OR(M249="NS",M249&gt;=0)),1,"-"))</f>
        <v>-</v>
      </c>
      <c r="J249" t="str">
        <f>IF(N249="NA","NA",IF(AND(N249&lt;&gt;"",OR(N249="NS",N249&gt;=0)),1,"-"))</f>
        <v>-</v>
      </c>
      <c r="K249" t="str">
        <f>IF(O249="NA","NA",IF(AND(O249&lt;&gt;"",OR(O249="NS",O249&gt;=0)),1,"-"))</f>
        <v>-</v>
      </c>
      <c r="L249" t="str">
        <f>IF(P249="NA","NA",IF(AND(P249&lt;&gt;"",OR(P249="NS",P249&gt;=0)),1,"-"))</f>
        <v>-</v>
      </c>
      <c r="R249" t="e">
        <f>IF(COUNTIF(M249:P257,"NA")/COUNTA(M249:P257)=1,"NA","")</f>
        <v>#DIV/0!</v>
      </c>
      <c r="S249" t="str">
        <f>IF(COUNTIF(M249:P257,0)&gt;0,0,"")</f>
        <v/>
      </c>
    </row>
    <row r="250">
      <c r="A250" t="str">
        <v>IEQ 23a</v>
      </c>
      <c r="C250" t="str">
        <v>Amenities for the Benefit of Building Users</v>
      </c>
    </row>
    <row r="251">
      <c r="A251" t="str">
        <v>One Credit</v>
      </c>
      <c r="C251" t="str">
        <v>1 credit for providing at least 3 amenity features that enhance the quality and functionality of a building to the benefit of building users.</v>
      </c>
    </row>
    <row r="253">
      <c r="C253" t="str">
        <v>Insert Credit Commentary Here</v>
      </c>
    </row>
    <row r="254">
      <c r="C254" t="str">
        <f>"Category A   " &amp; IFERROR(VLOOKUP(E249,AD:AE,2,FALSE),"")</f>
        <v xml:space="preserve">Category A   </v>
      </c>
    </row>
    <row r="255">
      <c r="C255" t="str">
        <f>"Category B   " &amp; IFERROR(VLOOKUP(F249,AD:AE,2,FALSE),"")</f>
        <v xml:space="preserve">Category B   </v>
      </c>
    </row>
    <row r="256">
      <c r="C256" t="str">
        <f>"Category C   " &amp; IFERROR(VLOOKUP(G249,AD:AE,2,FALSE),"")</f>
        <v xml:space="preserve">Category C   </v>
      </c>
    </row>
    <row r="257">
      <c r="C257" t="str">
        <f>"Category D   " &amp; IFERROR(VLOOKUP(H249,AD:AE,2,FALSE),"")</f>
        <v xml:space="preserve">Category D   </v>
      </c>
    </row>
    <row r="258">
      <c r="A258" t="str">
        <v>IEQ 23b</v>
      </c>
      <c r="C258" t="str">
        <v>Amenities for Improved Operation and Maintenance</v>
      </c>
      <c r="E258" t="str">
        <f>IF(M258&lt;&gt;"",M258,"")</f>
        <v/>
      </c>
      <c r="F258" t="str">
        <f>IF(N258&lt;&gt;"",N258,"")</f>
        <v/>
      </c>
      <c r="G258" t="str">
        <f>IF(O258&lt;&gt;"",O258,"")</f>
        <v/>
      </c>
      <c r="H258" t="str">
        <f>IF(P258&lt;&gt;"",P258,"")</f>
        <v/>
      </c>
      <c r="I258" t="str">
        <f>IF(M258="NA","NA",IF(AND(M258&lt;&gt;"",OR(M258="NS",M258&gt;=0)),1,"-"))</f>
        <v>-</v>
      </c>
      <c r="J258" t="str">
        <f>IF(N258="NA","NA",IF(AND(N258&lt;&gt;"",OR(N258="NS",N258&gt;=0)),1,"-"))</f>
        <v>-</v>
      </c>
      <c r="K258" t="str">
        <f>IF(O258="NA","NA",IF(AND(O258&lt;&gt;"",OR(O258="NS",O258&gt;=0)),1,"-"))</f>
        <v>-</v>
      </c>
      <c r="L258" t="str">
        <f>IF(P258="NA","NA",IF(AND(P258&lt;&gt;"",OR(P258="NS",P258&gt;=0)),1,"-"))</f>
        <v>-</v>
      </c>
      <c r="R258" t="e">
        <f>IF(COUNTIF(M258:P265,"NA")/COUNTA(M258:P265)=1,"NA","")</f>
        <v>#DIV/0!</v>
      </c>
      <c r="S258" t="str">
        <f>IF(COUNTIF(M258:P265,0)&gt;0,0,"")</f>
        <v/>
      </c>
    </row>
    <row r="259">
      <c r="A259" t="str">
        <v>One Credit</v>
      </c>
      <c r="C259" t="str">
        <v>1 credit for providing at least 3 amenity features that allow for improved operation and maintenance of the building and its engineering services.</v>
      </c>
    </row>
    <row r="261">
      <c r="C261" t="str">
        <v>Insert Credit Commentary Here</v>
      </c>
    </row>
    <row r="262">
      <c r="C262" t="str">
        <f>"Category A   " &amp; IFERROR(VLOOKUP(E258,AD:AE,2,FALSE),"")</f>
        <v xml:space="preserve">Category A   </v>
      </c>
    </row>
    <row r="263">
      <c r="C263" t="str">
        <f>"Category B   " &amp; IFERROR(VLOOKUP(F258,AD:AE,2,FALSE),"")</f>
        <v xml:space="preserve">Category B   </v>
      </c>
    </row>
    <row r="264">
      <c r="C264" t="str">
        <f>"Category C   " &amp; IFERROR(VLOOKUP(G258,AD:AE,2,FALSE),"")</f>
        <v xml:space="preserve">Category C   </v>
      </c>
    </row>
    <row r="265">
      <c r="C265" t="str">
        <f>"Category D   " &amp; IFERROR(VLOOKUP(H258,AD:AE,2,FALSE),"")</f>
        <v xml:space="preserve">Category D   </v>
      </c>
    </row>
    <row r="266">
      <c r="A266" t="str">
        <v>Sub-Total Number of Applicable IEQ Credit</v>
      </c>
      <c r="E266">
        <f>I266</f>
        <v>0</v>
      </c>
      <c r="F266">
        <f>J266</f>
        <v>0</v>
      </c>
      <c r="G266">
        <f>K266</f>
        <v>0</v>
      </c>
      <c r="H266">
        <f>L266</f>
        <v>0</v>
      </c>
      <c r="I266">
        <f>SUM(I16:I265)</f>
        <v>0</v>
      </c>
      <c r="J266">
        <f>SUM(J16:J265)</f>
        <v>0</v>
      </c>
      <c r="K266">
        <f>SUM(K16:K265)</f>
        <v>0</v>
      </c>
      <c r="L266">
        <f>SUM(L16:L265)</f>
        <v>0</v>
      </c>
      <c r="Q266" t="str">
        <v>Excluding Bonus Credits</v>
      </c>
    </row>
    <row r="267">
      <c r="A267" t="str">
        <v>Number of Achieved IEQ Credit</v>
      </c>
      <c r="E267">
        <f>M267</f>
        <v>0</v>
      </c>
      <c r="F267">
        <f>N267</f>
        <v>0</v>
      </c>
      <c r="G267">
        <f>O267</f>
        <v>0</v>
      </c>
      <c r="H267">
        <f>P267</f>
        <v>0</v>
      </c>
      <c r="M267">
        <f>SUM(M16,M25,M33:M48,M50:M90,M92:M133,M140:M173,M175:M190,M195,M204:M219,M224:M239,M241:M265)</f>
        <v>0</v>
      </c>
      <c r="N267">
        <f>SUM(N16,N25,N33:N48,N50:N90,N92:N133,N140:N173,N175:N190,N195,N204:N219,N224:N239,N241:N265)</f>
        <v>0</v>
      </c>
      <c r="O267">
        <f>SUM(O16,O25,O33:O48,O50:O90,O92:O133,O140:O173,O175:O190,O195,O204:O219,O224:O239,O241:O265)</f>
        <v>0</v>
      </c>
      <c r="P267">
        <f>SUM(P16,P25,P33:P48,P50:P90,P92:P133,P140:P173,P175:P190,P195,P204:P219,P224:P239,P241:P265)</f>
        <v>0</v>
      </c>
    </row>
    <row r="278">
      <c r="A278" t="str">
        <v xml:space="preserve"> </v>
      </c>
    </row>
    <row r="295">
      <c r="AD295" t="str">
        <v>NS</v>
      </c>
      <c r="AE295" t="str">
        <f>"No information was submitted. Credit is not achieved in the "&amp; 'Project Summary'!C9 &amp; "."</f>
        <v>No information was submitted. Credit is not achieved in the Provisional Assessment.</v>
      </c>
      <c r="AG295" t="str">
        <v>PR</v>
      </c>
      <c r="AH295" t="str">
        <f>"The prerequisite is achieved in the " &amp; 'Project Summary'!C9&amp; "."</f>
        <v>The prerequisite is achieved in the Provisional Assessment.</v>
      </c>
    </row>
    <row r="296">
      <c r="AD296" t="str">
        <v>NA</v>
      </c>
      <c r="AE296" t="str">
        <f>"Credit is not applicable in the "&amp; 'Project Summary'!C9 &amp; "."</f>
        <v>Credit is not applicable in the Provisional Assessment.</v>
      </c>
      <c r="AG296" t="str">
        <v>NA</v>
      </c>
      <c r="AH296" t="str">
        <f>"The prerequisite is not applicable in the " &amp; 'Project Summary'!C9&amp; "."</f>
        <v>The prerequisite is not applicable in the Provisional Assessment.</v>
      </c>
    </row>
    <row r="297">
      <c r="AD297">
        <v>0</v>
      </c>
      <c r="AE297" t="str">
        <f>"Credit is not achieved in the "&amp; 'Project Summary'!C9 &amp; "."</f>
        <v>Credit is not achieved in the Provisional Assessment.</v>
      </c>
      <c r="AG297">
        <v>0</v>
      </c>
      <c r="AH297" t="str">
        <f>"The prerequisite is not achieved in the " &amp; 'Project Summary'!C9&amp; "."</f>
        <v>The prerequisite is not achieved in the Provisional Assessment.</v>
      </c>
    </row>
    <row r="298">
      <c r="AD298">
        <v>1</v>
      </c>
      <c r="AE298" t="str">
        <f>"1 credit is achieved in the "&amp; 'Project Summary'!C9 &amp; "."</f>
        <v>1 credit is achieved in the Provisional Assessment.</v>
      </c>
    </row>
    <row r="299">
      <c r="AD299">
        <v>2</v>
      </c>
      <c r="AE299" t="str">
        <f>"2 credits are achieved in the "&amp; 'Project Summary'!C9 &amp; "."</f>
        <v>2 credits are achieved in the Provisional Assessment.</v>
      </c>
    </row>
    <row r="301">
      <c r="AD301">
        <v>3</v>
      </c>
      <c r="AE301" t="str">
        <f>"3 credits are achieved in the "&amp; 'Project Summary'!C9 &amp; "."</f>
        <v>3 credits are achieved in the Provisional Assessment.</v>
      </c>
    </row>
    <row r="302">
      <c r="AD302">
        <v>4</v>
      </c>
      <c r="AE302" t="str">
        <f>"4 credits are achieved in the "&amp; 'Project Summary'!C9 &amp; "."</f>
        <v>4 credits are achieved in the Provisional Assessment.</v>
      </c>
    </row>
    <row r="303">
      <c r="AD303">
        <v>5</v>
      </c>
      <c r="AE303" t="str">
        <f>"5 credits are achieved in the "&amp; 'Project Summary'!C9 &amp; "."</f>
        <v>5 credits are achieved in the Provisional Assessment.</v>
      </c>
    </row>
    <row r="304">
      <c r="AD304">
        <v>6</v>
      </c>
      <c r="AE304" t="str">
        <f>"6 credits are achieved in the "&amp; 'Project Summary'!C9 &amp; "."</f>
        <v>6 credits are achieved in the Provisional Assessment.</v>
      </c>
    </row>
    <row r="305">
      <c r="AD305">
        <v>7</v>
      </c>
      <c r="AE305" t="str">
        <f>"7 credits are achieved in the "&amp; 'Project Summary'!C9 &amp; "."</f>
        <v>7 credits are achieved in the Provisional Assessment.</v>
      </c>
    </row>
    <row r="306">
      <c r="AD306">
        <v>8</v>
      </c>
      <c r="AE306" t="str">
        <f>"8 credits are achieved in the "&amp; 'Project Summary'!C9 &amp; "."</f>
        <v>8 credits are achieved in the Provisional Assessment.</v>
      </c>
    </row>
    <row r="307">
      <c r="AD307">
        <v>9</v>
      </c>
      <c r="AE307" t="str">
        <f>"9 credits are achieved in the "&amp; 'Project Summary'!C9 &amp; "."</f>
        <v>9 credits are achieved in the Provisional Assessment.</v>
      </c>
    </row>
    <row r="308">
      <c r="AD308">
        <v>10</v>
      </c>
      <c r="AE308" t="str">
        <f>"10 credits are achieved in the "&amp; 'Project Summary'!C9 &amp; "."</f>
        <v>10 credits are achieved in the Provisional Assessment.</v>
      </c>
    </row>
    <row r="309">
      <c r="AD309">
        <v>11</v>
      </c>
      <c r="AE309" t="str">
        <f>"11 credits are achieved in the "&amp; 'Project Summary'!C9 &amp; "."</f>
        <v>11 credits are achieved in the Provisional Assessment.</v>
      </c>
    </row>
    <row r="310">
      <c r="AD310">
        <v>12</v>
      </c>
      <c r="AE310" t="str">
        <f>"12 credits are achieved in the "&amp; 'Project Summary'!C9 &amp; "."</f>
        <v>12 credits are achieved in the Provisional Assessment.</v>
      </c>
    </row>
    <row r="311">
      <c r="AD311">
        <v>13</v>
      </c>
      <c r="AE311" t="str">
        <f>"13 credits are achieved in the "&amp; 'Project Summary'!C9 &amp; "."</f>
        <v>13 credits are achieved in the Provisional Assessment.</v>
      </c>
    </row>
    <row r="312">
      <c r="AD312">
        <v>14</v>
      </c>
      <c r="AE312" t="str">
        <f>"14 credits are achieved in the "&amp; 'Project Summary'!C9 &amp; "."</f>
        <v>14 credits are achieved in the Provisional Assessment.</v>
      </c>
    </row>
    <row r="313">
      <c r="AD313">
        <v>15</v>
      </c>
      <c r="AE313" t="str">
        <f>"15 credits are achieved in the "&amp; 'Project Summary'!C9 &amp; "."</f>
        <v>15 credits are achieved in the Provisional Assessment.</v>
      </c>
    </row>
    <row r="314">
      <c r="AD314" t="str">
        <v>1B</v>
      </c>
      <c r="AE314" t="str">
        <f>"1 Bonus credit is achieved in the "&amp; 'Project Summary'!C9 &amp; "."</f>
        <v>1 Bonus credit is achieved in the Provisional Assessment.</v>
      </c>
    </row>
    <row r="318">
      <c r="AC318" t="str">
        <v>List</v>
      </c>
    </row>
    <row r="319">
      <c r="AC319" t="str">
        <v>PR</v>
      </c>
    </row>
    <row r="320">
      <c r="AC320" t="str">
        <v>NA</v>
      </c>
    </row>
    <row r="321">
      <c r="AC321">
        <v>0</v>
      </c>
    </row>
    <row r="323">
      <c r="AC323" t="str">
        <v>NA</v>
      </c>
    </row>
    <row r="324">
      <c r="AC324" t="str">
        <v>NS</v>
      </c>
    </row>
    <row r="325">
      <c r="AC325">
        <v>1</v>
      </c>
    </row>
    <row r="326">
      <c r="AC326">
        <v>0</v>
      </c>
    </row>
    <row r="328">
      <c r="AC328" t="str">
        <v>NA</v>
      </c>
    </row>
    <row r="329">
      <c r="AC329" t="str">
        <v>NS</v>
      </c>
    </row>
    <row r="330">
      <c r="AC330">
        <v>2</v>
      </c>
    </row>
    <row r="331">
      <c r="AC331">
        <v>1</v>
      </c>
    </row>
    <row r="332">
      <c r="AC332">
        <v>0</v>
      </c>
    </row>
    <row r="334">
      <c r="AC334" t="str">
        <v>NA</v>
      </c>
    </row>
    <row r="335">
      <c r="AC335">
        <v>1</v>
      </c>
    </row>
    <row r="337">
      <c r="AC337" t="str">
        <v>NA</v>
      </c>
    </row>
    <row r="338">
      <c r="AC338">
        <v>3</v>
      </c>
    </row>
    <row r="340">
      <c r="AC340" t="str">
        <v>NA</v>
      </c>
    </row>
    <row r="341">
      <c r="AC341" t="str">
        <v>NS</v>
      </c>
    </row>
    <row r="342">
      <c r="AC342">
        <v>3</v>
      </c>
    </row>
    <row r="343">
      <c r="AC343">
        <v>2</v>
      </c>
    </row>
    <row r="344">
      <c r="AC344">
        <v>1</v>
      </c>
    </row>
    <row r="345">
      <c r="AC345">
        <v>0</v>
      </c>
    </row>
  </sheetData>
  <mergeCells count="476">
    <mergeCell ref="S175:S182"/>
    <mergeCell ref="M75:M76"/>
    <mergeCell ref="N75:N76"/>
    <mergeCell ref="O75:O76"/>
    <mergeCell ref="P75:P76"/>
    <mergeCell ref="R149:R156"/>
    <mergeCell ref="R157:R165"/>
    <mergeCell ref="R166:R173"/>
    <mergeCell ref="R175:R182"/>
    <mergeCell ref="P108:P116"/>
    <mergeCell ref="M83:M90"/>
    <mergeCell ref="N83:N90"/>
    <mergeCell ref="O83:O90"/>
    <mergeCell ref="P83:P90"/>
    <mergeCell ref="M92:M99"/>
    <mergeCell ref="N92:N99"/>
    <mergeCell ref="O92:O99"/>
    <mergeCell ref="P92:P99"/>
    <mergeCell ref="N125:N133"/>
    <mergeCell ref="O125:O133"/>
    <mergeCell ref="P125:P133"/>
    <mergeCell ref="M100:M107"/>
    <mergeCell ref="N100:N107"/>
    <mergeCell ref="M149:M156"/>
    <mergeCell ref="S266:S267"/>
    <mergeCell ref="S195:S202"/>
    <mergeCell ref="S204:S211"/>
    <mergeCell ref="S212:S219"/>
    <mergeCell ref="S220:S223"/>
    <mergeCell ref="S224:S231"/>
    <mergeCell ref="S232:S239"/>
    <mergeCell ref="S241:S248"/>
    <mergeCell ref="S249:S257"/>
    <mergeCell ref="S50:S58"/>
    <mergeCell ref="S59:S66"/>
    <mergeCell ref="S67:S74"/>
    <mergeCell ref="S75:S82"/>
    <mergeCell ref="S83:S90"/>
    <mergeCell ref="S92:S99"/>
    <mergeCell ref="R241:R248"/>
    <mergeCell ref="R249:R257"/>
    <mergeCell ref="R258:R265"/>
    <mergeCell ref="R75:R82"/>
    <mergeCell ref="R83:R90"/>
    <mergeCell ref="R92:R99"/>
    <mergeCell ref="S183:S190"/>
    <mergeCell ref="S191:S194"/>
    <mergeCell ref="S100:S107"/>
    <mergeCell ref="S108:S116"/>
    <mergeCell ref="S117:S124"/>
    <mergeCell ref="S125:S133"/>
    <mergeCell ref="S134:S138"/>
    <mergeCell ref="S140:S148"/>
    <mergeCell ref="S149:S156"/>
    <mergeCell ref="S157:S165"/>
    <mergeCell ref="S258:S265"/>
    <mergeCell ref="S166:S173"/>
    <mergeCell ref="R266:R267"/>
    <mergeCell ref="S6:S8"/>
    <mergeCell ref="S10:S14"/>
    <mergeCell ref="S16:S23"/>
    <mergeCell ref="S25:S32"/>
    <mergeCell ref="S33:S40"/>
    <mergeCell ref="S41:S48"/>
    <mergeCell ref="R195:R202"/>
    <mergeCell ref="R204:R211"/>
    <mergeCell ref="R212:R219"/>
    <mergeCell ref="R220:R223"/>
    <mergeCell ref="R224:R231"/>
    <mergeCell ref="R232:R239"/>
    <mergeCell ref="R183:R190"/>
    <mergeCell ref="R191:R194"/>
    <mergeCell ref="R100:R107"/>
    <mergeCell ref="R108:R116"/>
    <mergeCell ref="R117:R124"/>
    <mergeCell ref="R125:R133"/>
    <mergeCell ref="R134:R138"/>
    <mergeCell ref="R140:R148"/>
    <mergeCell ref="R50:R58"/>
    <mergeCell ref="R59:R66"/>
    <mergeCell ref="R67:R74"/>
    <mergeCell ref="R6:R8"/>
    <mergeCell ref="R10:R14"/>
    <mergeCell ref="R16:R23"/>
    <mergeCell ref="R25:R32"/>
    <mergeCell ref="R33:R40"/>
    <mergeCell ref="R41:R48"/>
    <mergeCell ref="F258:F265"/>
    <mergeCell ref="E249:E257"/>
    <mergeCell ref="L75:L82"/>
    <mergeCell ref="E92:E99"/>
    <mergeCell ref="F92:F99"/>
    <mergeCell ref="H249:H257"/>
    <mergeCell ref="G92:G99"/>
    <mergeCell ref="H92:H99"/>
    <mergeCell ref="H108:H116"/>
    <mergeCell ref="E108:E116"/>
    <mergeCell ref="G241:G248"/>
    <mergeCell ref="H241:H248"/>
    <mergeCell ref="G249:G257"/>
    <mergeCell ref="F100:F107"/>
    <mergeCell ref="E241:E248"/>
    <mergeCell ref="E224:E231"/>
    <mergeCell ref="F108:F116"/>
    <mergeCell ref="G108:G116"/>
    <mergeCell ref="H117:H124"/>
    <mergeCell ref="E100:E107"/>
    <mergeCell ref="Q266:Q267"/>
    <mergeCell ref="Q125:Q138"/>
    <mergeCell ref="Q140:Q156"/>
    <mergeCell ref="Q157:Q173"/>
    <mergeCell ref="Q175:Q182"/>
    <mergeCell ref="Q249:Q265"/>
    <mergeCell ref="Q183:Q194"/>
    <mergeCell ref="Q195:Q202"/>
    <mergeCell ref="Q204:Q211"/>
    <mergeCell ref="Q212:Q219"/>
    <mergeCell ref="Q224:Q231"/>
    <mergeCell ref="Q232:Q239"/>
    <mergeCell ref="Q241:Q248"/>
    <mergeCell ref="Q220:Q223"/>
    <mergeCell ref="F241:F248"/>
    <mergeCell ref="H204:H211"/>
    <mergeCell ref="E220:H223"/>
    <mergeCell ref="E212:E219"/>
    <mergeCell ref="F212:F219"/>
    <mergeCell ref="G212:G219"/>
    <mergeCell ref="F249:F257"/>
    <mergeCell ref="H100:H107"/>
    <mergeCell ref="Q10:Q14"/>
    <mergeCell ref="Q67:Q74"/>
    <mergeCell ref="Q50:Q66"/>
    <mergeCell ref="Q108:Q124"/>
    <mergeCell ref="Q16:Q23"/>
    <mergeCell ref="Q25:Q32"/>
    <mergeCell ref="Q33:Q40"/>
    <mergeCell ref="Q41:Q48"/>
    <mergeCell ref="Q83:Q90"/>
    <mergeCell ref="Q92:Q99"/>
    <mergeCell ref="Q100:Q107"/>
    <mergeCell ref="Q75:Q82"/>
    <mergeCell ref="A270:C272"/>
    <mergeCell ref="E258:E265"/>
    <mergeCell ref="E240:H240"/>
    <mergeCell ref="E203:H203"/>
    <mergeCell ref="F117:F124"/>
    <mergeCell ref="G117:G124"/>
    <mergeCell ref="G125:G133"/>
    <mergeCell ref="E83:E90"/>
    <mergeCell ref="A277:C277"/>
    <mergeCell ref="H125:H133"/>
    <mergeCell ref="E125:E133"/>
    <mergeCell ref="F125:F133"/>
    <mergeCell ref="G100:G107"/>
    <mergeCell ref="E134:H138"/>
    <mergeCell ref="E139:H139"/>
    <mergeCell ref="E140:E148"/>
    <mergeCell ref="F140:F148"/>
    <mergeCell ref="G140:G148"/>
    <mergeCell ref="H140:H148"/>
    <mergeCell ref="G149:G156"/>
    <mergeCell ref="H149:H156"/>
    <mergeCell ref="E157:E165"/>
    <mergeCell ref="F157:F165"/>
    <mergeCell ref="G157:G165"/>
    <mergeCell ref="A278:C278"/>
    <mergeCell ref="A269:C269"/>
    <mergeCell ref="E6:H6"/>
    <mergeCell ref="E7:H7"/>
    <mergeCell ref="A6:D8"/>
    <mergeCell ref="E9:H9"/>
    <mergeCell ref="E10:H14"/>
    <mergeCell ref="E117:E124"/>
    <mergeCell ref="A275:C275"/>
    <mergeCell ref="F83:F90"/>
    <mergeCell ref="G83:G90"/>
    <mergeCell ref="H83:H90"/>
    <mergeCell ref="E49:H49"/>
    <mergeCell ref="E15:H15"/>
    <mergeCell ref="E16:E23"/>
    <mergeCell ref="F16:F23"/>
    <mergeCell ref="G16:G23"/>
    <mergeCell ref="H16:H23"/>
    <mergeCell ref="E25:E32"/>
    <mergeCell ref="F25:F32"/>
    <mergeCell ref="G25:G32"/>
    <mergeCell ref="H25:H32"/>
    <mergeCell ref="E33:E40"/>
    <mergeCell ref="F33:F40"/>
    <mergeCell ref="G33:G40"/>
    <mergeCell ref="H33:H40"/>
    <mergeCell ref="G41:G48"/>
    <mergeCell ref="H41:H48"/>
    <mergeCell ref="E41:E48"/>
    <mergeCell ref="F41:F48"/>
    <mergeCell ref="E50:E58"/>
    <mergeCell ref="F50:F58"/>
    <mergeCell ref="G50:G58"/>
    <mergeCell ref="H50:H58"/>
    <mergeCell ref="E59:E66"/>
    <mergeCell ref="F59:F66"/>
    <mergeCell ref="G59:G66"/>
    <mergeCell ref="H59:H66"/>
    <mergeCell ref="G67:G74"/>
    <mergeCell ref="H67:H74"/>
    <mergeCell ref="E75:E82"/>
    <mergeCell ref="F75:F82"/>
    <mergeCell ref="G75:G82"/>
    <mergeCell ref="H75:H82"/>
    <mergeCell ref="E67:E74"/>
    <mergeCell ref="F67:F74"/>
    <mergeCell ref="H157:H165"/>
    <mergeCell ref="E149:E156"/>
    <mergeCell ref="F149:F156"/>
    <mergeCell ref="G166:G173"/>
    <mergeCell ref="H166:H173"/>
    <mergeCell ref="E174:H174"/>
    <mergeCell ref="E175:E182"/>
    <mergeCell ref="F175:F182"/>
    <mergeCell ref="G175:G182"/>
    <mergeCell ref="H175:H182"/>
    <mergeCell ref="E166:E173"/>
    <mergeCell ref="F166:F173"/>
    <mergeCell ref="H224:H231"/>
    <mergeCell ref="E232:E239"/>
    <mergeCell ref="F232:F239"/>
    <mergeCell ref="G232:G239"/>
    <mergeCell ref="H232:H239"/>
    <mergeCell ref="F224:F231"/>
    <mergeCell ref="E191:H194"/>
    <mergeCell ref="E183:E190"/>
    <mergeCell ref="F183:F190"/>
    <mergeCell ref="H183:H190"/>
    <mergeCell ref="E195:E202"/>
    <mergeCell ref="F195:F202"/>
    <mergeCell ref="G195:G202"/>
    <mergeCell ref="H195:H202"/>
    <mergeCell ref="G183:G190"/>
    <mergeCell ref="A276:C276"/>
    <mergeCell ref="G258:G265"/>
    <mergeCell ref="H258:H265"/>
    <mergeCell ref="A273:C273"/>
    <mergeCell ref="A274:C274"/>
    <mergeCell ref="I6:L6"/>
    <mergeCell ref="I7:L7"/>
    <mergeCell ref="I10:L14"/>
    <mergeCell ref="I16:I23"/>
    <mergeCell ref="J16:J23"/>
    <mergeCell ref="K16:K23"/>
    <mergeCell ref="L16:L23"/>
    <mergeCell ref="I9:Q9"/>
    <mergeCell ref="N16:N23"/>
    <mergeCell ref="Q6:Q8"/>
    <mergeCell ref="I25:I32"/>
    <mergeCell ref="J25:J32"/>
    <mergeCell ref="K25:K32"/>
    <mergeCell ref="L25:L32"/>
    <mergeCell ref="I33:I40"/>
    <mergeCell ref="J33:J40"/>
    <mergeCell ref="K33:K40"/>
    <mergeCell ref="L33:L40"/>
    <mergeCell ref="I41:I48"/>
    <mergeCell ref="J41:J48"/>
    <mergeCell ref="K41:K48"/>
    <mergeCell ref="L41:L48"/>
    <mergeCell ref="I50:I58"/>
    <mergeCell ref="J50:J58"/>
    <mergeCell ref="K50:K58"/>
    <mergeCell ref="L50:L58"/>
    <mergeCell ref="I59:I66"/>
    <mergeCell ref="J59:J66"/>
    <mergeCell ref="K59:K66"/>
    <mergeCell ref="L59:L66"/>
    <mergeCell ref="I92:I99"/>
    <mergeCell ref="J92:J99"/>
    <mergeCell ref="K92:K99"/>
    <mergeCell ref="L92:L99"/>
    <mergeCell ref="I100:I107"/>
    <mergeCell ref="J100:J107"/>
    <mergeCell ref="K100:K107"/>
    <mergeCell ref="I67:I74"/>
    <mergeCell ref="J67:J74"/>
    <mergeCell ref="K67:K74"/>
    <mergeCell ref="L67:L74"/>
    <mergeCell ref="L100:L107"/>
    <mergeCell ref="I83:I90"/>
    <mergeCell ref="J83:J90"/>
    <mergeCell ref="K83:K90"/>
    <mergeCell ref="L83:L90"/>
    <mergeCell ref="I75:I82"/>
    <mergeCell ref="J75:J82"/>
    <mergeCell ref="K75:K82"/>
    <mergeCell ref="I125:I133"/>
    <mergeCell ref="J125:J133"/>
    <mergeCell ref="K125:K133"/>
    <mergeCell ref="L125:L133"/>
    <mergeCell ref="I134:L138"/>
    <mergeCell ref="I108:I116"/>
    <mergeCell ref="J108:J116"/>
    <mergeCell ref="K108:K116"/>
    <mergeCell ref="L108:L116"/>
    <mergeCell ref="I117:I124"/>
    <mergeCell ref="J117:J124"/>
    <mergeCell ref="K117:K124"/>
    <mergeCell ref="L117:L124"/>
    <mergeCell ref="I140:I148"/>
    <mergeCell ref="J140:J148"/>
    <mergeCell ref="K140:K148"/>
    <mergeCell ref="L140:L148"/>
    <mergeCell ref="I149:I156"/>
    <mergeCell ref="J149:J156"/>
    <mergeCell ref="K149:K156"/>
    <mergeCell ref="L149:L156"/>
    <mergeCell ref="I157:I165"/>
    <mergeCell ref="J157:J165"/>
    <mergeCell ref="K157:K165"/>
    <mergeCell ref="L157:L165"/>
    <mergeCell ref="J166:J173"/>
    <mergeCell ref="K166:K173"/>
    <mergeCell ref="L166:L173"/>
    <mergeCell ref="I195:I202"/>
    <mergeCell ref="J195:J202"/>
    <mergeCell ref="K195:K202"/>
    <mergeCell ref="L195:L202"/>
    <mergeCell ref="I183:I190"/>
    <mergeCell ref="J183:J190"/>
    <mergeCell ref="K183:K190"/>
    <mergeCell ref="L183:L190"/>
    <mergeCell ref="M6:P6"/>
    <mergeCell ref="M7:P7"/>
    <mergeCell ref="M10:P14"/>
    <mergeCell ref="M16:M23"/>
    <mergeCell ref="I241:I248"/>
    <mergeCell ref="J241:J248"/>
    <mergeCell ref="K241:K248"/>
    <mergeCell ref="L241:L248"/>
    <mergeCell ref="K232:K239"/>
    <mergeCell ref="L232:L239"/>
    <mergeCell ref="P16:P23"/>
    <mergeCell ref="M25:M32"/>
    <mergeCell ref="N25:N32"/>
    <mergeCell ref="O25:O32"/>
    <mergeCell ref="P25:P32"/>
    <mergeCell ref="M33:M40"/>
    <mergeCell ref="N33:N40"/>
    <mergeCell ref="O33:O40"/>
    <mergeCell ref="P33:P40"/>
    <mergeCell ref="O16:O23"/>
    <mergeCell ref="M41:M48"/>
    <mergeCell ref="N41:N48"/>
    <mergeCell ref="O41:O48"/>
    <mergeCell ref="P41:P48"/>
    <mergeCell ref="M50:M58"/>
    <mergeCell ref="N50:N58"/>
    <mergeCell ref="O50:O58"/>
    <mergeCell ref="P50:P58"/>
    <mergeCell ref="M59:M66"/>
    <mergeCell ref="N59:N66"/>
    <mergeCell ref="O59:O66"/>
    <mergeCell ref="P59:P66"/>
    <mergeCell ref="M67:M74"/>
    <mergeCell ref="N67:N74"/>
    <mergeCell ref="O67:O74"/>
    <mergeCell ref="P67:P74"/>
    <mergeCell ref="N149:N156"/>
    <mergeCell ref="O149:O156"/>
    <mergeCell ref="P149:P156"/>
    <mergeCell ref="M157:M165"/>
    <mergeCell ref="N157:N165"/>
    <mergeCell ref="O157:O165"/>
    <mergeCell ref="P157:P165"/>
    <mergeCell ref="O100:O107"/>
    <mergeCell ref="P100:P107"/>
    <mergeCell ref="M108:M116"/>
    <mergeCell ref="N108:N116"/>
    <mergeCell ref="O108:O116"/>
    <mergeCell ref="M134:P138"/>
    <mergeCell ref="M140:M148"/>
    <mergeCell ref="N140:N148"/>
    <mergeCell ref="O140:O148"/>
    <mergeCell ref="P140:P148"/>
    <mergeCell ref="M117:M124"/>
    <mergeCell ref="N117:N124"/>
    <mergeCell ref="O117:O124"/>
    <mergeCell ref="P117:P124"/>
    <mergeCell ref="M125:M133"/>
    <mergeCell ref="O183:O190"/>
    <mergeCell ref="P183:P190"/>
    <mergeCell ref="M191:P194"/>
    <mergeCell ref="I191:L194"/>
    <mergeCell ref="I220:L223"/>
    <mergeCell ref="M166:M173"/>
    <mergeCell ref="N166:N173"/>
    <mergeCell ref="O166:O173"/>
    <mergeCell ref="P166:P173"/>
    <mergeCell ref="M175:M182"/>
    <mergeCell ref="M183:M190"/>
    <mergeCell ref="N183:N190"/>
    <mergeCell ref="N175:N182"/>
    <mergeCell ref="O175:O182"/>
    <mergeCell ref="P175:P182"/>
    <mergeCell ref="I204:I211"/>
    <mergeCell ref="J204:J211"/>
    <mergeCell ref="K204:K211"/>
    <mergeCell ref="L204:L211"/>
    <mergeCell ref="I212:I219"/>
    <mergeCell ref="J212:J219"/>
    <mergeCell ref="K212:K219"/>
    <mergeCell ref="L212:L219"/>
    <mergeCell ref="I166:I173"/>
    <mergeCell ref="M195:M202"/>
    <mergeCell ref="N195:N202"/>
    <mergeCell ref="O195:O202"/>
    <mergeCell ref="P195:P202"/>
    <mergeCell ref="M204:M211"/>
    <mergeCell ref="N204:N211"/>
    <mergeCell ref="O204:O211"/>
    <mergeCell ref="P204:P211"/>
    <mergeCell ref="N224:N231"/>
    <mergeCell ref="N241:N248"/>
    <mergeCell ref="O241:O248"/>
    <mergeCell ref="P241:P248"/>
    <mergeCell ref="M212:M219"/>
    <mergeCell ref="N212:N219"/>
    <mergeCell ref="O212:O219"/>
    <mergeCell ref="P212:P219"/>
    <mergeCell ref="O224:O231"/>
    <mergeCell ref="P224:P231"/>
    <mergeCell ref="A267:C267"/>
    <mergeCell ref="I175:I182"/>
    <mergeCell ref="J175:J182"/>
    <mergeCell ref="K175:K182"/>
    <mergeCell ref="L175:L182"/>
    <mergeCell ref="I258:I265"/>
    <mergeCell ref="J258:J265"/>
    <mergeCell ref="K258:K265"/>
    <mergeCell ref="L258:L265"/>
    <mergeCell ref="I249:I257"/>
    <mergeCell ref="J249:J257"/>
    <mergeCell ref="K249:K257"/>
    <mergeCell ref="L249:L257"/>
    <mergeCell ref="I224:I231"/>
    <mergeCell ref="J224:J231"/>
    <mergeCell ref="K224:K231"/>
    <mergeCell ref="L224:L231"/>
    <mergeCell ref="I232:I239"/>
    <mergeCell ref="J232:J239"/>
    <mergeCell ref="H212:H219"/>
    <mergeCell ref="E204:E211"/>
    <mergeCell ref="F204:F211"/>
    <mergeCell ref="G204:G211"/>
    <mergeCell ref="G224:G231"/>
    <mergeCell ref="M77:M78"/>
    <mergeCell ref="M79:M82"/>
    <mergeCell ref="N77:N78"/>
    <mergeCell ref="O77:O78"/>
    <mergeCell ref="P77:P78"/>
    <mergeCell ref="N79:N82"/>
    <mergeCell ref="O79:O82"/>
    <mergeCell ref="P79:P82"/>
    <mergeCell ref="A266:C266"/>
    <mergeCell ref="O258:O265"/>
    <mergeCell ref="P258:P265"/>
    <mergeCell ref="M241:M248"/>
    <mergeCell ref="M220:P223"/>
    <mergeCell ref="M224:M231"/>
    <mergeCell ref="M249:M257"/>
    <mergeCell ref="N249:N257"/>
    <mergeCell ref="O249:O257"/>
    <mergeCell ref="P249:P257"/>
    <mergeCell ref="M232:M239"/>
    <mergeCell ref="M258:M265"/>
    <mergeCell ref="N258:N265"/>
    <mergeCell ref="N232:N239"/>
    <mergeCell ref="O232:O239"/>
    <mergeCell ref="P232:P239"/>
  </mergeCells>
  <pageMargins left="0.7877604166666666" right="0.5416666666666666" top="0.5208333333333334" bottom="0.7480314960629921" header="0.31496062992125984" footer="0.31496062992125984"/>
  <ignoredErrors>
    <ignoredError numberStoredAsText="1" sqref="A1:AH345"/>
  </ignoredErrors>
</worksheet>
</file>

<file path=xl/worksheets/sheet8.xml><?xml version="1.0" encoding="utf-8"?>
<worksheet xmlns="http://schemas.openxmlformats.org/spreadsheetml/2006/main" xmlns:r="http://schemas.openxmlformats.org/officeDocument/2006/relationships">
  <dimension ref="A1:K21"/>
  <sheetViews>
    <sheetView workbookViewId="0"/>
  </sheetViews>
  <sheetData>
    <row r="1">
      <c r="I1" t="str">
        <v>NB v1.2_20200504</v>
      </c>
    </row>
    <row r="2">
      <c r="H2" t="str">
        <f>'Project Summary'!C6</f>
        <v>2123-123XX(x)</v>
      </c>
    </row>
    <row r="3">
      <c r="H3" t="str">
        <f>"BEAM Plus " &amp; 'Project Summary'!C9 &amp; " Report For"</f>
        <v>BEAM Plus Provisional Assessment Report For</v>
      </c>
    </row>
    <row r="4">
      <c r="A4" t="str">
        <v>Appendix A - Credit Summary</v>
      </c>
      <c r="H4" t="str">
        <f>'Project Summary'!C7</f>
        <v>ABC Residential Development</v>
      </c>
    </row>
    <row r="6">
      <c r="A6" t="str">
        <v>Final Summary for Indoor Environmental Quality</v>
      </c>
    </row>
    <row r="8">
      <c r="A8" t="str">
        <v>Building Category</v>
      </c>
      <c r="D8" t="str">
        <v>Total credits available</v>
      </c>
      <c r="E8" t="str">
        <v>Credits achieved</v>
      </c>
      <c r="F8" t="str">
        <v>% of total CFA</v>
      </c>
      <c r="G8" t="str">
        <v>Weighted credits available</v>
      </c>
      <c r="H8" t="str">
        <v>Weighted credits achieved</v>
      </c>
    </row>
    <row r="11">
      <c r="A11" t="str">
        <v>A</v>
      </c>
      <c r="D11">
        <f>'IEQ Comment'!E266</f>
        <v>0</v>
      </c>
      <c r="E11">
        <f>'IEQ Comment'!E267</f>
        <v>0</v>
      </c>
      <c r="F11" t="e">
        <f>'IEQ Comment'!W2</f>
        <v>#DIV/0!</v>
      </c>
      <c r="G11" t="e">
        <f>D11*F11</f>
        <v>#DIV/0!</v>
      </c>
      <c r="H11" t="e">
        <f>E11*F11</f>
        <v>#DIV/0!</v>
      </c>
    </row>
    <row r="12">
      <c r="A12" t="str">
        <v>B</v>
      </c>
      <c r="D12">
        <f>'IEQ Comment'!F266</f>
        <v>0</v>
      </c>
      <c r="E12">
        <f>'IEQ Comment'!F267</f>
        <v>0</v>
      </c>
      <c r="F12" t="e">
        <f>'IEQ Comment'!W3</f>
        <v>#DIV/0!</v>
      </c>
      <c r="G12" t="e">
        <f>D12*F12</f>
        <v>#DIV/0!</v>
      </c>
      <c r="H12" t="e">
        <f>E12*F12</f>
        <v>#DIV/0!</v>
      </c>
    </row>
    <row r="13">
      <c r="A13" t="str">
        <v>C</v>
      </c>
      <c r="D13">
        <f>'IEQ Comment'!G266</f>
        <v>0</v>
      </c>
      <c r="E13">
        <f>'IEQ Comment'!G267</f>
        <v>0</v>
      </c>
      <c r="F13" t="e">
        <f>'IEQ Comment'!W4</f>
        <v>#DIV/0!</v>
      </c>
      <c r="G13" t="e">
        <f>D13*F13</f>
        <v>#DIV/0!</v>
      </c>
      <c r="H13" t="e">
        <f>E13*F13</f>
        <v>#DIV/0!</v>
      </c>
    </row>
    <row r="14">
      <c r="A14" t="str">
        <v>D</v>
      </c>
      <c r="D14">
        <f>'IEQ Comment'!H266</f>
        <v>0</v>
      </c>
      <c r="E14">
        <f>'IEQ Comment'!H267</f>
        <v>0</v>
      </c>
      <c r="F14" t="e">
        <f>'IEQ Comment'!W5</f>
        <v>#DIV/0!</v>
      </c>
      <c r="G14" t="e">
        <f>D14*F14</f>
        <v>#DIV/0!</v>
      </c>
      <c r="H14" t="e">
        <f>E14*F14</f>
        <v>#DIV/0!</v>
      </c>
    </row>
    <row r="15">
      <c r="A15" t="str">
        <v xml:space="preserve">Total IEQ Credit  </v>
      </c>
      <c r="G15" t="e">
        <f>SUM(G11:G14)</f>
        <v>#DIV/0!</v>
      </c>
      <c r="H15" t="e">
        <f>SUM(H11:H14)</f>
        <v>#DIV/0!</v>
      </c>
    </row>
  </sheetData>
  <mergeCells count="12">
    <mergeCell ref="A13:C13"/>
    <mergeCell ref="A14:C14"/>
    <mergeCell ref="A5:H5"/>
    <mergeCell ref="A15:F15"/>
    <mergeCell ref="A8:C10"/>
    <mergeCell ref="D8:D10"/>
    <mergeCell ref="E8:E10"/>
    <mergeCell ref="F8:F10"/>
    <mergeCell ref="G8:G10"/>
    <mergeCell ref="H8:H10"/>
    <mergeCell ref="A11:C11"/>
    <mergeCell ref="A12:C12"/>
  </mergeCells>
  <pageMargins left="0.7877604166666666" right="0.5416666666666666" top="0.5208333333333334" bottom="0.7480314960629921" header="0.31496062992125984" footer="0.31496062992125984"/>
  <ignoredErrors>
    <ignoredError numberStoredAsText="1" sqref="A1:K21"/>
  </ignoredErrors>
</worksheet>
</file>

<file path=xl/worksheets/sheet9.xml><?xml version="1.0" encoding="utf-8"?>
<worksheet xmlns="http://schemas.openxmlformats.org/spreadsheetml/2006/main" xmlns:r="http://schemas.openxmlformats.org/officeDocument/2006/relationships">
  <dimension ref="A1:Y416"/>
  <sheetViews>
    <sheetView workbookViewId="0"/>
  </sheetViews>
  <sheetData>
    <row r="1">
      <c r="I1" t="str">
        <v>NB v1.2_20200504</v>
      </c>
      <c r="Y1">
        <v>30</v>
      </c>
    </row>
    <row r="2">
      <c r="E2" t="str">
        <f>'Project Summary'!C6</f>
        <v>2123-123XX(x)</v>
      </c>
      <c r="Y2">
        <v>33</v>
      </c>
    </row>
    <row r="3">
      <c r="E3" t="str">
        <f>"BEAM Plus " &amp; 'Project Summary'!C9 &amp; " Report For"</f>
        <v>BEAM Plus Provisional Assessment Report For</v>
      </c>
      <c r="Y3">
        <v>36</v>
      </c>
    </row>
    <row r="4">
      <c r="A4" t="str">
        <v xml:space="preserve">Appendix A - Credit Summary </v>
      </c>
      <c r="E4" t="str">
        <f>'Project Summary'!C7</f>
        <v>ABC Residential Development</v>
      </c>
      <c r="Y4">
        <v>39</v>
      </c>
    </row>
    <row r="5">
      <c r="Y5">
        <v>42</v>
      </c>
    </row>
    <row r="6">
      <c r="A6" t="str">
        <v>Innovations And Additions</v>
      </c>
      <c r="E6" t="str">
        <v>Credit</v>
      </c>
      <c r="F6" t="str">
        <v>Credits Applicable</v>
      </c>
      <c r="G6" t="str">
        <v>Credit(s) Achieved</v>
      </c>
      <c r="Y6">
        <v>47</v>
      </c>
    </row>
    <row r="7">
      <c r="A7" t="str">
        <v>SA 1</v>
      </c>
      <c r="C7" t="str">
        <v>Contaminated Land</v>
      </c>
      <c r="E7" t="str">
        <f>G7</f>
        <v>NS</v>
      </c>
      <c r="F7" t="str">
        <v>Bonus</v>
      </c>
      <c r="G7" t="str">
        <f>IF('SA Comment'!G14="Insert No. of Credit(s) Here","-",'SA Comment'!G14)</f>
        <v>NS</v>
      </c>
      <c r="Y7">
        <v>50</v>
      </c>
    </row>
    <row r="8">
      <c r="A8" t="str">
        <v>Bonus Credit</v>
      </c>
      <c r="C8" t="str">
        <v>Refer section SA 1</v>
      </c>
      <c r="Y8">
        <v>53</v>
      </c>
    </row>
    <row r="9">
      <c r="A9" t="str">
        <v>SA 4</v>
      </c>
      <c r="C9" t="str">
        <v>100% of Relevant Sub-Items of the Urban Design Guidelines are Achieved</v>
      </c>
      <c r="E9">
        <f>G9</f>
        <v>1</v>
      </c>
      <c r="F9" t="str">
        <v>Bonus</v>
      </c>
      <c r="G9">
        <f>IF('SA Comment'!G52="Insert No. of Credit(s) Here","-",'SA Comment'!G52)</f>
        <v>1</v>
      </c>
      <c r="Y9">
        <v>56</v>
      </c>
    </row>
    <row r="10">
      <c r="A10" t="str">
        <v>Bonus Credit</v>
      </c>
      <c r="C10" t="str">
        <v>Refer section SA 4</v>
      </c>
      <c r="Y10">
        <v>59</v>
      </c>
    </row>
    <row r="11">
      <c r="A11" t="str">
        <v>SA 5</v>
      </c>
      <c r="C11" t="str">
        <v>Ecological Impact</v>
      </c>
      <c r="E11" t="str">
        <f>G11</f>
        <v>NS</v>
      </c>
      <c r="F11" t="str">
        <v>Bonus</v>
      </c>
      <c r="G11" t="str">
        <f>IF('SA Comment'!G56="Insert No. of Credit(s) Here","-",'SA Comment'!G56)</f>
        <v>NS</v>
      </c>
      <c r="Y11">
        <v>64</v>
      </c>
    </row>
    <row r="12">
      <c r="A12" t="str">
        <v>Bonus Credit</v>
      </c>
      <c r="C12" t="str">
        <v>Refer section SA 5</v>
      </c>
    </row>
    <row r="13">
      <c r="A13" t="str">
        <v>MA 1</v>
      </c>
      <c r="C13" t="str">
        <v>Building Reuse</v>
      </c>
      <c r="E13" t="str">
        <f>G13</f>
        <v>-</v>
      </c>
      <c r="F13" t="str">
        <v>Bonus</v>
      </c>
      <c r="G13" t="str">
        <f>IF('MA Comment'!G34="Insert No. of Credit(s) Here","-",'MA Comment'!G34)</f>
        <v>-</v>
      </c>
    </row>
    <row r="14">
      <c r="A14" t="str">
        <v>Bonus Credit</v>
      </c>
      <c r="C14" t="str">
        <v>Refer section MA 1</v>
      </c>
    </row>
    <row r="15">
      <c r="A15" t="str">
        <v>EU 3</v>
      </c>
      <c r="C15" t="str">
        <v>Demonstrating the Major Material with Low Embodied Energy are Used in the Project Utilizing the LCA Result</v>
      </c>
      <c r="E15" t="str">
        <f>G15</f>
        <v>NS</v>
      </c>
      <c r="F15" t="str">
        <v>Bonus</v>
      </c>
      <c r="G15" t="str">
        <f>IF('EU Comment'!M84="Insert No. of Credit(s) Here","-",'EU Comment'!M84)</f>
        <v>NS</v>
      </c>
    </row>
    <row r="16">
      <c r="A16" t="str">
        <v>Bonus Credit</v>
      </c>
      <c r="C16" t="str">
        <v>Refer section EU 3</v>
      </c>
    </row>
    <row r="17">
      <c r="A17" t="str">
        <v>EU 10e</v>
      </c>
      <c r="C17" t="str">
        <v>Independent Commissioning Authority</v>
      </c>
      <c r="E17" t="str">
        <f>G17</f>
        <v>NS</v>
      </c>
      <c r="F17" t="str">
        <v>Bonus</v>
      </c>
      <c r="G17" t="str">
        <f>IF('EU Comment'!M171="Insert No. of Credit(s) Here","-",'EU Comment'!M171)</f>
        <v>NS</v>
      </c>
    </row>
    <row r="18">
      <c r="A18" t="str">
        <v>Bonus Credit</v>
      </c>
      <c r="C18" t="str">
        <v>Refer section EU 10e</v>
      </c>
    </row>
    <row r="19">
      <c r="A19" t="str">
        <v>WU 4c</v>
      </c>
      <c r="C19" t="str">
        <v>A Combination of Rainwater and Grey Water</v>
      </c>
      <c r="E19" t="str">
        <f>G19</f>
        <v>NS</v>
      </c>
      <c r="F19" t="str">
        <v>Bonus</v>
      </c>
      <c r="G19" t="str">
        <f>IF('WU Comment'!G45="Insert No. of Credit(s) Here","-",'WU Comment'!G45)</f>
        <v>NS</v>
      </c>
    </row>
    <row r="20">
      <c r="A20" t="str">
        <v>Bonus Credit</v>
      </c>
      <c r="C20" t="str">
        <v>Refer section WU 4c.</v>
      </c>
    </row>
    <row r="21">
      <c r="A21" t="str">
        <v>IEQ 12b</v>
      </c>
      <c r="C21" t="str">
        <v xml:space="preserve">Use of natural ventilation </v>
      </c>
      <c r="E21" t="str">
        <f>G21</f>
        <v>-</v>
      </c>
      <c r="F21" t="str">
        <v>Bonus</v>
      </c>
      <c r="G21" t="str">
        <f>IF('IEQ Comment'!M134="Insert No. of Credit(s) Here","-",'IEQ Comment'!M134)</f>
        <v>-</v>
      </c>
    </row>
    <row r="22">
      <c r="A22" t="str">
        <v>Bonus Credit</v>
      </c>
      <c r="C22" t="str">
        <v>Refer section IEQ 12b.</v>
      </c>
    </row>
    <row r="23">
      <c r="A23" t="str">
        <v>IEQ 16</v>
      </c>
      <c r="C23" t="str">
        <v xml:space="preserve">Provision of automatic control of artificial lighting such as daylight sensors at perimeter zone and/or occupancy sensor. </v>
      </c>
      <c r="E23" t="str">
        <f>G23</f>
        <v>-</v>
      </c>
      <c r="F23" t="str">
        <v>Bonus</v>
      </c>
      <c r="G23" t="str">
        <f>IF('IEQ Comment'!M191="Insert No. of Credit(s) Here","-",'IEQ Comment'!M191)</f>
        <v>-</v>
      </c>
    </row>
    <row r="24">
      <c r="A24" t="str">
        <v>Bonus Credit</v>
      </c>
      <c r="C24" t="str">
        <v>Refer section IEQ 16.</v>
      </c>
    </row>
    <row r="25">
      <c r="A25" t="str">
        <v>IEQ 19</v>
      </c>
      <c r="C25" t="str">
        <v xml:space="preserve">Demonstrating Impact Noise Isolation between Floors meets the prescribed Criteria.  </v>
      </c>
      <c r="E25" t="str">
        <f>G25</f>
        <v>-</v>
      </c>
      <c r="F25" t="str">
        <v>Bonus</v>
      </c>
      <c r="G25" t="str">
        <f>IF('IEQ Comment'!M220="Insert No. of Credit(s) Here","-",'IEQ Comment'!M220)</f>
        <v>-</v>
      </c>
    </row>
    <row r="26">
      <c r="A26" t="str">
        <v>Bonus Credit</v>
      </c>
      <c r="C26" t="str">
        <v>Refer section IEQ 19.</v>
      </c>
    </row>
    <row r="27">
      <c r="A27" t="str">
        <v>IA 1</v>
      </c>
      <c r="C27" t="str">
        <v xml:space="preserve">INNOVATIVE TECHNIQUES </v>
      </c>
      <c r="E27">
        <f>G27</f>
        <v>1</v>
      </c>
      <c r="F27" t="str">
        <v>Bonus</v>
      </c>
      <c r="G27">
        <v>1</v>
      </c>
    </row>
    <row r="28">
      <c r="A28" t="str">
        <v>Bonus Credits</v>
      </c>
      <c r="C28" t="str">
        <v>This sections applies to advanced practices and new techniques that have not hitherto found application in Hong Kong or even elsewhere. Any credits gained are regarded as bonus credits, towards the total number of credits obtained, but not towards the total credits obtainable.</v>
      </c>
    </row>
    <row r="30" xml:space="preserve">
      <c r="C30" t="str" xml:space="preserve">
        <v xml:space="preserve">IA 1 Umbrella Dryer_x000d_
The Applicant has submitted catalogue, occupancy schedule and calculation and estimated around 291426 bag can be saved per year</v>
      </c>
    </row>
    <row r="31">
      <c r="C31" t="str">
        <f>IFERROR(VLOOKUP($E27,$T:$U,2,FALSE),"-")</f>
        <v>1 credit is achieved in the Provisional Assessment.</v>
      </c>
    </row>
    <row r="32">
      <c r="A32" t="str">
        <v>IA 1</v>
      </c>
      <c r="C32" t="str">
        <v xml:space="preserve">INNOVATIVE TECHNIQUES </v>
      </c>
      <c r="E32" t="str">
        <f>G32</f>
        <v>Insert No. of Credit(s) Here</v>
      </c>
      <c r="F32" t="str">
        <v>Bonus</v>
      </c>
      <c r="G32" t="str">
        <v>Insert No. of Credit(s) Here</v>
      </c>
    </row>
    <row r="33">
      <c r="A33" t="str">
        <v>Bonus Credits</v>
      </c>
      <c r="C33" t="str">
        <v>Insert Credit Commentary Here</v>
      </c>
    </row>
    <row r="34">
      <c r="C34" t="str">
        <f>IFERROR(VLOOKUP($E32,$T:$U,2,FALSE),"-")</f>
        <v>-</v>
      </c>
    </row>
    <row r="35">
      <c r="A35" t="str">
        <v>IA 1</v>
      </c>
      <c r="C35" t="str">
        <v xml:space="preserve">INNOVATIVE TECHNIQUES </v>
      </c>
      <c r="E35" t="str">
        <f>G35</f>
        <v>Insert No. of Credit(s) Here</v>
      </c>
      <c r="F35" t="str">
        <v>Bonus</v>
      </c>
      <c r="G35" t="str">
        <v>Insert No. of Credit(s) Here</v>
      </c>
    </row>
    <row r="36">
      <c r="A36" t="str">
        <v>Bonus Credits</v>
      </c>
      <c r="C36" t="str">
        <v>Insert Credit Commentary Here</v>
      </c>
    </row>
    <row r="37">
      <c r="C37" t="str">
        <f>IFERROR(VLOOKUP($E35,$T:$U,2,FALSE),"-")</f>
        <v>-</v>
      </c>
    </row>
    <row r="38">
      <c r="A38" t="str">
        <v>IA 1</v>
      </c>
      <c r="C38" t="str">
        <v xml:space="preserve">INNOVATIVE TECHNIQUES </v>
      </c>
      <c r="E38" t="str">
        <f>G38</f>
        <v>Insert No. of Credit(s) Here</v>
      </c>
      <c r="F38" t="str">
        <v>Bonus</v>
      </c>
      <c r="G38" t="str">
        <v>Insert No. of Credit(s) Here</v>
      </c>
    </row>
    <row r="39">
      <c r="A39" t="str">
        <v>Bonus Credits</v>
      </c>
      <c r="C39" t="str">
        <v>Insert Credit Commentary Here</v>
      </c>
    </row>
    <row r="40">
      <c r="C40" t="str">
        <f>IFERROR(VLOOKUP($E38,$T:$U,2,FALSE),"-")</f>
        <v>-</v>
      </c>
    </row>
    <row r="41">
      <c r="A41" t="str">
        <v>IA 1</v>
      </c>
      <c r="C41" t="str">
        <v xml:space="preserve">INNOVATIVE TECHNIQUES </v>
      </c>
      <c r="E41" t="str">
        <f>G41</f>
        <v>Insert No. of Credit(s) Here</v>
      </c>
      <c r="F41" t="str">
        <v>Bonus</v>
      </c>
      <c r="G41" t="str">
        <v>Insert No. of Credit(s) Here</v>
      </c>
    </row>
    <row r="42">
      <c r="A42" t="str">
        <v>Bonus Credits</v>
      </c>
      <c r="C42" t="str">
        <v>Insert Credit Commentary Here</v>
      </c>
    </row>
    <row r="43">
      <c r="C43" t="str">
        <f>IFERROR(VLOOKUP($E41,$T:$U,2,FALSE),"-")</f>
        <v>-</v>
      </c>
    </row>
    <row r="44">
      <c r="A44" t="str">
        <v>IA 2</v>
      </c>
      <c r="C44" t="str">
        <v xml:space="preserve">PERFORMANCE ENHANCEMENTS </v>
      </c>
      <c r="E44">
        <f>G44</f>
        <v>1</v>
      </c>
      <c r="F44" t="str">
        <v>Bonus</v>
      </c>
      <c r="G44">
        <v>1</v>
      </c>
    </row>
    <row r="45">
      <c r="A45" t="str">
        <v>Bonus Credits</v>
      </c>
      <c r="C45" t="str">
        <v>Bonus credits in this section are available for strategies and techniques that greatly exceed the requirements of existing BEAM credits. Any credits gained are designated towards the total number of credits obtained, but not towards the total credits obtainable.</v>
      </c>
    </row>
    <row r="47" xml:space="preserve">
      <c r="C47" t="str" xml:space="preserve">
        <v xml:space="preserve">Twins Tank_x000d_
- The Applicant has submitted plumbing and drainage schematic and layout to demonstrate the twin tank design will be provided. </v>
      </c>
    </row>
    <row r="48">
      <c r="C48" t="str">
        <f>IFERROR(VLOOKUP($E44,$T:$U,2,FALSE),"-")</f>
        <v>1 credit is achieved in the Provisional Assessment.</v>
      </c>
    </row>
    <row r="49">
      <c r="A49" t="str">
        <v>IA 2</v>
      </c>
      <c r="C49" t="str">
        <v xml:space="preserve">PERFORMANCE ENHANCEMENTS </v>
      </c>
      <c r="E49" t="str">
        <f>G49</f>
        <v>Insert No. of Credit(s) Here</v>
      </c>
      <c r="F49" t="str">
        <v>Bonus</v>
      </c>
      <c r="G49" t="str">
        <v>Insert No. of Credit(s) Here</v>
      </c>
    </row>
    <row r="50">
      <c r="A50" t="str">
        <v>Bonus Credits</v>
      </c>
      <c r="C50" t="str">
        <v>Insert Credit Commentary Here</v>
      </c>
    </row>
    <row r="51">
      <c r="C51" t="str">
        <f>IFERROR(VLOOKUP($E49,$T:$U,2,FALSE),"-")</f>
        <v>-</v>
      </c>
    </row>
    <row r="52">
      <c r="A52" t="str">
        <v>IA 2</v>
      </c>
      <c r="C52" t="str">
        <v xml:space="preserve">PERFORMANCE ENHANCEMENTS </v>
      </c>
      <c r="E52" t="str">
        <f>G52</f>
        <v>Insert No. of Credit(s) Here</v>
      </c>
      <c r="F52" t="str">
        <v>Bonus</v>
      </c>
      <c r="G52" t="str">
        <v>Insert No. of Credit(s) Here</v>
      </c>
    </row>
    <row r="53">
      <c r="A53" t="str">
        <v>Bonus Credits</v>
      </c>
      <c r="C53" t="str">
        <v>Insert Credit Commentary Here</v>
      </c>
    </row>
    <row r="54">
      <c r="C54" t="str">
        <f>IFERROR(VLOOKUP($E52,$T:$U,2,FALSE),"-")</f>
        <v>-</v>
      </c>
    </row>
    <row r="55">
      <c r="A55" t="str">
        <v>IA 2</v>
      </c>
      <c r="C55" t="str">
        <v xml:space="preserve">PERFORMANCE ENHANCEMENTS </v>
      </c>
      <c r="E55" t="str">
        <f>G55</f>
        <v>Insert No. of Credit(s) Here</v>
      </c>
      <c r="F55" t="str">
        <v>Bonus</v>
      </c>
      <c r="G55" t="str">
        <v>Insert No. of Credit(s) Here</v>
      </c>
    </row>
    <row r="56">
      <c r="A56" t="str">
        <v>Bonus Credits</v>
      </c>
      <c r="C56" t="str">
        <v>Insert Credit Commentary Here</v>
      </c>
    </row>
    <row r="57">
      <c r="C57" t="str">
        <f>IFERROR(VLOOKUP($E55,$T:$U,2,FALSE),"-")</f>
        <v>-</v>
      </c>
    </row>
    <row r="58">
      <c r="A58" t="str">
        <v>IA 2</v>
      </c>
      <c r="C58" t="str">
        <v xml:space="preserve">PERFORMANCE ENHANCEMENTS </v>
      </c>
      <c r="E58" t="str">
        <f>G58</f>
        <v>Insert No. of Credit(s) Here</v>
      </c>
      <c r="F58" t="str">
        <v>Bonus</v>
      </c>
      <c r="G58" t="str">
        <v>Insert No. of Credit(s) Here</v>
      </c>
    </row>
    <row r="59">
      <c r="A59" t="str">
        <v>Bonus Credits</v>
      </c>
      <c r="C59" t="str">
        <v>Insert Credit Commentary Here</v>
      </c>
    </row>
    <row r="60">
      <c r="C60" t="str">
        <f>IFERROR(VLOOKUP($E58,$T:$U,2,FALSE),"-")</f>
        <v>-</v>
      </c>
    </row>
    <row r="61">
      <c r="A61" t="str">
        <v>IA 3</v>
      </c>
      <c r="C61" t="str">
        <v>BEAM PROFESSIONAL</v>
      </c>
      <c r="E61" t="str">
        <f>G61</f>
        <v>Insert No. of Credit(s) Here</v>
      </c>
      <c r="F61" t="str">
        <v>Bonus</v>
      </c>
      <c r="G61" t="str">
        <v>Insert No. of Credit(s) Here</v>
      </c>
    </row>
    <row r="62">
      <c r="A62" t="str">
        <v>One Credit</v>
      </c>
      <c r="C62" t="str">
        <v>At least 1 key member of the Project Team shall be a certified BEAM Professional.</v>
      </c>
    </row>
    <row r="64">
      <c r="C64" t="str">
        <v>Insert Credit Commentary Here</v>
      </c>
    </row>
    <row r="65">
      <c r="C65" t="str">
        <f>IFERROR(VLOOKUP($E61,$T:$U,2,FALSE),"-")</f>
        <v>-</v>
      </c>
    </row>
    <row r="66">
      <c r="A66" t="str">
        <v>Innovative and Addition Credits Sub-Total</v>
      </c>
      <c r="E66">
        <f>G66</f>
        <v>3</v>
      </c>
      <c r="F66" t="str">
        <v>1 + 5 Bonus</v>
      </c>
      <c r="G66">
        <f>IF(SUM(G7:G65)&lt;6,SUM(G7:G65),6)</f>
        <v>3</v>
      </c>
    </row>
    <row r="69">
      <c r="C69" t="str">
        <v xml:space="preserve"> </v>
      </c>
    </row>
    <row r="99">
      <c r="C99" t="str">
        <v>s</v>
      </c>
    </row>
    <row r="128">
      <c r="C128" t="str">
        <v xml:space="preserve"> </v>
      </c>
    </row>
    <row r="324">
      <c r="T324" t="str">
        <v>PR</v>
      </c>
      <c r="U324" t="str">
        <f>"The prerequisite is achieved in the "&amp; 'Project Summary'!C9 &amp; "."</f>
        <v>The prerequisite is achieved in the Provisional Assessment.</v>
      </c>
    </row>
    <row r="325">
      <c r="T325" t="str">
        <v>NS</v>
      </c>
      <c r="U325" t="str">
        <f>"No information was submitted. Credit is not achieved in the "&amp; 'Project Summary'!C9 &amp; "."</f>
        <v>No information was submitted. Credit is not achieved in the Provisional Assessment.</v>
      </c>
    </row>
    <row r="326">
      <c r="T326" t="str">
        <v>NA</v>
      </c>
      <c r="U326" t="str">
        <f>"Credit is not applicable in the "&amp; 'Project Summary'!C9 &amp; "."</f>
        <v>Credit is not applicable in the Provisional Assessment.</v>
      </c>
    </row>
    <row r="327">
      <c r="T327">
        <v>0</v>
      </c>
      <c r="U327" t="str">
        <f>"Credit is not achieved in the "&amp; 'Project Summary'!C9 &amp; "."</f>
        <v>Credit is not achieved in the Provisional Assessment.</v>
      </c>
    </row>
    <row r="328">
      <c r="T328">
        <v>1</v>
      </c>
      <c r="U328" t="str">
        <f>"1 credit is achieved in the "&amp; 'Project Summary'!C9 &amp; "."</f>
        <v>1 credit is achieved in the Provisional Assessment.</v>
      </c>
    </row>
    <row r="329">
      <c r="T329">
        <v>2</v>
      </c>
      <c r="U329" t="str">
        <f>"2 credits are achieved in the "&amp; 'Project Summary'!C9 &amp; "."</f>
        <v>2 credits are achieved in the Provisional Assessment.</v>
      </c>
    </row>
    <row r="331">
      <c r="T331">
        <v>3</v>
      </c>
      <c r="U331" t="str">
        <f>"3 credits are achieved in the "&amp; 'Project Summary'!C9 &amp; "."</f>
        <v>3 credits are achieved in the Provisional Assessment.</v>
      </c>
    </row>
    <row r="332">
      <c r="T332">
        <v>4</v>
      </c>
      <c r="U332" t="str">
        <f>"4 credits are achieved in the "&amp; 'Project Summary'!C9 &amp; "."</f>
        <v>4 credits are achieved in the Provisional Assessment.</v>
      </c>
    </row>
    <row r="333">
      <c r="T333">
        <v>5</v>
      </c>
      <c r="U333" t="str">
        <f>"5 credits are achieved in the "&amp; 'Project Summary'!C9 &amp; "."</f>
        <v>5 credits are achieved in the Provisional Assessment.</v>
      </c>
    </row>
    <row r="334">
      <c r="T334">
        <v>6</v>
      </c>
      <c r="U334" t="str">
        <f>"6 credits are achieved in the "&amp; 'Project Summary'!C9 &amp; "."</f>
        <v>6 credits are achieved in the Provisional Assessment.</v>
      </c>
    </row>
    <row r="335">
      <c r="T335">
        <v>7</v>
      </c>
      <c r="U335" t="str">
        <f>"7 credits are achieved in the "&amp; 'Project Summary'!C9 &amp; "."</f>
        <v>7 credits are achieved in the Provisional Assessment.</v>
      </c>
    </row>
    <row r="336">
      <c r="T336">
        <v>8</v>
      </c>
      <c r="U336" t="str">
        <f>"8 credits are achieved in the "&amp; 'Project Summary'!C9 &amp; "."</f>
        <v>8 credits are achieved in the Provisional Assessment.</v>
      </c>
    </row>
    <row r="337">
      <c r="T337">
        <v>9</v>
      </c>
      <c r="U337" t="str">
        <f>"9 credits are achieved in the "&amp; 'Project Summary'!C9 &amp; "."</f>
        <v>9 credits are achieved in the Provisional Assessment.</v>
      </c>
    </row>
    <row r="338">
      <c r="T338">
        <v>10</v>
      </c>
      <c r="U338" t="str">
        <f>"10 credits are achieved in the "&amp; 'Project Summary'!C9 &amp; "."</f>
        <v>10 credits are achieved in the Provisional Assessment.</v>
      </c>
    </row>
    <row r="339">
      <c r="T339">
        <v>11</v>
      </c>
      <c r="U339" t="str">
        <f>"11 credits are achieved in the "&amp; 'Project Summary'!C9 &amp; "."</f>
        <v>11 credits are achieved in the Provisional Assessment.</v>
      </c>
    </row>
    <row r="340">
      <c r="T340">
        <v>12</v>
      </c>
      <c r="U340" t="str">
        <f>"12 credits are achieved in the "&amp; 'Project Summary'!C9 &amp; "."</f>
        <v>12 credits are achieved in the Provisional Assessment.</v>
      </c>
    </row>
    <row r="341">
      <c r="T341">
        <v>13</v>
      </c>
      <c r="U341" t="str">
        <f>"13 credits are achieved in the "&amp; 'Project Summary'!C9 &amp; "."</f>
        <v>13 credits are achieved in the Provisional Assessment.</v>
      </c>
    </row>
    <row r="342">
      <c r="T342">
        <v>14</v>
      </c>
      <c r="U342" t="str">
        <f>"14 credits are achieved in the "&amp; 'Project Summary'!C9 &amp; "."</f>
        <v>14 credits are achieved in the Provisional Assessment.</v>
      </c>
    </row>
    <row r="343">
      <c r="T343">
        <v>15</v>
      </c>
      <c r="U343" t="str">
        <f>"15 credits are achieved in the "&amp; 'Project Summary'!C9 &amp; "."</f>
        <v>15 credits are achieved in the Provisional Assessment.</v>
      </c>
    </row>
    <row r="344">
      <c r="T344" t="str">
        <v>1B</v>
      </c>
      <c r="U344" t="str">
        <f>"1 Bonus credit is achieved in the "&amp; 'Project Summary'!C9 &amp; "."</f>
        <v>1 Bonus credit is achieved in the Provisional Assessment.</v>
      </c>
    </row>
    <row r="346">
      <c r="S346" t="str">
        <v>List</v>
      </c>
    </row>
    <row r="347">
      <c r="S347" t="str">
        <v>NS</v>
      </c>
    </row>
    <row r="348">
      <c r="S348">
        <v>10</v>
      </c>
    </row>
    <row r="349">
      <c r="S349">
        <v>9</v>
      </c>
    </row>
    <row r="350">
      <c r="S350">
        <v>8</v>
      </c>
    </row>
    <row r="351">
      <c r="S351">
        <v>7</v>
      </c>
    </row>
    <row r="352">
      <c r="S352">
        <v>6</v>
      </c>
    </row>
    <row r="353">
      <c r="S353">
        <v>5</v>
      </c>
    </row>
    <row r="354">
      <c r="S354">
        <v>4</v>
      </c>
    </row>
    <row r="355">
      <c r="S355">
        <v>3</v>
      </c>
    </row>
    <row r="356">
      <c r="S356">
        <v>2</v>
      </c>
    </row>
    <row r="357">
      <c r="S357">
        <v>1</v>
      </c>
    </row>
    <row r="358">
      <c r="S358">
        <v>0</v>
      </c>
    </row>
    <row r="360">
      <c r="S360" t="str">
        <v>NS</v>
      </c>
    </row>
    <row r="361">
      <c r="S361">
        <v>1</v>
      </c>
    </row>
    <row r="362">
      <c r="S362">
        <v>0</v>
      </c>
    </row>
  </sheetData>
  <mergeCells count="65">
    <mergeCell ref="G58:G60"/>
    <mergeCell ref="G32:G34"/>
    <mergeCell ref="E41:E43"/>
    <mergeCell ref="F41:F43"/>
    <mergeCell ref="G41:G43"/>
    <mergeCell ref="E38:E40"/>
    <mergeCell ref="F38:F40"/>
    <mergeCell ref="G38:G40"/>
    <mergeCell ref="E35:E37"/>
    <mergeCell ref="F35:F37"/>
    <mergeCell ref="G35:G37"/>
    <mergeCell ref="G44:G48"/>
    <mergeCell ref="E49:E51"/>
    <mergeCell ref="F49:F51"/>
    <mergeCell ref="G49:G51"/>
    <mergeCell ref="E55:E57"/>
    <mergeCell ref="G55:G57"/>
    <mergeCell ref="E52:E54"/>
    <mergeCell ref="F52:F54"/>
    <mergeCell ref="G52:G54"/>
    <mergeCell ref="A6:C6"/>
    <mergeCell ref="E7:E8"/>
    <mergeCell ref="E9:E10"/>
    <mergeCell ref="E11:E12"/>
    <mergeCell ref="E13:E14"/>
    <mergeCell ref="E27:E31"/>
    <mergeCell ref="F25:F26"/>
    <mergeCell ref="E44:E48"/>
    <mergeCell ref="E15:E16"/>
    <mergeCell ref="E17:E18"/>
    <mergeCell ref="E19:E20"/>
    <mergeCell ref="E21:E22"/>
    <mergeCell ref="E61:E65"/>
    <mergeCell ref="A66:C66"/>
    <mergeCell ref="E25:E26"/>
    <mergeCell ref="E32:E34"/>
    <mergeCell ref="F27:F31"/>
    <mergeCell ref="F44:F48"/>
    <mergeCell ref="E58:E60"/>
    <mergeCell ref="F58:F60"/>
    <mergeCell ref="F55:F57"/>
    <mergeCell ref="E23:E24"/>
    <mergeCell ref="G25:G26"/>
    <mergeCell ref="G27:G31"/>
    <mergeCell ref="F7:F8"/>
    <mergeCell ref="F9:F10"/>
    <mergeCell ref="F11:F12"/>
    <mergeCell ref="F13:F14"/>
    <mergeCell ref="F15:F16"/>
    <mergeCell ref="G61:G65"/>
    <mergeCell ref="F61:F65"/>
    <mergeCell ref="G7:G8"/>
    <mergeCell ref="G9:G10"/>
    <mergeCell ref="G11:G12"/>
    <mergeCell ref="G13:G14"/>
    <mergeCell ref="G15:G16"/>
    <mergeCell ref="F17:F18"/>
    <mergeCell ref="F32:F34"/>
    <mergeCell ref="G17:G18"/>
    <mergeCell ref="G19:G20"/>
    <mergeCell ref="G21:G22"/>
    <mergeCell ref="G23:G24"/>
    <mergeCell ref="F19:F20"/>
    <mergeCell ref="F21:F22"/>
    <mergeCell ref="F23:F24"/>
  </mergeCells>
  <pageMargins left="0.7874015748031497" right="0.5511811023622047" top="0.5118110236220472" bottom="0.7480314960629921" header="0.31496062992125984" footer="0.31496062992125984"/>
  <ignoredErrors>
    <ignoredError numberStoredAsText="1" sqref="A1:Y416"/>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Sheet11</vt:lpstr>
      <vt:lpstr>Sheet12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