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suba\Box Sync\Mara Project\Data\Data_Wildebeest Carcass\"/>
    </mc:Choice>
  </mc:AlternateContent>
  <xr:revisionPtr revIDLastSave="0" documentId="13_ncr:1_{960005B9-41E5-4B1E-98FD-C583CE57132E}" xr6:coauthVersionLast="34" xr6:coauthVersionMax="34" xr10:uidLastSave="{00000000-0000-0000-0000-000000000000}"/>
  <bookViews>
    <workbookView xWindow="0" yWindow="0" windowWidth="28800" windowHeight="12225" activeTab="2" xr2:uid="{00000000-000D-0000-FFFF-FFFF00000000}"/>
  </bookViews>
  <sheets>
    <sheet name="Composition" sheetId="1" r:id="rId1"/>
    <sheet name="CNP Data" sheetId="2" r:id="rId2"/>
    <sheet name="Stoichiometry" sheetId="3" r:id="rId3"/>
    <sheet name="Decay rate" sheetId="6" r:id="rId4"/>
    <sheet name="WB Carcass" sheetId="4" r:id="rId5"/>
    <sheet name="Atomic ratios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E3" i="6"/>
  <c r="E4" i="6"/>
  <c r="E2" i="6"/>
  <c r="C3" i="6"/>
  <c r="C4" i="6"/>
  <c r="C2" i="6"/>
  <c r="B5" i="6"/>
  <c r="I7" i="4" l="1"/>
  <c r="J7" i="4"/>
  <c r="K7" i="4"/>
  <c r="J6" i="4"/>
  <c r="K6" i="4"/>
  <c r="I6" i="4"/>
  <c r="F5" i="5" l="1"/>
  <c r="P19" i="3" l="1"/>
  <c r="M106" i="2" l="1"/>
  <c r="AW10" i="3"/>
  <c r="F8" i="5"/>
  <c r="AW5" i="3"/>
  <c r="G5" i="5" l="1"/>
  <c r="H5" i="5"/>
  <c r="F6" i="5"/>
  <c r="G6" i="5"/>
  <c r="H6" i="5"/>
  <c r="F7" i="5"/>
  <c r="G7" i="5"/>
  <c r="H7" i="5"/>
  <c r="G8" i="5"/>
  <c r="H8" i="5"/>
  <c r="G4" i="5"/>
  <c r="H4" i="5"/>
  <c r="F4" i="5"/>
  <c r="G3" i="5"/>
  <c r="H3" i="5"/>
  <c r="F3" i="5"/>
  <c r="AW23" i="3"/>
  <c r="F5" i="3"/>
  <c r="P20" i="3"/>
  <c r="P24" i="3" s="1"/>
  <c r="AW16" i="3"/>
  <c r="D3" i="4"/>
  <c r="D4" i="4"/>
  <c r="D5" i="4"/>
  <c r="D2" i="4"/>
  <c r="BE18" i="3"/>
  <c r="BE28" i="3" s="1"/>
  <c r="BE29" i="3" s="1"/>
  <c r="BE17" i="3"/>
  <c r="BE16" i="3"/>
  <c r="BE15" i="3"/>
  <c r="BE14" i="3"/>
  <c r="BE12" i="3"/>
  <c r="BE10" i="3"/>
  <c r="BE9" i="3"/>
  <c r="BE8" i="3"/>
  <c r="BE7" i="3"/>
  <c r="BE6" i="3"/>
  <c r="BE5" i="3"/>
  <c r="BA5" i="3"/>
  <c r="BA18" i="3"/>
  <c r="BA28" i="3" s="1"/>
  <c r="BA29" i="3" s="1"/>
  <c r="BA17" i="3"/>
  <c r="BA16" i="3"/>
  <c r="BA15" i="3"/>
  <c r="BA14" i="3"/>
  <c r="BA12" i="3"/>
  <c r="BA10" i="3"/>
  <c r="BA9" i="3"/>
  <c r="BA8" i="3"/>
  <c r="BA7" i="3"/>
  <c r="BA6" i="3"/>
  <c r="M9" i="2"/>
  <c r="AW18" i="3"/>
  <c r="AW17" i="3"/>
  <c r="AW15" i="3"/>
  <c r="AW14" i="3"/>
  <c r="AW12" i="3"/>
  <c r="AW9" i="3"/>
  <c r="AW8" i="3"/>
  <c r="AW7" i="3"/>
  <c r="AW6" i="3"/>
  <c r="E10" i="3"/>
  <c r="F10" i="3"/>
  <c r="C3" i="3"/>
  <c r="L61" i="2"/>
  <c r="K61" i="2"/>
  <c r="O106" i="2"/>
  <c r="O97" i="2"/>
  <c r="O88" i="2"/>
  <c r="O79" i="2"/>
  <c r="O70" i="2"/>
  <c r="O61" i="2"/>
  <c r="O55" i="2"/>
  <c r="O46" i="2"/>
  <c r="O37" i="2"/>
  <c r="O28" i="2"/>
  <c r="O19" i="2"/>
  <c r="O9" i="2"/>
  <c r="N106" i="2"/>
  <c r="N97" i="2"/>
  <c r="N88" i="2"/>
  <c r="N79" i="2"/>
  <c r="N70" i="2"/>
  <c r="N61" i="2"/>
  <c r="N55" i="2"/>
  <c r="N46" i="2"/>
  <c r="N37" i="2"/>
  <c r="N28" i="2"/>
  <c r="N19" i="2"/>
  <c r="N9" i="2"/>
  <c r="M97" i="2"/>
  <c r="M88" i="2"/>
  <c r="M79" i="2"/>
  <c r="M70" i="2"/>
  <c r="M61" i="2"/>
  <c r="M55" i="2"/>
  <c r="M46" i="2"/>
  <c r="M37" i="2"/>
  <c r="M28" i="2"/>
  <c r="M19" i="2"/>
  <c r="K3" i="2"/>
  <c r="AD18" i="3"/>
  <c r="AG18" i="3" s="1"/>
  <c r="AG17" i="3"/>
  <c r="AD16" i="3"/>
  <c r="AG16" i="3"/>
  <c r="AD14" i="3"/>
  <c r="AD15" i="3" s="1"/>
  <c r="AD13" i="3"/>
  <c r="AD12" i="3"/>
  <c r="AG12" i="3"/>
  <c r="AD10" i="3"/>
  <c r="AG9" i="3"/>
  <c r="AG8" i="3"/>
  <c r="AG7" i="3"/>
  <c r="AG6" i="3"/>
  <c r="AG5" i="3"/>
  <c r="F18" i="3"/>
  <c r="F17" i="3"/>
  <c r="F16" i="3"/>
  <c r="C15" i="3"/>
  <c r="F14" i="3"/>
  <c r="E14" i="3"/>
  <c r="F12" i="3"/>
  <c r="E12" i="3"/>
  <c r="F9" i="3"/>
  <c r="E9" i="3"/>
  <c r="F8" i="3"/>
  <c r="E8" i="3"/>
  <c r="F7" i="3"/>
  <c r="E7" i="3"/>
  <c r="F6" i="3"/>
  <c r="E6" i="3"/>
  <c r="E5" i="3"/>
  <c r="V18" i="1"/>
  <c r="Y18" i="1" s="1"/>
  <c r="Y17" i="1"/>
  <c r="V16" i="1"/>
  <c r="Y16" i="1" s="1"/>
  <c r="V14" i="1"/>
  <c r="Y14" i="1" s="1"/>
  <c r="V13" i="1"/>
  <c r="V12" i="1"/>
  <c r="V3" i="1" s="1"/>
  <c r="V10" i="1"/>
  <c r="Y9" i="1"/>
  <c r="Y8" i="1"/>
  <c r="Y7" i="1"/>
  <c r="Y6" i="1"/>
  <c r="Y5" i="1"/>
  <c r="L19" i="1"/>
  <c r="M15" i="1" s="1"/>
  <c r="F18" i="1"/>
  <c r="F17" i="1"/>
  <c r="F16" i="1"/>
  <c r="F15" i="1"/>
  <c r="C15" i="1"/>
  <c r="E15" i="1" s="1"/>
  <c r="C19" i="1"/>
  <c r="D13" i="1" s="1"/>
  <c r="F14" i="1"/>
  <c r="E14" i="1"/>
  <c r="F12" i="1"/>
  <c r="E12" i="1"/>
  <c r="F9" i="1"/>
  <c r="E9" i="1"/>
  <c r="F8" i="1"/>
  <c r="E8" i="1"/>
  <c r="F7" i="1"/>
  <c r="E7" i="1"/>
  <c r="F6" i="1"/>
  <c r="E6" i="1"/>
  <c r="F5" i="1"/>
  <c r="E5" i="1"/>
  <c r="C3" i="1"/>
  <c r="E15" i="3"/>
  <c r="F15" i="3"/>
  <c r="Q16" i="3"/>
  <c r="Q18" i="3"/>
  <c r="Q13" i="3"/>
  <c r="P3" i="3"/>
  <c r="Y10" i="1"/>
  <c r="L3" i="1"/>
  <c r="D4" i="1"/>
  <c r="D16" i="1"/>
  <c r="D7" i="1"/>
  <c r="D8" i="1"/>
  <c r="J61" i="2"/>
  <c r="L106" i="2"/>
  <c r="L103" i="2"/>
  <c r="L100" i="2"/>
  <c r="L97" i="2"/>
  <c r="L94" i="2"/>
  <c r="L91" i="2"/>
  <c r="L88" i="2"/>
  <c r="L85" i="2"/>
  <c r="L82" i="2"/>
  <c r="L79" i="2"/>
  <c r="L76" i="2"/>
  <c r="L73" i="2"/>
  <c r="L70" i="2"/>
  <c r="L67" i="2"/>
  <c r="L64" i="2"/>
  <c r="L55" i="2"/>
  <c r="L52" i="2"/>
  <c r="L49" i="2"/>
  <c r="L46" i="2"/>
  <c r="L43" i="2"/>
  <c r="L40" i="2"/>
  <c r="L37" i="2"/>
  <c r="L34" i="2"/>
  <c r="L31" i="2"/>
  <c r="L28" i="2"/>
  <c r="L25" i="2"/>
  <c r="L22" i="2"/>
  <c r="L19" i="2"/>
  <c r="L16" i="2"/>
  <c r="L13" i="2"/>
  <c r="L9" i="2"/>
  <c r="L6" i="2"/>
  <c r="L3" i="2"/>
  <c r="K106" i="2"/>
  <c r="K103" i="2"/>
  <c r="K100" i="2"/>
  <c r="K97" i="2"/>
  <c r="K94" i="2"/>
  <c r="K91" i="2"/>
  <c r="K88" i="2"/>
  <c r="K85" i="2"/>
  <c r="K82" i="2"/>
  <c r="K79" i="2"/>
  <c r="K76" i="2"/>
  <c r="K73" i="2"/>
  <c r="K70" i="2"/>
  <c r="K67" i="2"/>
  <c r="K64" i="2"/>
  <c r="K55" i="2"/>
  <c r="K52" i="2"/>
  <c r="K49" i="2"/>
  <c r="K46" i="2"/>
  <c r="K43" i="2"/>
  <c r="K40" i="2"/>
  <c r="K37" i="2"/>
  <c r="K34" i="2"/>
  <c r="K31" i="2"/>
  <c r="K28" i="2"/>
  <c r="K25" i="2"/>
  <c r="K22" i="2"/>
  <c r="K19" i="2"/>
  <c r="K16" i="2"/>
  <c r="K13" i="2"/>
  <c r="K9" i="2"/>
  <c r="K6" i="2"/>
  <c r="J106" i="2"/>
  <c r="J103" i="2"/>
  <c r="J100" i="2"/>
  <c r="J97" i="2"/>
  <c r="J94" i="2"/>
  <c r="J91" i="2"/>
  <c r="J88" i="2"/>
  <c r="J85" i="2"/>
  <c r="J82" i="2"/>
  <c r="J79" i="2"/>
  <c r="J76" i="2"/>
  <c r="J73" i="2"/>
  <c r="J70" i="2"/>
  <c r="J67" i="2"/>
  <c r="J64" i="2"/>
  <c r="J55" i="2"/>
  <c r="J52" i="2"/>
  <c r="J49" i="2"/>
  <c r="J46" i="2"/>
  <c r="J43" i="2"/>
  <c r="J40" i="2"/>
  <c r="J37" i="2"/>
  <c r="J34" i="2"/>
  <c r="J31" i="2"/>
  <c r="J28" i="2"/>
  <c r="J25" i="2"/>
  <c r="J22" i="2"/>
  <c r="J19" i="2"/>
  <c r="J16" i="2"/>
  <c r="J13" i="2"/>
  <c r="J9" i="2"/>
  <c r="J6" i="2"/>
  <c r="J3" i="2"/>
  <c r="A19" i="1"/>
  <c r="BE22" i="3" l="1"/>
  <c r="D14" i="1"/>
  <c r="D12" i="1"/>
  <c r="D6" i="1"/>
  <c r="F3" i="1"/>
  <c r="V15" i="1"/>
  <c r="Y15" i="1" s="1"/>
  <c r="Y19" i="1" s="1"/>
  <c r="AD3" i="3"/>
  <c r="D17" i="1"/>
  <c r="D18" i="1"/>
  <c r="D9" i="1"/>
  <c r="E19" i="1"/>
  <c r="C19" i="3"/>
  <c r="C20" i="3"/>
  <c r="D3" i="3"/>
  <c r="D6" i="4"/>
  <c r="D5" i="1"/>
  <c r="D3" i="1"/>
  <c r="D15" i="1"/>
  <c r="Y12" i="1"/>
  <c r="Y3" i="1" s="1"/>
  <c r="BA22" i="3"/>
  <c r="BE3" i="3"/>
  <c r="D7" i="4"/>
  <c r="X15" i="1"/>
  <c r="F19" i="1"/>
  <c r="G3" i="1" s="1"/>
  <c r="BA21" i="3"/>
  <c r="BA3" i="3"/>
  <c r="V4" i="1"/>
  <c r="V19" i="1"/>
  <c r="BE21" i="3"/>
  <c r="AW22" i="3"/>
  <c r="E19" i="3"/>
  <c r="X12" i="1"/>
  <c r="W12" i="1"/>
  <c r="AD4" i="3"/>
  <c r="AG14" i="3"/>
  <c r="AW3" i="3"/>
  <c r="F20" i="3"/>
  <c r="H17" i="3" s="1"/>
  <c r="M3" i="1"/>
  <c r="AF7" i="3"/>
  <c r="AF9" i="3"/>
  <c r="AF6" i="3"/>
  <c r="AF8" i="3"/>
  <c r="AF12" i="3"/>
  <c r="AF5" i="3"/>
  <c r="AF15" i="3"/>
  <c r="AG15" i="3"/>
  <c r="AF14" i="3"/>
  <c r="AD19" i="3"/>
  <c r="AE15" i="3" s="1"/>
  <c r="F19" i="3"/>
  <c r="AG10" i="3"/>
  <c r="AG20" i="3" s="1"/>
  <c r="AD20" i="3"/>
  <c r="AD24" i="3" s="1"/>
  <c r="F3" i="3"/>
  <c r="AW21" i="3"/>
  <c r="P15" i="1"/>
  <c r="M6" i="1"/>
  <c r="M17" i="1"/>
  <c r="M9" i="1"/>
  <c r="M5" i="1"/>
  <c r="M18" i="1"/>
  <c r="M16" i="1"/>
  <c r="M13" i="1"/>
  <c r="M7" i="1"/>
  <c r="M14" i="1"/>
  <c r="M4" i="1"/>
  <c r="M12" i="1"/>
  <c r="M8" i="1"/>
  <c r="T18" i="3"/>
  <c r="AR18" i="3" s="1"/>
  <c r="T16" i="3"/>
  <c r="AR16" i="3" s="1"/>
  <c r="Q10" i="3"/>
  <c r="Q9" i="3"/>
  <c r="Q8" i="3"/>
  <c r="Q6" i="3"/>
  <c r="Q14" i="3"/>
  <c r="Q12" i="3"/>
  <c r="Q7" i="3"/>
  <c r="Q15" i="3"/>
  <c r="Q17" i="3"/>
  <c r="Q5" i="3"/>
  <c r="Q3" i="3"/>
  <c r="Q4" i="3"/>
  <c r="H15" i="3" l="1"/>
  <c r="G8" i="1"/>
  <c r="C23" i="3"/>
  <c r="C24" i="3"/>
  <c r="D24" i="3" s="1"/>
  <c r="D19" i="1"/>
  <c r="D16" i="3"/>
  <c r="D7" i="3"/>
  <c r="D17" i="3"/>
  <c r="D5" i="3"/>
  <c r="D13" i="3"/>
  <c r="D4" i="3"/>
  <c r="D15" i="3"/>
  <c r="AQ15" i="3" s="1"/>
  <c r="D14" i="3"/>
  <c r="D6" i="3"/>
  <c r="D10" i="3"/>
  <c r="D18" i="3"/>
  <c r="D9" i="3"/>
  <c r="D12" i="3"/>
  <c r="D8" i="3"/>
  <c r="H6" i="3"/>
  <c r="G20" i="3"/>
  <c r="Z6" i="1"/>
  <c r="Z7" i="1"/>
  <c r="Z9" i="1"/>
  <c r="Z12" i="1"/>
  <c r="Z14" i="1"/>
  <c r="Z5" i="1"/>
  <c r="Z15" i="1"/>
  <c r="Z8" i="1"/>
  <c r="H7" i="3"/>
  <c r="H10" i="3"/>
  <c r="H12" i="3"/>
  <c r="W6" i="1"/>
  <c r="AD6" i="1" s="1"/>
  <c r="W17" i="1"/>
  <c r="W7" i="1"/>
  <c r="AD7" i="1" s="1"/>
  <c r="W9" i="1"/>
  <c r="AD9" i="1" s="1"/>
  <c r="W5" i="1"/>
  <c r="W18" i="1"/>
  <c r="W13" i="1"/>
  <c r="AD13" i="1" s="1"/>
  <c r="W8" i="1"/>
  <c r="W16" i="1"/>
  <c r="AE16" i="1" s="1"/>
  <c r="W10" i="1"/>
  <c r="AD10" i="1" s="1"/>
  <c r="H9" i="3"/>
  <c r="W3" i="1"/>
  <c r="Z3" i="1"/>
  <c r="H14" i="3"/>
  <c r="H8" i="3"/>
  <c r="X5" i="1"/>
  <c r="X6" i="1"/>
  <c r="X14" i="1"/>
  <c r="W4" i="1"/>
  <c r="AE4" i="1" s="1"/>
  <c r="X7" i="1"/>
  <c r="X8" i="1"/>
  <c r="X9" i="1"/>
  <c r="G16" i="1"/>
  <c r="G15" i="1"/>
  <c r="G5" i="1"/>
  <c r="G7" i="1"/>
  <c r="G12" i="1"/>
  <c r="G18" i="1"/>
  <c r="G6" i="1"/>
  <c r="G9" i="1"/>
  <c r="W15" i="1"/>
  <c r="Z10" i="1"/>
  <c r="W14" i="1"/>
  <c r="H18" i="3"/>
  <c r="H5" i="3"/>
  <c r="Z18" i="1"/>
  <c r="Z17" i="1"/>
  <c r="G17" i="1"/>
  <c r="Z16" i="1"/>
  <c r="G14" i="1"/>
  <c r="AI5" i="3"/>
  <c r="AI14" i="3"/>
  <c r="AD23" i="3"/>
  <c r="AI9" i="3"/>
  <c r="AI18" i="3"/>
  <c r="AI6" i="3"/>
  <c r="AI17" i="3"/>
  <c r="AI8" i="3"/>
  <c r="AI7" i="3"/>
  <c r="AI12" i="3"/>
  <c r="C22" i="3"/>
  <c r="G12" i="3"/>
  <c r="G6" i="3"/>
  <c r="G8" i="3"/>
  <c r="G16" i="3"/>
  <c r="AG3" i="3"/>
  <c r="G7" i="3"/>
  <c r="G3" i="3"/>
  <c r="AI15" i="3"/>
  <c r="G17" i="3"/>
  <c r="G9" i="3"/>
  <c r="G5" i="3"/>
  <c r="G14" i="3"/>
  <c r="AI10" i="3"/>
  <c r="AE7" i="3"/>
  <c r="AP7" i="3" s="1"/>
  <c r="AE13" i="3"/>
  <c r="AE9" i="3"/>
  <c r="AQ9" i="3" s="1"/>
  <c r="AE18" i="3"/>
  <c r="AE17" i="3"/>
  <c r="AE12" i="3"/>
  <c r="AE5" i="3"/>
  <c r="AQ5" i="3" s="1"/>
  <c r="AE8" i="3"/>
  <c r="AQ8" i="3" s="1"/>
  <c r="AE6" i="3"/>
  <c r="AP6" i="3" s="1"/>
  <c r="AE10" i="3"/>
  <c r="AE16" i="3"/>
  <c r="AG19" i="3"/>
  <c r="AH16" i="3" s="1"/>
  <c r="AF19" i="3"/>
  <c r="AE3" i="3"/>
  <c r="AQ3" i="3" s="1"/>
  <c r="G15" i="3"/>
  <c r="AE14" i="3"/>
  <c r="AQ14" i="3" s="1"/>
  <c r="AE4" i="3"/>
  <c r="G18" i="3"/>
  <c r="AD8" i="1"/>
  <c r="O8" i="1"/>
  <c r="P8" i="1"/>
  <c r="AE8" i="1"/>
  <c r="AD4" i="1"/>
  <c r="P16" i="1"/>
  <c r="AE17" i="1"/>
  <c r="P17" i="1"/>
  <c r="AD17" i="1"/>
  <c r="AD14" i="1"/>
  <c r="O14" i="1"/>
  <c r="AE14" i="1"/>
  <c r="P14" i="1"/>
  <c r="AD18" i="1"/>
  <c r="P18" i="1"/>
  <c r="AE18" i="1"/>
  <c r="AE6" i="1"/>
  <c r="P6" i="1"/>
  <c r="O6" i="1"/>
  <c r="O15" i="1"/>
  <c r="P7" i="1"/>
  <c r="O7" i="1"/>
  <c r="AE5" i="1"/>
  <c r="P5" i="1"/>
  <c r="O5" i="1"/>
  <c r="M19" i="1"/>
  <c r="P12" i="1"/>
  <c r="AD12" i="1"/>
  <c r="O12" i="1"/>
  <c r="AE12" i="1"/>
  <c r="AE13" i="1"/>
  <c r="O9" i="1"/>
  <c r="AE9" i="1"/>
  <c r="P9" i="1"/>
  <c r="S14" i="3"/>
  <c r="AP14" i="3"/>
  <c r="T14" i="3"/>
  <c r="AR14" i="3" s="1"/>
  <c r="S15" i="3"/>
  <c r="T15" i="3"/>
  <c r="AR15" i="3" s="1"/>
  <c r="T6" i="3"/>
  <c r="AR6" i="3" s="1"/>
  <c r="S6" i="3"/>
  <c r="AP3" i="3"/>
  <c r="T7" i="3"/>
  <c r="AR7" i="3" s="1"/>
  <c r="S7" i="3"/>
  <c r="T8" i="3"/>
  <c r="AR8" i="3" s="1"/>
  <c r="S8" i="3"/>
  <c r="T17" i="3"/>
  <c r="AR17" i="3" s="1"/>
  <c r="T10" i="3"/>
  <c r="AR10" i="3" s="1"/>
  <c r="AQ10" i="3"/>
  <c r="S10" i="3"/>
  <c r="AP10" i="3"/>
  <c r="AQ4" i="3"/>
  <c r="AP4" i="3"/>
  <c r="Q19" i="3"/>
  <c r="T5" i="3"/>
  <c r="AR5" i="3" s="1"/>
  <c r="S5" i="3"/>
  <c r="AQ12" i="3"/>
  <c r="S12" i="3"/>
  <c r="T12" i="3"/>
  <c r="AR12" i="3" s="1"/>
  <c r="AP12" i="3"/>
  <c r="T9" i="3"/>
  <c r="AR9" i="3" s="1"/>
  <c r="S9" i="3"/>
  <c r="N16" i="3" l="1"/>
  <c r="J16" i="3"/>
  <c r="L16" i="3"/>
  <c r="AE7" i="1"/>
  <c r="J18" i="3"/>
  <c r="L18" i="3"/>
  <c r="N18" i="3"/>
  <c r="N5" i="3"/>
  <c r="J5" i="3"/>
  <c r="L5" i="3"/>
  <c r="L8" i="3"/>
  <c r="N8" i="3"/>
  <c r="J8" i="3"/>
  <c r="N15" i="3"/>
  <c r="L15" i="3"/>
  <c r="J15" i="3"/>
  <c r="J14" i="3"/>
  <c r="N14" i="3"/>
  <c r="L14" i="3"/>
  <c r="AP5" i="3"/>
  <c r="AP15" i="3"/>
  <c r="AQ17" i="3"/>
  <c r="J9" i="3"/>
  <c r="L9" i="3"/>
  <c r="N9" i="3"/>
  <c r="J7" i="3"/>
  <c r="N7" i="3"/>
  <c r="L7" i="3"/>
  <c r="L6" i="3"/>
  <c r="N6" i="3"/>
  <c r="J6" i="3"/>
  <c r="W19" i="1"/>
  <c r="AH20" i="3"/>
  <c r="D22" i="3"/>
  <c r="AP9" i="3"/>
  <c r="AO16" i="3"/>
  <c r="AM16" i="3"/>
  <c r="AK16" i="3"/>
  <c r="L17" i="3"/>
  <c r="J17" i="3"/>
  <c r="N17" i="3"/>
  <c r="L12" i="3"/>
  <c r="N12" i="3"/>
  <c r="J12" i="3"/>
  <c r="G19" i="1"/>
  <c r="H19" i="3"/>
  <c r="D19" i="3"/>
  <c r="AH3" i="3"/>
  <c r="AE15" i="1"/>
  <c r="AD15" i="1"/>
  <c r="AP8" i="3"/>
  <c r="AD5" i="1"/>
  <c r="AD16" i="1"/>
  <c r="X19" i="1"/>
  <c r="AE3" i="1"/>
  <c r="AD3" i="1"/>
  <c r="Z19" i="1"/>
  <c r="O19" i="1"/>
  <c r="AQ7" i="3"/>
  <c r="AQ6" i="3"/>
  <c r="AH6" i="3"/>
  <c r="AH9" i="3"/>
  <c r="AH8" i="3"/>
  <c r="AH18" i="3"/>
  <c r="AH5" i="3"/>
  <c r="AD22" i="3"/>
  <c r="AH12" i="3"/>
  <c r="AH14" i="3"/>
  <c r="AH17" i="3"/>
  <c r="AH7" i="3"/>
  <c r="AP17" i="3"/>
  <c r="AQ16" i="3"/>
  <c r="AP16" i="3"/>
  <c r="AE19" i="3"/>
  <c r="AH10" i="3"/>
  <c r="AI19" i="3"/>
  <c r="AR19" i="3"/>
  <c r="AP18" i="3"/>
  <c r="AQ18" i="3"/>
  <c r="AP13" i="3"/>
  <c r="AQ13" i="3"/>
  <c r="G19" i="3"/>
  <c r="AH15" i="3"/>
  <c r="P19" i="1"/>
  <c r="Q15" i="1" s="1"/>
  <c r="P3" i="1"/>
  <c r="T19" i="3"/>
  <c r="P22" i="3" s="1"/>
  <c r="A19" i="3" s="1"/>
  <c r="E6" i="4" s="1"/>
  <c r="S19" i="3"/>
  <c r="T3" i="3"/>
  <c r="AR3" i="3" s="1"/>
  <c r="AV10" i="3" s="1"/>
  <c r="T20" i="3"/>
  <c r="V9" i="3"/>
  <c r="AU9" i="3" s="1"/>
  <c r="AO14" i="3" l="1"/>
  <c r="AM14" i="3"/>
  <c r="AK14" i="3"/>
  <c r="AO18" i="3"/>
  <c r="AM18" i="3"/>
  <c r="AK18" i="3"/>
  <c r="AK15" i="3"/>
  <c r="AO15" i="3"/>
  <c r="AM15" i="3"/>
  <c r="AO10" i="3"/>
  <c r="AM10" i="3"/>
  <c r="AK10" i="3"/>
  <c r="AK12" i="3"/>
  <c r="AO12" i="3"/>
  <c r="AM12" i="3"/>
  <c r="AO8" i="3"/>
  <c r="AM8" i="3"/>
  <c r="AK8" i="3"/>
  <c r="L22" i="3"/>
  <c r="L25" i="3" s="1"/>
  <c r="AO7" i="3"/>
  <c r="AM7" i="3"/>
  <c r="AK7" i="3"/>
  <c r="AK9" i="3"/>
  <c r="AO9" i="3"/>
  <c r="AM9" i="3"/>
  <c r="J22" i="3"/>
  <c r="J25" i="3"/>
  <c r="V8" i="3"/>
  <c r="AU8" i="3" s="1"/>
  <c r="AY8" i="3" s="1"/>
  <c r="U20" i="3"/>
  <c r="AK17" i="3"/>
  <c r="AM17" i="3"/>
  <c r="AO17" i="3"/>
  <c r="AO5" i="3"/>
  <c r="AM5" i="3"/>
  <c r="AK5" i="3"/>
  <c r="AO6" i="3"/>
  <c r="AM6" i="3"/>
  <c r="AK6" i="3"/>
  <c r="N22" i="3"/>
  <c r="N25" i="3" s="1"/>
  <c r="BH10" i="3"/>
  <c r="BD10" i="3"/>
  <c r="AZ10" i="3"/>
  <c r="AV14" i="3"/>
  <c r="AV8" i="3"/>
  <c r="AP19" i="3"/>
  <c r="AV12" i="3"/>
  <c r="AV5" i="3"/>
  <c r="AV6" i="3"/>
  <c r="AV9" i="3"/>
  <c r="AV7" i="3"/>
  <c r="Q16" i="1"/>
  <c r="AG16" i="1" s="1"/>
  <c r="Q5" i="1"/>
  <c r="AF5" i="1" s="1"/>
  <c r="AT10" i="3"/>
  <c r="AS10" i="3"/>
  <c r="U6" i="3"/>
  <c r="AH19" i="3"/>
  <c r="V6" i="3"/>
  <c r="AU6" i="3" s="1"/>
  <c r="BC6" i="3" s="1"/>
  <c r="U15" i="3"/>
  <c r="V7" i="3"/>
  <c r="AU7" i="3" s="1"/>
  <c r="BG7" i="3" s="1"/>
  <c r="V12" i="3"/>
  <c r="AU12" i="3" s="1"/>
  <c r="BC12" i="3" s="1"/>
  <c r="V5" i="3"/>
  <c r="AU5" i="3" s="1"/>
  <c r="AY5" i="3" s="1"/>
  <c r="U7" i="3"/>
  <c r="AG5" i="1"/>
  <c r="Q8" i="1"/>
  <c r="Q7" i="1"/>
  <c r="Q3" i="1"/>
  <c r="Q17" i="1"/>
  <c r="AF15" i="1"/>
  <c r="AG15" i="1"/>
  <c r="Q12" i="1"/>
  <c r="Q18" i="1"/>
  <c r="Q6" i="1"/>
  <c r="Q14" i="1"/>
  <c r="Q9" i="1"/>
  <c r="BG8" i="3"/>
  <c r="BC9" i="3"/>
  <c r="AY9" i="3"/>
  <c r="BG9" i="3"/>
  <c r="V17" i="3"/>
  <c r="AU17" i="3" s="1"/>
  <c r="AT7" i="3"/>
  <c r="U16" i="3"/>
  <c r="U18" i="3"/>
  <c r="U17" i="3"/>
  <c r="V15" i="3"/>
  <c r="AU15" i="3" s="1"/>
  <c r="U5" i="3"/>
  <c r="U14" i="3"/>
  <c r="AY6" i="3"/>
  <c r="BG6" i="3"/>
  <c r="P23" i="3"/>
  <c r="V18" i="3"/>
  <c r="AU18" i="3" s="1"/>
  <c r="AY18" i="3" s="1"/>
  <c r="U9" i="3"/>
  <c r="U12" i="3"/>
  <c r="V10" i="3"/>
  <c r="AU10" i="3" s="1"/>
  <c r="AY10" i="3" s="1"/>
  <c r="U3" i="3"/>
  <c r="AS3" i="3" s="1"/>
  <c r="AX3" i="3" s="1"/>
  <c r="U8" i="3"/>
  <c r="V14" i="3"/>
  <c r="AB16" i="3" l="1"/>
  <c r="X16" i="3"/>
  <c r="Z16" i="3"/>
  <c r="AS16" i="3"/>
  <c r="X12" i="3"/>
  <c r="Z12" i="3"/>
  <c r="AB12" i="3"/>
  <c r="AT6" i="3"/>
  <c r="Z6" i="3"/>
  <c r="X6" i="3"/>
  <c r="AB6" i="3"/>
  <c r="AK22" i="3"/>
  <c r="AK25" i="3" s="1"/>
  <c r="A20" i="3"/>
  <c r="D23" i="3"/>
  <c r="Z8" i="3"/>
  <c r="X8" i="3"/>
  <c r="AB8" i="3"/>
  <c r="AB9" i="3"/>
  <c r="Z9" i="3"/>
  <c r="X9" i="3"/>
  <c r="Z17" i="3"/>
  <c r="AB17" i="3"/>
  <c r="X17" i="3"/>
  <c r="BC8" i="3"/>
  <c r="AS7" i="3"/>
  <c r="Z7" i="3"/>
  <c r="AB7" i="3"/>
  <c r="X7" i="3"/>
  <c r="AS15" i="3"/>
  <c r="Z15" i="3"/>
  <c r="X15" i="3"/>
  <c r="AB15" i="3"/>
  <c r="AM22" i="3"/>
  <c r="AM25" i="3" s="1"/>
  <c r="AB5" i="3"/>
  <c r="AB22" i="3" s="1"/>
  <c r="X5" i="3"/>
  <c r="Z5" i="3"/>
  <c r="X14" i="3"/>
  <c r="AB14" i="3"/>
  <c r="Z14" i="3"/>
  <c r="X18" i="3"/>
  <c r="AB18" i="3"/>
  <c r="Z18" i="3"/>
  <c r="AO22" i="3"/>
  <c r="AO25" i="3" s="1"/>
  <c r="AS20" i="3"/>
  <c r="AT20" i="3"/>
  <c r="AT15" i="3"/>
  <c r="AF16" i="1"/>
  <c r="AS6" i="3"/>
  <c r="AX6" i="3" s="1"/>
  <c r="BG5" i="3"/>
  <c r="AV19" i="3"/>
  <c r="BD5" i="3"/>
  <c r="BH5" i="3"/>
  <c r="AZ5" i="3"/>
  <c r="BD14" i="3"/>
  <c r="AZ14" i="3"/>
  <c r="BH14" i="3"/>
  <c r="BD7" i="3"/>
  <c r="AZ7" i="3"/>
  <c r="BH7" i="3"/>
  <c r="BD12" i="3"/>
  <c r="AZ12" i="3"/>
  <c r="BH12" i="3"/>
  <c r="BD9" i="3"/>
  <c r="AZ9" i="3"/>
  <c r="BH9" i="3"/>
  <c r="BC5" i="3"/>
  <c r="BH6" i="3"/>
  <c r="BD6" i="3"/>
  <c r="AZ6" i="3"/>
  <c r="BD8" i="3"/>
  <c r="AZ8" i="3"/>
  <c r="BH8" i="3"/>
  <c r="AY12" i="3"/>
  <c r="AX10" i="3"/>
  <c r="BB10" i="3"/>
  <c r="BF10" i="3"/>
  <c r="AY7" i="3"/>
  <c r="BC7" i="3"/>
  <c r="BG12" i="3"/>
  <c r="AF7" i="1"/>
  <c r="AG7" i="1"/>
  <c r="AG9" i="1"/>
  <c r="AF9" i="1"/>
  <c r="AF8" i="1"/>
  <c r="AG8" i="1"/>
  <c r="AF14" i="1"/>
  <c r="Q19" i="1"/>
  <c r="AG14" i="1"/>
  <c r="AF17" i="1"/>
  <c r="AG17" i="1"/>
  <c r="AG18" i="1"/>
  <c r="AF18" i="1"/>
  <c r="AG6" i="1"/>
  <c r="AF6" i="1"/>
  <c r="AG12" i="1"/>
  <c r="AF12" i="1"/>
  <c r="AF3" i="1"/>
  <c r="AG3" i="1"/>
  <c r="AT8" i="3"/>
  <c r="AS8" i="3"/>
  <c r="BG18" i="3"/>
  <c r="BC18" i="3"/>
  <c r="AT17" i="3"/>
  <c r="AS17" i="3"/>
  <c r="BG17" i="3"/>
  <c r="BC17" i="3"/>
  <c r="AY17" i="3"/>
  <c r="BC10" i="3"/>
  <c r="BG10" i="3"/>
  <c r="AS14" i="3"/>
  <c r="U19" i="3"/>
  <c r="AT14" i="3"/>
  <c r="AS18" i="3"/>
  <c r="AT18" i="3"/>
  <c r="AS9" i="3"/>
  <c r="AT9" i="3"/>
  <c r="BF6" i="3"/>
  <c r="BG15" i="3"/>
  <c r="BC15" i="3"/>
  <c r="AY15" i="3"/>
  <c r="AT3" i="3"/>
  <c r="AX7" i="3"/>
  <c r="BF7" i="3"/>
  <c r="BB7" i="3"/>
  <c r="V19" i="3"/>
  <c r="AU14" i="3"/>
  <c r="AU19" i="3" s="1"/>
  <c r="AT12" i="3"/>
  <c r="AS12" i="3"/>
  <c r="AS5" i="3"/>
  <c r="AX5" i="3" s="1"/>
  <c r="AT5" i="3"/>
  <c r="AT16" i="3"/>
  <c r="BF15" i="3"/>
  <c r="BB15" i="3"/>
  <c r="AX15" i="3"/>
  <c r="AS21" i="3" l="1"/>
  <c r="Z22" i="3"/>
  <c r="Z25" i="3" s="1"/>
  <c r="BB25" i="3" s="1"/>
  <c r="X25" i="3"/>
  <c r="AX25" i="3" s="1"/>
  <c r="AX16" i="3"/>
  <c r="BF16" i="3"/>
  <c r="E8" i="4"/>
  <c r="E9" i="4" s="1"/>
  <c r="X22" i="3"/>
  <c r="AB25" i="3"/>
  <c r="BF25" i="3" s="1"/>
  <c r="BB6" i="3"/>
  <c r="AZ19" i="3"/>
  <c r="BH19" i="3"/>
  <c r="BD19" i="3"/>
  <c r="AS19" i="3"/>
  <c r="E10" i="4"/>
  <c r="BG14" i="3"/>
  <c r="BG19" i="3" s="1"/>
  <c r="BG20" i="3" s="1"/>
  <c r="BC14" i="3"/>
  <c r="BC19" i="3" s="1"/>
  <c r="AY14" i="3"/>
  <c r="AY19" i="3" s="1"/>
  <c r="BF17" i="3"/>
  <c r="BB17" i="3"/>
  <c r="AX17" i="3"/>
  <c r="BB5" i="3"/>
  <c r="BF5" i="3"/>
  <c r="BB12" i="3"/>
  <c r="AX12" i="3"/>
  <c r="BF12" i="3"/>
  <c r="BF18" i="3"/>
  <c r="AX18" i="3"/>
  <c r="BB18" i="3"/>
  <c r="AX8" i="3"/>
  <c r="AX19" i="3" s="1"/>
  <c r="F6" i="4" s="1"/>
  <c r="BB8" i="3"/>
  <c r="BF8" i="3"/>
  <c r="BF14" i="3"/>
  <c r="AX14" i="3"/>
  <c r="BB14" i="3"/>
  <c r="BB16" i="3"/>
  <c r="BB3" i="3"/>
  <c r="BF3" i="3"/>
  <c r="BB9" i="3"/>
  <c r="AX9" i="3"/>
  <c r="BF9" i="3"/>
  <c r="BF19" i="3" l="1"/>
  <c r="G8" i="4"/>
  <c r="BF24" i="3"/>
  <c r="H8" i="4"/>
  <c r="F8" i="4"/>
  <c r="AY20" i="3"/>
  <c r="BF20" i="3"/>
  <c r="BB19" i="3"/>
  <c r="BC20" i="3"/>
  <c r="H6" i="4" l="1"/>
  <c r="H9" i="4" s="1"/>
  <c r="F9" i="4"/>
  <c r="AX20" i="3"/>
  <c r="BB20" i="3"/>
  <c r="G6" i="4"/>
  <c r="G9" i="4" s="1"/>
</calcChain>
</file>

<file path=xl/sharedStrings.xml><?xml version="1.0" encoding="utf-8"?>
<sst xmlns="http://schemas.openxmlformats.org/spreadsheetml/2006/main" count="688" uniqueCount="235">
  <si>
    <t>% Dry Mass</t>
  </si>
  <si>
    <t>Juvenile Male</t>
  </si>
  <si>
    <t>Wet wt</t>
  </si>
  <si>
    <t>Dry Wt</t>
  </si>
  <si>
    <t>Adult Male</t>
  </si>
  <si>
    <t>Adult Female</t>
  </si>
  <si>
    <t>Wet SD</t>
  </si>
  <si>
    <t>Dry Avg % Total</t>
  </si>
  <si>
    <t>Dry SD</t>
  </si>
  <si>
    <t>Section</t>
  </si>
  <si>
    <t>Wet Weight (kg)</t>
  </si>
  <si>
    <t>% Total</t>
  </si>
  <si>
    <t>% Guts</t>
  </si>
  <si>
    <t>Dry Wt (kg)</t>
  </si>
  <si>
    <t>Weight (kg)</t>
  </si>
  <si>
    <t>Guts No Stom Cont</t>
  </si>
  <si>
    <t>Total Guts</t>
  </si>
  <si>
    <t>Lungs</t>
  </si>
  <si>
    <t>Heart</t>
  </si>
  <si>
    <t>Kidneys</t>
  </si>
  <si>
    <t>Pancreas</t>
  </si>
  <si>
    <t>Liver</t>
  </si>
  <si>
    <t>Reprod. Organs</t>
  </si>
  <si>
    <t>Remaining Intestines</t>
  </si>
  <si>
    <t>Intestines</t>
  </si>
  <si>
    <t>Est. Total Intestines</t>
  </si>
  <si>
    <t>using regression</t>
  </si>
  <si>
    <t>Total Stomach</t>
  </si>
  <si>
    <t>Stomach</t>
  </si>
  <si>
    <t>Stomach Contents</t>
  </si>
  <si>
    <t>Bones</t>
  </si>
  <si>
    <t>Skin</t>
  </si>
  <si>
    <t>Muscle</t>
  </si>
  <si>
    <t>Total</t>
  </si>
  <si>
    <t>Identifier 1</t>
  </si>
  <si>
    <t>Age</t>
  </si>
  <si>
    <t>Sex</t>
  </si>
  <si>
    <t>Sample</t>
  </si>
  <si>
    <t>d 15N/14N</t>
  </si>
  <si>
    <t>d 13C/12C</t>
  </si>
  <si>
    <t>Amt% C</t>
  </si>
  <si>
    <t>Amt% N</t>
  </si>
  <si>
    <t>Amt% P</t>
  </si>
  <si>
    <t>WBAB1</t>
  </si>
  <si>
    <t>Adult</t>
  </si>
  <si>
    <t>Male</t>
  </si>
  <si>
    <t>bone</t>
  </si>
  <si>
    <t>WBAB2</t>
  </si>
  <si>
    <t>WBSB1</t>
  </si>
  <si>
    <t>Sub-adult</t>
  </si>
  <si>
    <t>WBSB2</t>
  </si>
  <si>
    <t>WBSB3</t>
  </si>
  <si>
    <t>B1</t>
  </si>
  <si>
    <t>Female</t>
  </si>
  <si>
    <t>B2</t>
  </si>
  <si>
    <t>B3</t>
  </si>
  <si>
    <t>WBAHr</t>
  </si>
  <si>
    <t>hair</t>
  </si>
  <si>
    <t>WBAH1</t>
  </si>
  <si>
    <t>heart</t>
  </si>
  <si>
    <t>WBAH2</t>
  </si>
  <si>
    <t>WBAH3</t>
  </si>
  <si>
    <t>WBSH1</t>
  </si>
  <si>
    <t>WBSH2</t>
  </si>
  <si>
    <t>WBSH3</t>
  </si>
  <si>
    <t>H1</t>
  </si>
  <si>
    <t>H2</t>
  </si>
  <si>
    <t>H3</t>
  </si>
  <si>
    <t>WBAI1</t>
  </si>
  <si>
    <t>intestine</t>
  </si>
  <si>
    <t>WBAI2</t>
  </si>
  <si>
    <t>WBAI3</t>
  </si>
  <si>
    <t>WBSI1</t>
  </si>
  <si>
    <t>WBSI2</t>
  </si>
  <si>
    <t>WBSI3</t>
  </si>
  <si>
    <t>I1</t>
  </si>
  <si>
    <t>I2</t>
  </si>
  <si>
    <t>I3</t>
  </si>
  <si>
    <t>WBAK1</t>
  </si>
  <si>
    <t>kidney</t>
  </si>
  <si>
    <t>WBAK2</t>
  </si>
  <si>
    <t>WBAK3</t>
  </si>
  <si>
    <t>WBSK1</t>
  </si>
  <si>
    <t>WBSK2</t>
  </si>
  <si>
    <t>WBSK3</t>
  </si>
  <si>
    <t>K1</t>
  </si>
  <si>
    <t>K2</t>
  </si>
  <si>
    <t>K3</t>
  </si>
  <si>
    <t>WBALi1</t>
  </si>
  <si>
    <t>liver</t>
  </si>
  <si>
    <t>WBALi2</t>
  </si>
  <si>
    <t>WBALi3</t>
  </si>
  <si>
    <t>WBSLi1</t>
  </si>
  <si>
    <t>WBSLi2</t>
  </si>
  <si>
    <t>WBSLi3</t>
  </si>
  <si>
    <t>L1</t>
  </si>
  <si>
    <t>L2</t>
  </si>
  <si>
    <t>L3</t>
  </si>
  <si>
    <t>WBALu1</t>
  </si>
  <si>
    <t>lung</t>
  </si>
  <si>
    <t>WBALu2</t>
  </si>
  <si>
    <t>WBALu3</t>
  </si>
  <si>
    <t>WBSLu1</t>
  </si>
  <si>
    <t>WBSLu2</t>
  </si>
  <si>
    <t>WBSLu3</t>
  </si>
  <si>
    <t>Lu1</t>
  </si>
  <si>
    <t>Lu2</t>
  </si>
  <si>
    <t>Lu3</t>
  </si>
  <si>
    <t>Ma1</t>
  </si>
  <si>
    <t>mammary</t>
  </si>
  <si>
    <t>MA2</t>
  </si>
  <si>
    <t>Ma3</t>
  </si>
  <si>
    <t>WBAM1</t>
  </si>
  <si>
    <t>muscle</t>
  </si>
  <si>
    <t>WBAM2</t>
  </si>
  <si>
    <t>WBAM3</t>
  </si>
  <si>
    <t>WBSM1</t>
  </si>
  <si>
    <t>WBSM2</t>
  </si>
  <si>
    <t>WBSM3</t>
  </si>
  <si>
    <t>M1</t>
  </si>
  <si>
    <t>M2</t>
  </si>
  <si>
    <t>M3</t>
  </si>
  <si>
    <t>WBAP1</t>
  </si>
  <si>
    <t>pancreas</t>
  </si>
  <si>
    <t>WBAP2</t>
  </si>
  <si>
    <t>WBAP3</t>
  </si>
  <si>
    <t>WBSP</t>
  </si>
  <si>
    <t>p1</t>
  </si>
  <si>
    <t>P2</t>
  </si>
  <si>
    <t>p3</t>
  </si>
  <si>
    <t>WBASk1</t>
  </si>
  <si>
    <t>skin</t>
  </si>
  <si>
    <t>WBASk2</t>
  </si>
  <si>
    <t>WBASk3</t>
  </si>
  <si>
    <t>WBSSk1</t>
  </si>
  <si>
    <t>WBSSk2</t>
  </si>
  <si>
    <t>WBSSk3</t>
  </si>
  <si>
    <t>S1</t>
  </si>
  <si>
    <t>S2</t>
  </si>
  <si>
    <t>S3</t>
  </si>
  <si>
    <t>WBAS1</t>
  </si>
  <si>
    <t>stomach</t>
  </si>
  <si>
    <t>WBAS2</t>
  </si>
  <si>
    <t>WBAS3</t>
  </si>
  <si>
    <t>WBSS1</t>
  </si>
  <si>
    <t>WBSS2</t>
  </si>
  <si>
    <t>WBSS3</t>
  </si>
  <si>
    <t>St1</t>
  </si>
  <si>
    <t>St2</t>
  </si>
  <si>
    <t>St3</t>
  </si>
  <si>
    <t>WBASC2a</t>
  </si>
  <si>
    <t>stomach contents</t>
  </si>
  <si>
    <t>WBASC1a</t>
  </si>
  <si>
    <t>WBASC3a</t>
  </si>
  <si>
    <t>WBSSC1a</t>
  </si>
  <si>
    <t>WBSSC2a</t>
  </si>
  <si>
    <t>WBSSC3a</t>
  </si>
  <si>
    <t>sc2</t>
  </si>
  <si>
    <t>Sc2</t>
  </si>
  <si>
    <t>Sc3</t>
  </si>
  <si>
    <t>U1</t>
  </si>
  <si>
    <t>uterus</t>
  </si>
  <si>
    <t>U2</t>
  </si>
  <si>
    <t>U3</t>
  </si>
  <si>
    <t>C</t>
  </si>
  <si>
    <t>N</t>
  </si>
  <si>
    <t>P</t>
  </si>
  <si>
    <t>Wet Avg % Total</t>
  </si>
  <si>
    <t>Avg % C</t>
  </si>
  <si>
    <t>Avg % N</t>
  </si>
  <si>
    <t>Avg % P</t>
  </si>
  <si>
    <t>Reprod. Organs (uterus + fetus + mammary glands)</t>
  </si>
  <si>
    <t>average of uterus + mammary</t>
  </si>
  <si>
    <t>Uterus + Mammary (Avg)</t>
  </si>
  <si>
    <t>Uterus + Mammary</t>
  </si>
  <si>
    <t>Avg % C by indiv</t>
  </si>
  <si>
    <t>Avg % N by indiv</t>
  </si>
  <si>
    <t>Avg % P by indiv</t>
  </si>
  <si>
    <t>Avg % C by tissue</t>
  </si>
  <si>
    <t>Avg % N by tissue</t>
  </si>
  <si>
    <t>Avg % P by tissue</t>
  </si>
  <si>
    <t>% C</t>
  </si>
  <si>
    <t>% N</t>
  </si>
  <si>
    <t>% P</t>
  </si>
  <si>
    <t>Carcass % C</t>
  </si>
  <si>
    <t>Carcass % N</t>
  </si>
  <si>
    <t>Carcass % P</t>
  </si>
  <si>
    <t>Juv</t>
  </si>
  <si>
    <t>Weight (lb)</t>
  </si>
  <si>
    <t>Dry Avg % Soft</t>
  </si>
  <si>
    <t>Soft Tissue</t>
  </si>
  <si>
    <t>% Soft Tissue</t>
  </si>
  <si>
    <t>Soft % C</t>
  </si>
  <si>
    <t>Soft % N</t>
  </si>
  <si>
    <t>Soft % P</t>
  </si>
  <si>
    <t>Muscle and Organs</t>
  </si>
  <si>
    <t>Average Carcass</t>
  </si>
  <si>
    <t>Dry Weight (kg)</t>
  </si>
  <si>
    <t>C (kg)</t>
  </si>
  <si>
    <t>N (kg)</t>
  </si>
  <si>
    <t>P (kg)</t>
  </si>
  <si>
    <t>Fast Decomp (no bone)</t>
  </si>
  <si>
    <t>% DM Total</t>
  </si>
  <si>
    <t>% DM Soft Tissue</t>
  </si>
  <si>
    <t>Bone</t>
  </si>
  <si>
    <r>
      <t>Internal Organs</t>
    </r>
    <r>
      <rPr>
        <vertAlign val="superscript"/>
        <sz val="11"/>
        <color theme="1"/>
        <rFont val="Calibri"/>
        <family val="2"/>
        <scheme val="minor"/>
      </rPr>
      <t>*</t>
    </r>
  </si>
  <si>
    <t xml:space="preserve">Bone </t>
  </si>
  <si>
    <t>Total Carcass</t>
  </si>
  <si>
    <t>41.5: 2.0: 0.6</t>
  </si>
  <si>
    <t>45.6: 13.7: 0.3</t>
  </si>
  <si>
    <t>43.1: 14.5: 0.2</t>
  </si>
  <si>
    <t>24.0: 4.8: 9.1</t>
  </si>
  <si>
    <t>Carcass part</t>
  </si>
  <si>
    <t>% by mass</t>
  </si>
  <si>
    <t>C - % mass</t>
  </si>
  <si>
    <t>N - % mass</t>
  </si>
  <si>
    <t>P - % mass</t>
  </si>
  <si>
    <t>Muscle and organs</t>
  </si>
  <si>
    <t>35.6: 8.2: 4.2</t>
  </si>
  <si>
    <t>Dry Avg Wt</t>
  </si>
  <si>
    <t>Int Org % C</t>
  </si>
  <si>
    <t>Dry Avg % Guts</t>
  </si>
  <si>
    <t>Int Org % N</t>
  </si>
  <si>
    <t>Int Org % P</t>
  </si>
  <si>
    <t>48.2: 10.6: 0.5</t>
  </si>
  <si>
    <t>%WM Soft Tissue</t>
  </si>
  <si>
    <t>%Bone</t>
  </si>
  <si>
    <t>%C</t>
  </si>
  <si>
    <t>%N</t>
  </si>
  <si>
    <t>%P</t>
  </si>
  <si>
    <t>Body part</t>
  </si>
  <si>
    <t>Days to 95% Loss</t>
  </si>
  <si>
    <t>internal organs</t>
  </si>
  <si>
    <t>% Body (WM)</t>
  </si>
  <si>
    <t>% soft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</si>
</sst>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BA97"/>
        <bgColor indexed="64"/>
      </patternFill>
    </fill>
    <fill>
      <patternFill patternType="solid">
        <fgColor rgb="FFCA788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4" borderId="0" xfId="0" applyFill="1"/>
    <xf numFmtId="164" fontId="0" fillId="0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Border="1"/>
    <xf numFmtId="164" fontId="0" fillId="0" borderId="0" xfId="0" applyNumberFormat="1" applyFill="1"/>
    <xf numFmtId="2" fontId="0" fillId="0" borderId="0" xfId="0" applyNumberFormat="1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3" fillId="0" borderId="0" xfId="0" applyFont="1" applyFill="1"/>
    <xf numFmtId="164" fontId="3" fillId="0" borderId="0" xfId="0" applyNumberFormat="1" applyFont="1" applyFill="1" applyAlignment="1">
      <alignment horizontal="right" vertical="center"/>
    </xf>
    <xf numFmtId="165" fontId="0" fillId="0" borderId="0" xfId="0" applyNumberFormat="1"/>
    <xf numFmtId="0" fontId="3" fillId="0" borderId="1" xfId="0" applyFont="1" applyFill="1" applyBorder="1"/>
    <xf numFmtId="2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Border="1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 vertical="center"/>
    </xf>
    <xf numFmtId="0" fontId="0" fillId="0" borderId="0" xfId="0" applyFill="1"/>
    <xf numFmtId="0" fontId="1" fillId="0" borderId="0" xfId="0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0" fontId="0" fillId="0" borderId="0" xfId="0" applyFont="1" applyFill="1"/>
    <xf numFmtId="2" fontId="0" fillId="0" borderId="0" xfId="0" applyNumberFormat="1" applyFill="1" applyBorder="1"/>
    <xf numFmtId="2" fontId="0" fillId="7" borderId="0" xfId="0" applyNumberFormat="1" applyFill="1"/>
    <xf numFmtId="0" fontId="0" fillId="7" borderId="0" xfId="0" applyFill="1"/>
    <xf numFmtId="164" fontId="0" fillId="7" borderId="0" xfId="0" applyNumberFormat="1" applyFont="1" applyFill="1"/>
    <xf numFmtId="164" fontId="0" fillId="7" borderId="0" xfId="0" applyNumberFormat="1" applyFill="1"/>
    <xf numFmtId="2" fontId="0" fillId="7" borderId="0" xfId="0" applyNumberFormat="1" applyFont="1" applyFill="1"/>
    <xf numFmtId="164" fontId="3" fillId="7" borderId="0" xfId="0" applyNumberFormat="1" applyFont="1" applyFill="1" applyAlignment="1">
      <alignment horizontal="right" vertical="center"/>
    </xf>
    <xf numFmtId="0" fontId="1" fillId="3" borderId="0" xfId="0" applyFont="1" applyFill="1"/>
    <xf numFmtId="2" fontId="0" fillId="8" borderId="0" xfId="0" applyNumberFormat="1" applyFill="1"/>
    <xf numFmtId="2" fontId="0" fillId="9" borderId="0" xfId="0" applyNumberFormat="1" applyFill="1"/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0" xfId="0" applyFont="1"/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10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7880"/>
      <color rgb="FFDDBA97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13</xdr:row>
      <xdr:rowOff>123825</xdr:rowOff>
    </xdr:from>
    <xdr:to>
      <xdr:col>17</xdr:col>
      <xdr:colOff>133350</xdr:colOff>
      <xdr:row>34</xdr:row>
      <xdr:rowOff>96837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8433" t="19448" r="6200" b="41967"/>
        <a:stretch/>
      </xdr:blipFill>
      <xdr:spPr>
        <a:xfrm>
          <a:off x="57150" y="2409825"/>
          <a:ext cx="11068050" cy="396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"/>
  <sheetViews>
    <sheetView zoomScale="80" zoomScaleNormal="80" workbookViewId="0">
      <selection activeCell="K26" sqref="K26"/>
    </sheetView>
  </sheetViews>
  <sheetFormatPr defaultRowHeight="14.25" x14ac:dyDescent="0.45"/>
  <cols>
    <col min="1" max="1" width="11.73046875" style="7" bestFit="1" customWidth="1"/>
    <col min="2" max="2" width="17.265625" bestFit="1" customWidth="1"/>
    <col min="3" max="3" width="11.3984375" bestFit="1" customWidth="1"/>
    <col min="4" max="5" width="11.3984375" style="9" customWidth="1"/>
    <col min="6" max="10" width="11.3984375" style="7" customWidth="1"/>
    <col min="11" max="11" width="20" bestFit="1" customWidth="1"/>
    <col min="12" max="12" width="11.3984375" bestFit="1" customWidth="1"/>
    <col min="13" max="13" width="11.3984375" style="9" customWidth="1"/>
    <col min="31" max="31" width="9.1328125" style="9"/>
    <col min="32" max="32" width="9.73046875" style="9" customWidth="1"/>
    <col min="33" max="33" width="9.1328125" style="9"/>
  </cols>
  <sheetData>
    <row r="1" spans="1:33" s="2" customFormat="1" x14ac:dyDescent="0.45">
      <c r="A1" s="1" t="s">
        <v>0</v>
      </c>
      <c r="B1" s="2" t="s">
        <v>1</v>
      </c>
      <c r="C1" s="3" t="s">
        <v>2</v>
      </c>
      <c r="D1" s="4"/>
      <c r="E1" s="4"/>
      <c r="F1" s="5" t="s">
        <v>3</v>
      </c>
      <c r="G1" s="5"/>
      <c r="H1" s="5"/>
      <c r="I1" s="5"/>
      <c r="J1" s="5"/>
      <c r="K1" s="2" t="s">
        <v>4</v>
      </c>
      <c r="L1" s="3" t="s">
        <v>2</v>
      </c>
      <c r="M1" s="4"/>
      <c r="N1" s="4"/>
      <c r="O1" s="4"/>
      <c r="P1" s="6" t="s">
        <v>3</v>
      </c>
      <c r="Q1" s="6"/>
      <c r="R1" s="6"/>
      <c r="S1" s="6"/>
      <c r="T1" s="6"/>
      <c r="U1" s="2" t="s">
        <v>5</v>
      </c>
      <c r="V1" s="3" t="s">
        <v>2</v>
      </c>
      <c r="W1" s="4"/>
      <c r="X1" s="4"/>
      <c r="Y1" s="6" t="s">
        <v>3</v>
      </c>
      <c r="Z1" s="6"/>
      <c r="AA1" s="6"/>
      <c r="AB1" s="6"/>
      <c r="AC1" s="6"/>
      <c r="AD1" s="3" t="s">
        <v>167</v>
      </c>
      <c r="AE1" s="4" t="s">
        <v>6</v>
      </c>
      <c r="AF1" s="6" t="s">
        <v>7</v>
      </c>
      <c r="AG1" s="6" t="s">
        <v>8</v>
      </c>
    </row>
    <row r="2" spans="1:33" x14ac:dyDescent="0.45">
      <c r="B2" s="2" t="s">
        <v>9</v>
      </c>
      <c r="C2" s="2" t="s">
        <v>10</v>
      </c>
      <c r="D2" s="8" t="s">
        <v>11</v>
      </c>
      <c r="E2" s="8" t="s">
        <v>12</v>
      </c>
      <c r="F2" s="1" t="s">
        <v>13</v>
      </c>
      <c r="G2" s="1" t="s">
        <v>11</v>
      </c>
      <c r="H2" s="1" t="s">
        <v>164</v>
      </c>
      <c r="I2" s="1" t="s">
        <v>165</v>
      </c>
      <c r="J2" s="1" t="s">
        <v>166</v>
      </c>
      <c r="K2" s="2" t="s">
        <v>9</v>
      </c>
      <c r="L2" s="2" t="s">
        <v>14</v>
      </c>
      <c r="M2" s="8" t="s">
        <v>11</v>
      </c>
      <c r="O2" s="8" t="s">
        <v>12</v>
      </c>
      <c r="P2" s="1" t="s">
        <v>13</v>
      </c>
      <c r="Q2" s="1" t="s">
        <v>11</v>
      </c>
      <c r="R2" s="1" t="s">
        <v>164</v>
      </c>
      <c r="S2" s="1" t="s">
        <v>165</v>
      </c>
      <c r="T2" s="1" t="s">
        <v>166</v>
      </c>
      <c r="U2" s="2" t="s">
        <v>9</v>
      </c>
      <c r="V2" s="2" t="s">
        <v>14</v>
      </c>
      <c r="W2" s="2" t="s">
        <v>11</v>
      </c>
      <c r="X2" s="8" t="s">
        <v>12</v>
      </c>
      <c r="Y2" s="1" t="s">
        <v>13</v>
      </c>
      <c r="Z2" s="1" t="s">
        <v>11</v>
      </c>
      <c r="AA2" s="1" t="s">
        <v>164</v>
      </c>
      <c r="AB2" s="1" t="s">
        <v>165</v>
      </c>
      <c r="AC2" s="1" t="s">
        <v>166</v>
      </c>
    </row>
    <row r="3" spans="1:33" s="11" customFormat="1" x14ac:dyDescent="0.45">
      <c r="A3" s="10"/>
      <c r="B3" s="11" t="s">
        <v>15</v>
      </c>
      <c r="C3" s="11">
        <f>SUM(C5:C9,C12,C14)</f>
        <v>9.7000000000000011</v>
      </c>
      <c r="D3" s="12">
        <f>C3/C$19*100</f>
        <v>11.743341404358356</v>
      </c>
      <c r="E3" s="12"/>
      <c r="F3" s="10">
        <f>SUM(F5:F9,F12,F14)</f>
        <v>1.670431630591493</v>
      </c>
      <c r="G3" s="10">
        <f>F3/F$19*100</f>
        <v>6.3227782325494797</v>
      </c>
      <c r="H3" s="10"/>
      <c r="I3" s="10"/>
      <c r="J3" s="10"/>
      <c r="K3" s="11" t="s">
        <v>15</v>
      </c>
      <c r="L3" s="11">
        <f>SUM(L5:L10,L12,L14)</f>
        <v>17.255749999999999</v>
      </c>
      <c r="M3" s="12">
        <f>L3/L$19*100</f>
        <v>11.538005058314374</v>
      </c>
      <c r="O3" s="12"/>
      <c r="P3" s="10">
        <f>SUM(P5:P9,P12,P14)</f>
        <v>1.9477182521486802</v>
      </c>
      <c r="Q3" s="10">
        <f>P3/P$19*100</f>
        <v>6.1641441346166435</v>
      </c>
      <c r="R3" s="10"/>
      <c r="S3" s="10"/>
      <c r="T3" s="10"/>
      <c r="U3" s="11" t="s">
        <v>15</v>
      </c>
      <c r="V3" s="11">
        <f>SUM(V5:V10,V12,V14)</f>
        <v>20.599999999999998</v>
      </c>
      <c r="W3" s="12">
        <f>V3/V$19*100</f>
        <v>15.993788819875776</v>
      </c>
      <c r="X3" s="12"/>
      <c r="Y3" s="10">
        <f>SUM(Y5:Y9,Y12,Y14)</f>
        <v>3.0532180039262724</v>
      </c>
      <c r="Z3" s="10">
        <f>Y3/Y$19*100</f>
        <v>8.0872935144923694</v>
      </c>
      <c r="AA3" s="10"/>
      <c r="AB3" s="10"/>
      <c r="AC3" s="10"/>
      <c r="AD3" s="9">
        <f>AVERAGE(D3,M3,W3)</f>
        <v>13.091711760849501</v>
      </c>
      <c r="AE3" s="9">
        <f>STDEV(D3,M3,W3)</f>
        <v>2.515368600453352</v>
      </c>
      <c r="AF3" s="9">
        <f>AVERAGE(G3,Q3,Z3)</f>
        <v>6.8580719605528309</v>
      </c>
      <c r="AG3" s="9">
        <f>STDEV(G3,Q3,Z3)</f>
        <v>1.0674878995842989</v>
      </c>
    </row>
    <row r="4" spans="1:33" x14ac:dyDescent="0.45">
      <c r="B4" t="s">
        <v>16</v>
      </c>
      <c r="C4" s="13">
        <v>22.5</v>
      </c>
      <c r="D4" s="12">
        <f>C4/C$19*100</f>
        <v>27.239709443099276</v>
      </c>
      <c r="E4" s="14"/>
      <c r="F4" s="15"/>
      <c r="G4" s="15"/>
      <c r="H4" s="15"/>
      <c r="I4" s="15"/>
      <c r="J4" s="15"/>
      <c r="K4" t="s">
        <v>16</v>
      </c>
      <c r="L4" s="13">
        <v>43.8</v>
      </c>
      <c r="M4" s="12">
        <f t="shared" ref="M4:M9" si="0">L4/L$19*100</f>
        <v>29.286737554390253</v>
      </c>
      <c r="O4" s="14"/>
      <c r="P4" s="15"/>
      <c r="Q4" s="15"/>
      <c r="R4" s="15"/>
      <c r="S4" s="15"/>
      <c r="T4" s="15"/>
      <c r="U4" t="s">
        <v>16</v>
      </c>
      <c r="V4" s="13">
        <f>SUM(V5:V10,V12,V13)</f>
        <v>48.599999999999994</v>
      </c>
      <c r="W4" s="12">
        <f t="shared" ref="W4:W17" si="1">V4/V$19*100</f>
        <v>37.732919254658384</v>
      </c>
      <c r="X4" s="14"/>
      <c r="Y4" s="15"/>
      <c r="Z4" s="15"/>
      <c r="AA4" s="15"/>
      <c r="AB4" s="15"/>
      <c r="AC4" s="15"/>
      <c r="AD4" s="9">
        <f>AVERAGE(D4,M4,W4)</f>
        <v>31.41978875071597</v>
      </c>
      <c r="AE4" s="9">
        <f>STDEV(D4,M4,W4)</f>
        <v>5.5623100949120046</v>
      </c>
    </row>
    <row r="5" spans="1:33" x14ac:dyDescent="0.45">
      <c r="A5" s="16">
        <v>0.14819762632174693</v>
      </c>
      <c r="B5" t="s">
        <v>17</v>
      </c>
      <c r="C5">
        <v>1.4</v>
      </c>
      <c r="D5" s="12">
        <f t="shared" ref="D5:D9" si="2">C5/C$19*100</f>
        <v>1.6949152542372881</v>
      </c>
      <c r="E5" s="17">
        <f>C5/C$4*100</f>
        <v>6.2222222222222223</v>
      </c>
      <c r="F5" s="18">
        <f>C5*$A5</f>
        <v>0.20747667685044568</v>
      </c>
      <c r="G5" s="10">
        <f t="shared" ref="G5:G9" si="3">F5/F$19*100</f>
        <v>0.78532338117136058</v>
      </c>
      <c r="H5" s="10"/>
      <c r="I5" s="10"/>
      <c r="J5" s="10"/>
      <c r="K5" t="s">
        <v>17</v>
      </c>
      <c r="L5">
        <v>2.2000000000000002</v>
      </c>
      <c r="M5" s="12">
        <f t="shared" si="0"/>
        <v>1.4710233474807892</v>
      </c>
      <c r="O5" s="17">
        <f>M5/M$4*100</f>
        <v>5.0228310502283113</v>
      </c>
      <c r="P5" s="18">
        <f>M5*$A5</f>
        <v>0.2180021683605233</v>
      </c>
      <c r="Q5" s="10">
        <f t="shared" ref="Q5:Q9" si="4">P5/P$19*100</f>
        <v>0.68993386797642953</v>
      </c>
      <c r="R5" s="10"/>
      <c r="S5" s="10"/>
      <c r="T5" s="10"/>
      <c r="U5" t="s">
        <v>17</v>
      </c>
      <c r="V5">
        <v>2.2999999999999998</v>
      </c>
      <c r="W5" s="12">
        <f t="shared" si="1"/>
        <v>1.785714285714286</v>
      </c>
      <c r="X5" s="17">
        <f>V5/V$4*100</f>
        <v>4.7325102880658436</v>
      </c>
      <c r="Y5" s="18">
        <f>V5*$A5</f>
        <v>0.3408545405400179</v>
      </c>
      <c r="Z5" s="10">
        <f t="shared" ref="Z5:Z9" si="5">Y5/Y$19*100</f>
        <v>0.90284765501504882</v>
      </c>
      <c r="AA5" s="10"/>
      <c r="AB5" s="10"/>
      <c r="AC5" s="10"/>
      <c r="AD5" s="9">
        <f t="shared" ref="AD5:AD10" si="6">AVERAGE(D5,M5,W5)</f>
        <v>1.6505509624774544</v>
      </c>
      <c r="AE5" s="9">
        <f t="shared" ref="AE5:AE9" si="7">STDEV(D5,M5,W5)</f>
        <v>0.16196832850617235</v>
      </c>
      <c r="AF5" s="9">
        <f>AVERAGE(G5,Q5,Z5)</f>
        <v>0.79270163472094624</v>
      </c>
      <c r="AG5" s="9">
        <f t="shared" ref="AG5:AG9" si="8">STDEV(G5,Q5,Z5)</f>
        <v>0.10664848403452884</v>
      </c>
    </row>
    <row r="6" spans="1:33" x14ac:dyDescent="0.45">
      <c r="A6" s="7">
        <v>0.20909607895840013</v>
      </c>
      <c r="B6" t="s">
        <v>18</v>
      </c>
      <c r="C6">
        <v>0.6</v>
      </c>
      <c r="D6" s="12">
        <f t="shared" si="2"/>
        <v>0.72639225181598066</v>
      </c>
      <c r="E6" s="17">
        <f t="shared" ref="E6:E9" si="9">C6/C$4*100</f>
        <v>2.6666666666666665</v>
      </c>
      <c r="F6" s="18">
        <f>C6*$A6</f>
        <v>0.12545764737504006</v>
      </c>
      <c r="G6" s="10">
        <f t="shared" si="3"/>
        <v>0.4748718040312061</v>
      </c>
      <c r="H6" s="10"/>
      <c r="I6" s="10"/>
      <c r="J6" s="10"/>
      <c r="K6" t="s">
        <v>18</v>
      </c>
      <c r="L6">
        <v>1.6</v>
      </c>
      <c r="M6" s="12">
        <f t="shared" si="0"/>
        <v>1.0698351618042101</v>
      </c>
      <c r="O6" s="17">
        <f t="shared" ref="O6:O9" si="10">M6/M$4*100</f>
        <v>3.6529680365296802</v>
      </c>
      <c r="P6" s="18">
        <f>M6*$A6</f>
        <v>0.22369833746508588</v>
      </c>
      <c r="Q6" s="10">
        <f t="shared" si="4"/>
        <v>0.70796111978091381</v>
      </c>
      <c r="R6" s="10"/>
      <c r="S6" s="10"/>
      <c r="T6" s="10"/>
      <c r="U6" t="s">
        <v>18</v>
      </c>
      <c r="V6">
        <v>1</v>
      </c>
      <c r="W6" s="12">
        <f t="shared" si="1"/>
        <v>0.77639751552795033</v>
      </c>
      <c r="X6" s="17">
        <f t="shared" ref="X6:X9" si="11">V6/V$4*100</f>
        <v>2.0576131687242802</v>
      </c>
      <c r="Y6" s="18">
        <f>V6*$A6</f>
        <v>0.20909607895840013</v>
      </c>
      <c r="Z6" s="10">
        <f t="shared" si="5"/>
        <v>0.55384887718187581</v>
      </c>
      <c r="AA6" s="10"/>
      <c r="AB6" s="10"/>
      <c r="AC6" s="10"/>
      <c r="AD6" s="9">
        <f t="shared" si="6"/>
        <v>0.8575416430493803</v>
      </c>
      <c r="AE6" s="9">
        <f t="shared" si="7"/>
        <v>0.18554389016808537</v>
      </c>
      <c r="AF6" s="9">
        <f t="shared" ref="AF6:AF9" si="12">AVERAGE(G6,Q6,Z6)</f>
        <v>0.57889393366466535</v>
      </c>
      <c r="AG6" s="9">
        <f t="shared" si="8"/>
        <v>0.11854576508604663</v>
      </c>
    </row>
    <row r="7" spans="1:33" x14ac:dyDescent="0.45">
      <c r="A7" s="7">
        <v>0.14597894454941129</v>
      </c>
      <c r="B7" t="s">
        <v>19</v>
      </c>
      <c r="C7">
        <v>0.2</v>
      </c>
      <c r="D7" s="12">
        <f t="shared" si="2"/>
        <v>0.24213075060532688</v>
      </c>
      <c r="E7" s="17">
        <f t="shared" si="9"/>
        <v>0.88888888888888884</v>
      </c>
      <c r="F7" s="18">
        <f t="shared" ref="F7:F9" si="13">C7*$A7</f>
        <v>2.919578890988226E-2</v>
      </c>
      <c r="G7" s="10">
        <f t="shared" si="3"/>
        <v>0.11050946068121774</v>
      </c>
      <c r="H7" s="10"/>
      <c r="I7" s="10"/>
      <c r="J7" s="10"/>
      <c r="K7" t="s">
        <v>19</v>
      </c>
      <c r="L7">
        <v>0.4</v>
      </c>
      <c r="M7" s="12">
        <f t="shared" si="0"/>
        <v>0.26745879045105253</v>
      </c>
      <c r="O7" s="17">
        <f t="shared" si="10"/>
        <v>0.91324200913242004</v>
      </c>
      <c r="P7" s="18">
        <f t="shared" ref="P7:P9" si="14">M7*$A7</f>
        <v>3.9043351940506815E-2</v>
      </c>
      <c r="Q7" s="10">
        <f t="shared" si="4"/>
        <v>0.1235645086728267</v>
      </c>
      <c r="R7" s="10"/>
      <c r="S7" s="10"/>
      <c r="T7" s="10"/>
      <c r="U7" t="s">
        <v>19</v>
      </c>
      <c r="V7">
        <v>0.4</v>
      </c>
      <c r="W7" s="12">
        <f t="shared" si="1"/>
        <v>0.31055900621118021</v>
      </c>
      <c r="X7" s="17">
        <f t="shared" si="11"/>
        <v>0.82304526748971196</v>
      </c>
      <c r="Y7" s="18">
        <f t="shared" ref="Y7:Y8" si="15">V7*$A7</f>
        <v>5.839157781976452E-2</v>
      </c>
      <c r="Z7" s="10">
        <f t="shared" si="5"/>
        <v>0.15466626621338411</v>
      </c>
      <c r="AA7" s="10"/>
      <c r="AB7" s="10"/>
      <c r="AC7" s="10"/>
      <c r="AD7" s="9">
        <f t="shared" si="6"/>
        <v>0.27338284908918653</v>
      </c>
      <c r="AE7" s="9">
        <f t="shared" si="7"/>
        <v>3.4596638483760905E-2</v>
      </c>
      <c r="AF7" s="9">
        <f t="shared" si="12"/>
        <v>0.12958007852247619</v>
      </c>
      <c r="AG7" s="9">
        <f t="shared" si="8"/>
        <v>2.2684712454941951E-2</v>
      </c>
    </row>
    <row r="8" spans="1:33" x14ac:dyDescent="0.45">
      <c r="A8" s="7">
        <v>0.19885102087935894</v>
      </c>
      <c r="B8" t="s">
        <v>20</v>
      </c>
      <c r="C8">
        <v>0.2</v>
      </c>
      <c r="D8" s="12">
        <f t="shared" si="2"/>
        <v>0.24213075060532688</v>
      </c>
      <c r="E8" s="17">
        <f t="shared" si="9"/>
        <v>0.88888888888888884</v>
      </c>
      <c r="F8" s="18">
        <f t="shared" si="13"/>
        <v>3.9770204175871793E-2</v>
      </c>
      <c r="G8" s="10">
        <f t="shared" si="3"/>
        <v>0.15053485378399489</v>
      </c>
      <c r="H8" s="10"/>
      <c r="I8" s="10"/>
      <c r="J8" s="10"/>
      <c r="K8" t="s">
        <v>20</v>
      </c>
      <c r="L8">
        <v>0.6</v>
      </c>
      <c r="M8" s="12">
        <f t="shared" si="0"/>
        <v>0.40118818567657877</v>
      </c>
      <c r="O8" s="17">
        <f t="shared" si="10"/>
        <v>1.3698630136986301</v>
      </c>
      <c r="P8" s="18">
        <f>M8*$A8</f>
        <v>7.97766802865255E-2</v>
      </c>
      <c r="Q8" s="10">
        <f t="shared" si="4"/>
        <v>0.25247745936809912</v>
      </c>
      <c r="R8" s="10"/>
      <c r="S8" s="10"/>
      <c r="T8" s="10"/>
      <c r="U8" t="s">
        <v>20</v>
      </c>
      <c r="V8">
        <v>0.4</v>
      </c>
      <c r="W8" s="12">
        <f t="shared" si="1"/>
        <v>0.31055900621118021</v>
      </c>
      <c r="X8" s="17">
        <f>V8/V$4*100</f>
        <v>0.82304526748971196</v>
      </c>
      <c r="Y8" s="18">
        <f t="shared" si="15"/>
        <v>7.9540408351743586E-2</v>
      </c>
      <c r="Z8" s="10">
        <f t="shared" si="5"/>
        <v>0.21068480133941458</v>
      </c>
      <c r="AA8" s="10"/>
      <c r="AB8" s="10"/>
      <c r="AC8" s="10"/>
      <c r="AD8" s="9">
        <f t="shared" si="6"/>
        <v>0.31795931416436196</v>
      </c>
      <c r="AE8" s="9">
        <f t="shared" si="7"/>
        <v>7.9786529760435251E-2</v>
      </c>
      <c r="AF8" s="9">
        <f t="shared" si="12"/>
        <v>0.20456570483050288</v>
      </c>
      <c r="AG8" s="9">
        <f t="shared" si="8"/>
        <v>5.1246036089468171E-2</v>
      </c>
    </row>
    <row r="9" spans="1:33" x14ac:dyDescent="0.45">
      <c r="A9" s="7">
        <v>0.24254539700206126</v>
      </c>
      <c r="B9" t="s">
        <v>21</v>
      </c>
      <c r="C9">
        <v>1.4</v>
      </c>
      <c r="D9" s="12">
        <f t="shared" si="2"/>
        <v>1.6949152542372881</v>
      </c>
      <c r="E9" s="17">
        <f t="shared" si="9"/>
        <v>6.2222222222222223</v>
      </c>
      <c r="F9" s="18">
        <f t="shared" si="13"/>
        <v>0.33956355580288577</v>
      </c>
      <c r="G9" s="10">
        <f t="shared" si="3"/>
        <v>1.2852875986533778</v>
      </c>
      <c r="H9" s="10"/>
      <c r="I9" s="10"/>
      <c r="J9" s="10"/>
      <c r="K9" t="s">
        <v>21</v>
      </c>
      <c r="L9">
        <v>1.5</v>
      </c>
      <c r="M9" s="12">
        <f t="shared" si="0"/>
        <v>1.002970464191447</v>
      </c>
      <c r="O9" s="17">
        <f t="shared" si="10"/>
        <v>3.4246575342465753</v>
      </c>
      <c r="P9" s="18">
        <f t="shared" si="14"/>
        <v>0.24326586941865619</v>
      </c>
      <c r="Q9" s="10">
        <f t="shared" si="4"/>
        <v>0.76988849926070357</v>
      </c>
      <c r="R9" s="10"/>
      <c r="S9" s="10"/>
      <c r="T9" s="10"/>
      <c r="U9" t="s">
        <v>21</v>
      </c>
      <c r="V9">
        <v>1.5</v>
      </c>
      <c r="W9" s="12">
        <f t="shared" si="1"/>
        <v>1.1645962732919255</v>
      </c>
      <c r="X9" s="17">
        <f t="shared" si="11"/>
        <v>3.0864197530864201</v>
      </c>
      <c r="Y9" s="18">
        <f>V9*$A9</f>
        <v>0.36381809550309191</v>
      </c>
      <c r="Z9" s="10">
        <f t="shared" si="5"/>
        <v>0.96367299040994725</v>
      </c>
      <c r="AA9" s="10"/>
      <c r="AB9" s="10"/>
      <c r="AC9" s="10"/>
      <c r="AD9" s="9">
        <f t="shared" si="6"/>
        <v>1.2874939972402202</v>
      </c>
      <c r="AE9" s="9">
        <f t="shared" si="7"/>
        <v>0.36197346039682127</v>
      </c>
      <c r="AF9" s="9">
        <f t="shared" si="12"/>
        <v>1.006283029441343</v>
      </c>
      <c r="AG9" s="9">
        <f t="shared" si="8"/>
        <v>0.26032819571338706</v>
      </c>
    </row>
    <row r="10" spans="1:33" x14ac:dyDescent="0.45">
      <c r="A10" s="7">
        <v>0.18</v>
      </c>
      <c r="B10" t="s">
        <v>174</v>
      </c>
      <c r="D10" s="17"/>
      <c r="E10" s="17"/>
      <c r="F10" s="18"/>
      <c r="G10" s="18"/>
      <c r="H10" s="18"/>
      <c r="I10" s="18"/>
      <c r="J10" s="18"/>
      <c r="O10" s="17"/>
      <c r="P10" s="18"/>
      <c r="Q10" s="18"/>
      <c r="R10" s="18"/>
      <c r="S10" s="18"/>
      <c r="T10" s="18"/>
      <c r="U10" t="s">
        <v>22</v>
      </c>
      <c r="V10">
        <f>1.6+0.7</f>
        <v>2.2999999999999998</v>
      </c>
      <c r="W10" s="12">
        <f t="shared" si="1"/>
        <v>1.785714285714286</v>
      </c>
      <c r="X10" s="17"/>
      <c r="Y10" s="18">
        <f>V10*$A10</f>
        <v>0.41399999999999998</v>
      </c>
      <c r="Z10" s="10">
        <f>Y10/Y$19*100</f>
        <v>1.0965936630447992</v>
      </c>
      <c r="AA10" s="10"/>
      <c r="AB10" s="10"/>
      <c r="AC10" s="10"/>
      <c r="AD10" s="9">
        <f t="shared" si="6"/>
        <v>1.785714285714286</v>
      </c>
    </row>
    <row r="11" spans="1:33" x14ac:dyDescent="0.45">
      <c r="D11" s="17"/>
      <c r="E11" s="17"/>
      <c r="F11" s="18"/>
      <c r="G11" s="18"/>
      <c r="H11" s="18"/>
      <c r="I11" s="18"/>
      <c r="J11" s="18"/>
      <c r="K11" t="s">
        <v>23</v>
      </c>
      <c r="L11">
        <v>1.4</v>
      </c>
      <c r="O11" s="17"/>
      <c r="P11" s="18"/>
      <c r="Q11" s="18"/>
      <c r="R11" s="18"/>
      <c r="S11" s="18"/>
      <c r="T11" s="18"/>
      <c r="W11" s="9"/>
      <c r="X11" s="17"/>
      <c r="Y11" s="18"/>
      <c r="Z11" s="18"/>
      <c r="AA11" s="18"/>
      <c r="AB11" s="18"/>
      <c r="AC11" s="18"/>
    </row>
    <row r="12" spans="1:33" x14ac:dyDescent="0.45">
      <c r="A12" s="7">
        <v>0.13495406137249566</v>
      </c>
      <c r="B12" t="s">
        <v>24</v>
      </c>
      <c r="C12">
        <v>3.5</v>
      </c>
      <c r="D12" s="12">
        <f t="shared" ref="D12:D18" si="16">C12/C$19*100</f>
        <v>4.2372881355932206</v>
      </c>
      <c r="E12" s="17">
        <f t="shared" ref="E12" si="17">C12/C$4*100</f>
        <v>15.555555555555555</v>
      </c>
      <c r="F12" s="18">
        <f t="shared" ref="F12" si="18">C12*$A12</f>
        <v>0.47233921480373481</v>
      </c>
      <c r="G12" s="10">
        <f>F12/F$19*100</f>
        <v>1.7878589288225228</v>
      </c>
      <c r="H12" s="10"/>
      <c r="I12" s="10"/>
      <c r="J12" s="10"/>
      <c r="K12" t="s">
        <v>25</v>
      </c>
      <c r="L12">
        <v>6.7557499999999999</v>
      </c>
      <c r="M12" s="12">
        <f>L12/L$19*100</f>
        <v>4.5172118089742455</v>
      </c>
      <c r="N12" t="s">
        <v>26</v>
      </c>
      <c r="O12" s="17">
        <f t="shared" ref="O12" si="19">M12/M$4*100</f>
        <v>15.424086757990867</v>
      </c>
      <c r="P12" s="18">
        <f t="shared" ref="P12" si="20">M12*$A12</f>
        <v>0.6096160797008725</v>
      </c>
      <c r="Q12" s="10">
        <f>P12/P$19*100</f>
        <v>1.9293146623802726</v>
      </c>
      <c r="R12" s="10"/>
      <c r="S12" s="10"/>
      <c r="T12" s="10"/>
      <c r="U12" t="s">
        <v>24</v>
      </c>
      <c r="V12">
        <f>8.7-1.2</f>
        <v>7.4999999999999991</v>
      </c>
      <c r="W12" s="12">
        <f t="shared" si="1"/>
        <v>5.8229813664596275</v>
      </c>
      <c r="X12" s="17">
        <f>V12/V$4*100</f>
        <v>15.432098765432098</v>
      </c>
      <c r="Y12" s="18">
        <f t="shared" ref="Y12" si="21">V12*$A12</f>
        <v>1.0121554602937173</v>
      </c>
      <c r="Z12" s="10">
        <f>Y12/Y$19*100</f>
        <v>2.6809740670876381</v>
      </c>
      <c r="AA12" s="10"/>
      <c r="AB12" s="10"/>
      <c r="AC12" s="10"/>
      <c r="AD12" s="9">
        <f>AVERAGE(D12,M12,W12)</f>
        <v>4.8591604370090318</v>
      </c>
      <c r="AE12" s="9">
        <f t="shared" ref="AE12:AE18" si="22">STDEV(D12,M12,W12)</f>
        <v>0.84634650336906014</v>
      </c>
      <c r="AF12" s="9">
        <f>AVERAGE(G12,Q12,Z12)</f>
        <v>2.1327158860968112</v>
      </c>
      <c r="AG12" s="9">
        <f>STDEV(G12,Q12,Z12)</f>
        <v>0.48004448325818572</v>
      </c>
    </row>
    <row r="13" spans="1:33" x14ac:dyDescent="0.45">
      <c r="B13" t="s">
        <v>27</v>
      </c>
      <c r="C13" s="19">
        <v>15</v>
      </c>
      <c r="D13" s="12">
        <f t="shared" si="16"/>
        <v>18.159806295399516</v>
      </c>
      <c r="E13" s="17"/>
      <c r="F13" s="18"/>
      <c r="G13" s="18"/>
      <c r="H13" s="18"/>
      <c r="I13" s="18"/>
      <c r="J13" s="18"/>
      <c r="K13" t="s">
        <v>27</v>
      </c>
      <c r="L13" s="19">
        <v>30</v>
      </c>
      <c r="M13" s="12">
        <f t="shared" ref="M13:M18" si="23">L13/L$19*100</f>
        <v>20.059409283828941</v>
      </c>
      <c r="O13" s="17"/>
      <c r="P13" s="18"/>
      <c r="Q13" s="18"/>
      <c r="R13" s="18"/>
      <c r="S13" s="18"/>
      <c r="T13" s="18"/>
      <c r="U13" t="s">
        <v>27</v>
      </c>
      <c r="V13" s="19">
        <f>34.4-1.2</f>
        <v>33.199999999999996</v>
      </c>
      <c r="W13" s="12">
        <f t="shared" si="1"/>
        <v>25.77639751552795</v>
      </c>
      <c r="X13" s="17"/>
      <c r="Y13" s="18"/>
      <c r="Z13" s="18"/>
      <c r="AA13" s="18"/>
      <c r="AB13" s="18"/>
      <c r="AC13" s="18"/>
      <c r="AD13" s="9">
        <f t="shared" ref="AD13:AD18" si="24">AVERAGE(D13,M13,W13)</f>
        <v>21.331871031585468</v>
      </c>
      <c r="AE13" s="9">
        <f t="shared" si="22"/>
        <v>3.9645282983303485</v>
      </c>
    </row>
    <row r="14" spans="1:33" x14ac:dyDescent="0.45">
      <c r="A14" s="7">
        <v>0.19026189278068018</v>
      </c>
      <c r="B14" t="s">
        <v>28</v>
      </c>
      <c r="C14">
        <v>2.4</v>
      </c>
      <c r="D14" s="12">
        <f t="shared" si="16"/>
        <v>2.9055690072639226</v>
      </c>
      <c r="E14" s="17">
        <f t="shared" ref="E14" si="25">C14/C$4*100</f>
        <v>10.666666666666666</v>
      </c>
      <c r="F14" s="18">
        <f t="shared" ref="F14:F18" si="26">C14*$A14</f>
        <v>0.4566285426736324</v>
      </c>
      <c r="G14" s="10">
        <f t="shared" ref="G14:G18" si="27">F14/F$19*100</f>
        <v>1.7283922054057976</v>
      </c>
      <c r="H14" s="10"/>
      <c r="I14" s="10"/>
      <c r="J14" s="10"/>
      <c r="K14" t="s">
        <v>28</v>
      </c>
      <c r="L14">
        <v>4.2</v>
      </c>
      <c r="M14" s="12">
        <f t="shared" si="23"/>
        <v>2.8083172997360522</v>
      </c>
      <c r="O14" s="17">
        <f t="shared" ref="O14" si="28">M14/M$4*100</f>
        <v>9.5890410958904138</v>
      </c>
      <c r="P14" s="18">
        <f t="shared" ref="P14" si="29">M14*$A14</f>
        <v>0.53431576497651001</v>
      </c>
      <c r="Q14" s="10">
        <f t="shared" ref="Q14:Q18" si="30">P14/P$19*100</f>
        <v>1.6910040171773986</v>
      </c>
      <c r="R14" s="10"/>
      <c r="S14" s="10"/>
      <c r="T14" s="10"/>
      <c r="U14" t="s">
        <v>28</v>
      </c>
      <c r="V14">
        <f>6.4-1.2</f>
        <v>5.2</v>
      </c>
      <c r="W14" s="12">
        <f t="shared" si="1"/>
        <v>4.0372670807453419</v>
      </c>
      <c r="X14" s="17">
        <f t="shared" ref="X14" si="31">V14/V$4*100</f>
        <v>10.699588477366257</v>
      </c>
      <c r="Y14" s="18">
        <f t="shared" ref="Y14" si="32">V14*$A14</f>
        <v>0.98936184245953696</v>
      </c>
      <c r="Z14" s="10">
        <f t="shared" ref="Z14:Z18" si="33">Y14/Y$19*100</f>
        <v>2.6205988572450609</v>
      </c>
      <c r="AA14" s="10"/>
      <c r="AB14" s="10"/>
      <c r="AC14" s="10"/>
      <c r="AD14" s="9">
        <f t="shared" si="24"/>
        <v>3.2503844625817719</v>
      </c>
      <c r="AE14" s="9">
        <f t="shared" si="22"/>
        <v>0.68319299230176678</v>
      </c>
      <c r="AF14" s="9">
        <f t="shared" ref="AF14:AF18" si="34">AVERAGE(G14,Q14,Z14)</f>
        <v>2.0133316932760859</v>
      </c>
      <c r="AG14" s="9">
        <f t="shared" ref="AG14:AG18" si="35">STDEV(G14,Q14,Z14)</f>
        <v>0.52624093862122057</v>
      </c>
    </row>
    <row r="15" spans="1:33" x14ac:dyDescent="0.45">
      <c r="A15" s="7">
        <v>0.21130129449898372</v>
      </c>
      <c r="B15" t="s">
        <v>29</v>
      </c>
      <c r="C15">
        <f>C13-C14</f>
        <v>12.6</v>
      </c>
      <c r="D15" s="12">
        <f t="shared" si="16"/>
        <v>15.254237288135593</v>
      </c>
      <c r="E15" s="17">
        <f>C15/C$4*100</f>
        <v>55.999999999999993</v>
      </c>
      <c r="F15" s="18">
        <f>C15*$A15</f>
        <v>2.6623963106871948</v>
      </c>
      <c r="G15" s="10">
        <f t="shared" si="27"/>
        <v>10.077480054464891</v>
      </c>
      <c r="H15" s="10"/>
      <c r="I15" s="10"/>
      <c r="J15" s="10"/>
      <c r="K15" t="s">
        <v>29</v>
      </c>
      <c r="L15">
        <v>25.8</v>
      </c>
      <c r="M15" s="12">
        <f t="shared" si="23"/>
        <v>17.251091984092888</v>
      </c>
      <c r="O15" s="17">
        <f>M15/M$4*100</f>
        <v>58.904109589041084</v>
      </c>
      <c r="P15" s="18">
        <f>M15*$A15</f>
        <v>3.6451780677598684</v>
      </c>
      <c r="Q15" s="10">
        <f t="shared" si="30"/>
        <v>11.536269674131496</v>
      </c>
      <c r="R15" s="10"/>
      <c r="S15" s="10"/>
      <c r="T15" s="10"/>
      <c r="U15" t="s">
        <v>29</v>
      </c>
      <c r="V15">
        <f>V13-V14</f>
        <v>27.999999999999996</v>
      </c>
      <c r="W15" s="12">
        <f t="shared" si="1"/>
        <v>21.739130434782609</v>
      </c>
      <c r="X15" s="17">
        <f>V15/V$4*100</f>
        <v>57.613168724279838</v>
      </c>
      <c r="Y15" s="18">
        <f>V15*$A15</f>
        <v>5.9164362459715436</v>
      </c>
      <c r="Z15" s="10">
        <f t="shared" si="33"/>
        <v>15.671320036572356</v>
      </c>
      <c r="AA15" s="10"/>
      <c r="AB15" s="10"/>
      <c r="AC15" s="10"/>
      <c r="AD15" s="9">
        <f>AVERAGE(D15,M15,W15)</f>
        <v>18.081486569003697</v>
      </c>
      <c r="AE15" s="9">
        <f>STDEV(D15,M15,W15)</f>
        <v>3.321238647830699</v>
      </c>
      <c r="AF15" s="9">
        <f t="shared" si="34"/>
        <v>12.428356588389581</v>
      </c>
      <c r="AG15" s="9">
        <f t="shared" si="35"/>
        <v>2.9016591345812635</v>
      </c>
    </row>
    <row r="16" spans="1:33" x14ac:dyDescent="0.45">
      <c r="A16" s="7">
        <v>0.68219268511051612</v>
      </c>
      <c r="B16" t="s">
        <v>30</v>
      </c>
      <c r="C16">
        <v>18.3</v>
      </c>
      <c r="D16" s="12">
        <f t="shared" si="16"/>
        <v>22.154963680387414</v>
      </c>
      <c r="E16" s="17"/>
      <c r="F16" s="18">
        <f t="shared" si="26"/>
        <v>12.484126137522445</v>
      </c>
      <c r="G16" s="10">
        <f t="shared" si="27"/>
        <v>47.253871124781433</v>
      </c>
      <c r="H16" s="10"/>
      <c r="I16" s="10"/>
      <c r="J16" s="10"/>
      <c r="K16" t="s">
        <v>30</v>
      </c>
      <c r="L16">
        <v>30.5</v>
      </c>
      <c r="M16" s="12">
        <f t="shared" si="23"/>
        <v>20.393732771892758</v>
      </c>
      <c r="O16" s="17"/>
      <c r="P16" s="18">
        <f t="shared" ref="P16:P18" si="36">M16*$A16</f>
        <v>13.912455319083849</v>
      </c>
      <c r="Q16" s="10">
        <f t="shared" si="30"/>
        <v>44.030177238745935</v>
      </c>
      <c r="R16" s="10"/>
      <c r="S16" s="10"/>
      <c r="T16" s="10"/>
      <c r="U16" t="s">
        <v>30</v>
      </c>
      <c r="V16">
        <f>12.6+9.5</f>
        <v>22.1</v>
      </c>
      <c r="W16" s="12">
        <f t="shared" si="1"/>
        <v>17.158385093167706</v>
      </c>
      <c r="X16" s="17"/>
      <c r="Y16" s="18">
        <f t="shared" ref="Y16:Y18" si="37">V16*$A16</f>
        <v>15.076458340942407</v>
      </c>
      <c r="Z16" s="10">
        <f t="shared" si="33"/>
        <v>39.93417555032935</v>
      </c>
      <c r="AA16" s="10"/>
      <c r="AB16" s="10"/>
      <c r="AC16" s="10"/>
      <c r="AD16" s="9">
        <f t="shared" si="24"/>
        <v>19.902360515149294</v>
      </c>
      <c r="AE16" s="9">
        <f t="shared" si="22"/>
        <v>2.5342719695384965</v>
      </c>
      <c r="AF16" s="9">
        <f t="shared" si="34"/>
        <v>43.739407971285573</v>
      </c>
      <c r="AG16" s="9">
        <f t="shared" si="35"/>
        <v>3.668500497592706</v>
      </c>
    </row>
    <row r="17" spans="1:33" x14ac:dyDescent="0.45">
      <c r="A17" s="7">
        <v>0.37999169223890972</v>
      </c>
      <c r="B17" t="s">
        <v>31</v>
      </c>
      <c r="C17">
        <v>6.9</v>
      </c>
      <c r="D17" s="12">
        <f t="shared" si="16"/>
        <v>8.3535108958837778</v>
      </c>
      <c r="E17" s="17"/>
      <c r="F17" s="18">
        <f t="shared" si="26"/>
        <v>2.621942676448477</v>
      </c>
      <c r="G17" s="10">
        <f t="shared" si="27"/>
        <v>9.9243583383120928</v>
      </c>
      <c r="H17" s="10"/>
      <c r="I17" s="10"/>
      <c r="J17" s="10"/>
      <c r="K17" t="s">
        <v>31</v>
      </c>
      <c r="L17">
        <v>16.399999999999999</v>
      </c>
      <c r="M17" s="12">
        <f t="shared" si="23"/>
        <v>10.965810408493153</v>
      </c>
      <c r="O17" s="17"/>
      <c r="P17" s="18">
        <f t="shared" si="36"/>
        <v>4.1669168538943628</v>
      </c>
      <c r="Q17" s="10">
        <f t="shared" si="30"/>
        <v>13.187470033734355</v>
      </c>
      <c r="R17" s="10"/>
      <c r="S17" s="10"/>
      <c r="T17" s="10"/>
      <c r="U17" t="s">
        <v>31</v>
      </c>
      <c r="V17">
        <v>9.6</v>
      </c>
      <c r="W17" s="12">
        <f t="shared" si="1"/>
        <v>7.4534161490683228</v>
      </c>
      <c r="X17" s="17"/>
      <c r="Y17" s="18">
        <f t="shared" si="37"/>
        <v>3.6479202454935331</v>
      </c>
      <c r="Z17" s="10">
        <f t="shared" si="33"/>
        <v>9.6625271123213441</v>
      </c>
      <c r="AA17" s="10"/>
      <c r="AB17" s="10"/>
      <c r="AC17" s="10"/>
      <c r="AD17" s="9">
        <f t="shared" si="24"/>
        <v>8.9242458178150841</v>
      </c>
      <c r="AE17" s="9">
        <f t="shared" si="22"/>
        <v>1.8244265185926518</v>
      </c>
      <c r="AF17" s="9">
        <f t="shared" si="34"/>
        <v>10.924785161455929</v>
      </c>
      <c r="AG17" s="9">
        <f t="shared" si="35"/>
        <v>1.9639108994947412</v>
      </c>
    </row>
    <row r="18" spans="1:33" x14ac:dyDescent="0.45">
      <c r="A18" s="7">
        <v>0.19887093250697066</v>
      </c>
      <c r="B18" t="s">
        <v>32</v>
      </c>
      <c r="C18">
        <v>35.1</v>
      </c>
      <c r="D18" s="12">
        <f t="shared" si="16"/>
        <v>42.493946731234871</v>
      </c>
      <c r="E18" s="17"/>
      <c r="F18" s="18">
        <f t="shared" si="26"/>
        <v>6.9803697309946706</v>
      </c>
      <c r="G18" s="10">
        <f t="shared" si="27"/>
        <v>26.4215122498921</v>
      </c>
      <c r="H18" s="10"/>
      <c r="I18" s="10"/>
      <c r="J18" s="10"/>
      <c r="K18" t="s">
        <v>32</v>
      </c>
      <c r="L18">
        <v>59.6</v>
      </c>
      <c r="M18" s="12">
        <f t="shared" si="23"/>
        <v>39.851359777206831</v>
      </c>
      <c r="O18" s="17"/>
      <c r="P18" s="18">
        <f t="shared" si="36"/>
        <v>7.9252770805639052</v>
      </c>
      <c r="Q18" s="10">
        <f t="shared" si="30"/>
        <v>25.081938918771566</v>
      </c>
      <c r="R18" s="10"/>
      <c r="S18" s="10"/>
      <c r="T18" s="10"/>
      <c r="U18" t="s">
        <v>32</v>
      </c>
      <c r="V18">
        <f>24.6+23.9</f>
        <v>48.5</v>
      </c>
      <c r="W18" s="12">
        <f>V18/V$19*100</f>
        <v>37.655279503105596</v>
      </c>
      <c r="X18" s="17"/>
      <c r="Y18" s="18">
        <f t="shared" si="37"/>
        <v>9.6452402265880774</v>
      </c>
      <c r="Z18" s="10">
        <f t="shared" si="33"/>
        <v>25.548090123239781</v>
      </c>
      <c r="AA18" s="10"/>
      <c r="AB18" s="10"/>
      <c r="AC18" s="10"/>
      <c r="AD18" s="9">
        <f t="shared" si="24"/>
        <v>40.000195337182426</v>
      </c>
      <c r="AE18" s="9">
        <f t="shared" si="22"/>
        <v>2.4227647748136834</v>
      </c>
      <c r="AF18" s="9">
        <f t="shared" si="34"/>
        <v>25.68384709730115</v>
      </c>
      <c r="AG18" s="9">
        <f t="shared" si="35"/>
        <v>0.68002694385374518</v>
      </c>
    </row>
    <row r="19" spans="1:33" x14ac:dyDescent="0.45">
      <c r="A19" s="7">
        <f>AVERAGE(A5:A18)</f>
        <v>0.24352013551829452</v>
      </c>
      <c r="B19" s="20" t="s">
        <v>33</v>
      </c>
      <c r="C19" s="20">
        <f>SUM(C5:C9,C12,C14:C18)</f>
        <v>82.6</v>
      </c>
      <c r="D19" s="17">
        <f>SUM(D5:D9,D12,D14:D18)</f>
        <v>100</v>
      </c>
      <c r="E19" s="17">
        <f>SUM(E4:E18)</f>
        <v>99.1111111111111</v>
      </c>
      <c r="F19" s="18">
        <f>SUM(F14:F18,F12,F5:F9)</f>
        <v>26.419266486244283</v>
      </c>
      <c r="G19" s="10">
        <f>SUM(G14:G18,G12,G5:G9)</f>
        <v>100</v>
      </c>
      <c r="H19" s="10"/>
      <c r="I19" s="10"/>
      <c r="J19" s="10"/>
      <c r="K19" s="20" t="s">
        <v>33</v>
      </c>
      <c r="L19" s="20">
        <f>SUM(L5:L9,L12,L14:L18)</f>
        <v>149.55574999999999</v>
      </c>
      <c r="M19" s="21">
        <f>SUM(M5:M9,M12,M14:M18)</f>
        <v>100</v>
      </c>
      <c r="O19" s="17">
        <f>SUM(O4:O18)</f>
        <v>98.300799086757991</v>
      </c>
      <c r="P19" s="18">
        <f>SUM(P14:P18,P12,P5:P9)</f>
        <v>31.597545573450667</v>
      </c>
      <c r="Q19" s="10">
        <f>SUM(Q14:Q18,Q12,Q5:Q9)</f>
        <v>100.00000000000001</v>
      </c>
      <c r="R19" s="10"/>
      <c r="S19" s="10"/>
      <c r="T19" s="10"/>
      <c r="U19" s="20" t="s">
        <v>33</v>
      </c>
      <c r="V19" s="20">
        <f>SUM(V5:V10,V12,V14:V18)</f>
        <v>128.79999999999998</v>
      </c>
      <c r="W19" s="9">
        <f>SUM(W5:W10,W12,W14:W18)</f>
        <v>100.00000000000001</v>
      </c>
      <c r="X19" s="17">
        <f>SUM(X4:X18)</f>
        <v>95.267489711934161</v>
      </c>
      <c r="Y19" s="18">
        <f>SUM(Y14:Y18,Y12,Y5:Y10)</f>
        <v>37.753273062921835</v>
      </c>
      <c r="Z19" s="10">
        <f>SUM(Z14:Z18,Z12,Z5:Z10)</f>
        <v>99.999999999999986</v>
      </c>
      <c r="AA19" s="10"/>
      <c r="AB19" s="10"/>
      <c r="AC19" s="10"/>
    </row>
    <row r="24" spans="1:33" x14ac:dyDescent="0.45">
      <c r="M24"/>
    </row>
    <row r="25" spans="1:33" x14ac:dyDescent="0.45">
      <c r="M25"/>
    </row>
    <row r="26" spans="1:33" x14ac:dyDescent="0.45">
      <c r="M26"/>
    </row>
    <row r="27" spans="1:33" x14ac:dyDescent="0.45">
      <c r="M27"/>
    </row>
    <row r="28" spans="1:33" x14ac:dyDescent="0.45">
      <c r="M28"/>
    </row>
    <row r="29" spans="1:33" x14ac:dyDescent="0.45">
      <c r="M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6"/>
  <sheetViews>
    <sheetView workbookViewId="0">
      <selection activeCell="M9" sqref="M9"/>
    </sheetView>
  </sheetViews>
  <sheetFormatPr defaultColWidth="9.1328125" defaultRowHeight="14.25" x14ac:dyDescent="0.45"/>
  <cols>
    <col min="1" max="1" width="13.3984375" style="22" bestFit="1" customWidth="1"/>
    <col min="2" max="4" width="13.3984375" style="22" customWidth="1"/>
    <col min="5" max="5" width="12" style="23" bestFit="1" customWidth="1"/>
    <col min="6" max="6" width="12.73046875" style="23" bestFit="1" customWidth="1"/>
    <col min="7" max="8" width="12" style="23" bestFit="1" customWidth="1"/>
    <col min="9" max="9" width="9.1328125" style="22"/>
    <col min="10" max="14" width="12" style="23" customWidth="1"/>
    <col min="15" max="16384" width="9.1328125" style="22"/>
  </cols>
  <sheetData>
    <row r="1" spans="1:15" s="32" customFormat="1" x14ac:dyDescent="0.45">
      <c r="A1" s="32" t="s">
        <v>34</v>
      </c>
      <c r="B1" s="32" t="s">
        <v>35</v>
      </c>
      <c r="C1" s="32" t="s">
        <v>36</v>
      </c>
      <c r="D1" s="32" t="s">
        <v>37</v>
      </c>
      <c r="E1" s="33" t="s">
        <v>38</v>
      </c>
      <c r="F1" s="33" t="s">
        <v>39</v>
      </c>
      <c r="G1" s="33" t="s">
        <v>40</v>
      </c>
      <c r="H1" s="33" t="s">
        <v>41</v>
      </c>
      <c r="I1" s="32" t="s">
        <v>42</v>
      </c>
      <c r="J1" s="33" t="s">
        <v>175</v>
      </c>
      <c r="K1" s="33" t="s">
        <v>176</v>
      </c>
      <c r="L1" s="33" t="s">
        <v>177</v>
      </c>
      <c r="M1" s="33" t="s">
        <v>178</v>
      </c>
      <c r="N1" s="33" t="s">
        <v>179</v>
      </c>
      <c r="O1" s="33" t="s">
        <v>180</v>
      </c>
    </row>
    <row r="2" spans="1:15" x14ac:dyDescent="0.45">
      <c r="A2" s="22" t="s">
        <v>43</v>
      </c>
      <c r="B2" s="22" t="s">
        <v>44</v>
      </c>
      <c r="C2" s="22" t="s">
        <v>45</v>
      </c>
      <c r="D2" s="22" t="s">
        <v>46</v>
      </c>
      <c r="E2" s="23">
        <v>8.8385704214302727</v>
      </c>
      <c r="F2" s="23">
        <v>-11.048405571610139</v>
      </c>
      <c r="G2" s="23">
        <v>17.662335520778775</v>
      </c>
      <c r="H2" s="23">
        <v>4.6021120731389082</v>
      </c>
      <c r="I2" s="24">
        <v>10.349159124991113</v>
      </c>
      <c r="O2" s="23"/>
    </row>
    <row r="3" spans="1:15" x14ac:dyDescent="0.45">
      <c r="A3" s="22" t="s">
        <v>47</v>
      </c>
      <c r="B3" s="22" t="s">
        <v>44</v>
      </c>
      <c r="C3" s="22" t="s">
        <v>45</v>
      </c>
      <c r="D3" s="22" t="s">
        <v>46</v>
      </c>
      <c r="E3" s="23">
        <v>7.7344704795620256</v>
      </c>
      <c r="F3" s="23">
        <v>-15.237406337971034</v>
      </c>
      <c r="G3" s="23">
        <v>38.103424793735542</v>
      </c>
      <c r="H3" s="23">
        <v>3.4725423715243013</v>
      </c>
      <c r="I3" s="24">
        <v>6.5648108016147022</v>
      </c>
      <c r="J3" s="23">
        <f>AVERAGE(G2:G3)</f>
        <v>27.882880157257159</v>
      </c>
      <c r="K3" s="23">
        <f>AVERAGE(H2:H3)</f>
        <v>4.037327222331605</v>
      </c>
      <c r="L3" s="23">
        <f>AVERAGE(I2:I3)</f>
        <v>8.4569849633029079</v>
      </c>
      <c r="O3" s="23"/>
    </row>
    <row r="4" spans="1:15" x14ac:dyDescent="0.45">
      <c r="A4" s="25" t="s">
        <v>48</v>
      </c>
      <c r="B4" s="22" t="s">
        <v>49</v>
      </c>
      <c r="C4" s="22" t="s">
        <v>45</v>
      </c>
      <c r="D4" s="22" t="s">
        <v>46</v>
      </c>
      <c r="E4" s="23">
        <v>7.290650348790507</v>
      </c>
      <c r="F4" s="23">
        <v>-9.5154655512369146</v>
      </c>
      <c r="G4" s="23">
        <v>17.527406546788235</v>
      </c>
      <c r="H4" s="23">
        <v>5.1143135626568998</v>
      </c>
      <c r="I4" s="24">
        <v>11.540078140305553</v>
      </c>
      <c r="O4" s="23"/>
    </row>
    <row r="5" spans="1:15" x14ac:dyDescent="0.45">
      <c r="A5" s="22" t="s">
        <v>50</v>
      </c>
      <c r="B5" s="22" t="s">
        <v>49</v>
      </c>
      <c r="C5" s="22" t="s">
        <v>45</v>
      </c>
      <c r="D5" s="22" t="s">
        <v>46</v>
      </c>
      <c r="E5" s="23">
        <v>7.5860288963939784</v>
      </c>
      <c r="F5" s="23">
        <v>-11.110594319070374</v>
      </c>
      <c r="G5" s="23">
        <v>20.193839601161777</v>
      </c>
      <c r="H5" s="23">
        <v>4.6696576415159505</v>
      </c>
      <c r="I5" s="24">
        <v>9.3182137525552289</v>
      </c>
      <c r="O5" s="23"/>
    </row>
    <row r="6" spans="1:15" x14ac:dyDescent="0.45">
      <c r="A6" s="22" t="s">
        <v>51</v>
      </c>
      <c r="B6" s="22" t="s">
        <v>49</v>
      </c>
      <c r="C6" s="22" t="s">
        <v>45</v>
      </c>
      <c r="D6" s="22" t="s">
        <v>46</v>
      </c>
      <c r="E6" s="23">
        <v>7.9901070670000989</v>
      </c>
      <c r="F6" s="23">
        <v>-8.9949250506532543</v>
      </c>
      <c r="G6" s="23">
        <v>16.617358755514879</v>
      </c>
      <c r="H6" s="23">
        <v>5.0173857067205834</v>
      </c>
      <c r="I6" s="24">
        <v>10.892273393910175</v>
      </c>
      <c r="J6" s="23">
        <f>AVERAGE(G4:G6)</f>
        <v>18.112868301154965</v>
      </c>
      <c r="K6" s="23">
        <f>AVERAGE(H4:H6)</f>
        <v>4.9337856369644779</v>
      </c>
      <c r="L6" s="23">
        <f>AVERAGE(I4:I6)</f>
        <v>10.583521762256986</v>
      </c>
      <c r="O6" s="23"/>
    </row>
    <row r="7" spans="1:15" x14ac:dyDescent="0.45">
      <c r="A7" s="26" t="s">
        <v>52</v>
      </c>
      <c r="B7" s="26" t="s">
        <v>44</v>
      </c>
      <c r="C7" s="26" t="s">
        <v>53</v>
      </c>
      <c r="D7" s="26" t="s">
        <v>46</v>
      </c>
      <c r="E7" s="27">
        <v>7.6904645986506175</v>
      </c>
      <c r="F7" s="27">
        <v>-10.800545897659788</v>
      </c>
      <c r="G7" s="27">
        <v>23.445017873028181</v>
      </c>
      <c r="H7" s="27">
        <v>6.254408726392958</v>
      </c>
      <c r="I7" s="24">
        <v>8.3550835349259351</v>
      </c>
      <c r="J7" s="27"/>
      <c r="K7" s="27"/>
      <c r="L7" s="27"/>
      <c r="M7" s="27"/>
      <c r="N7" s="27"/>
      <c r="O7" s="27"/>
    </row>
    <row r="8" spans="1:15" x14ac:dyDescent="0.45">
      <c r="A8" s="28" t="s">
        <v>54</v>
      </c>
      <c r="B8" s="26" t="s">
        <v>44</v>
      </c>
      <c r="C8" s="26" t="s">
        <v>53</v>
      </c>
      <c r="D8" s="28" t="s">
        <v>46</v>
      </c>
      <c r="E8" s="27">
        <v>8.508503840286755</v>
      </c>
      <c r="F8" s="27">
        <v>-13.212829570472644</v>
      </c>
      <c r="G8" s="27">
        <v>28.157092569556411</v>
      </c>
      <c r="H8" s="27">
        <v>4.2388887746611612</v>
      </c>
      <c r="I8" s="24">
        <v>8.3643743510265409</v>
      </c>
      <c r="J8" s="27"/>
      <c r="K8" s="27"/>
      <c r="L8" s="27"/>
      <c r="M8" s="27"/>
      <c r="N8" s="27"/>
      <c r="O8" s="27"/>
    </row>
    <row r="9" spans="1:15" x14ac:dyDescent="0.45">
      <c r="A9" s="26" t="s">
        <v>55</v>
      </c>
      <c r="B9" s="26" t="s">
        <v>44</v>
      </c>
      <c r="C9" s="26" t="s">
        <v>53</v>
      </c>
      <c r="D9" s="26" t="s">
        <v>46</v>
      </c>
      <c r="E9" s="27">
        <v>7.4634537088567248</v>
      </c>
      <c r="F9" s="27">
        <v>-12.49473080976583</v>
      </c>
      <c r="G9" s="27">
        <v>26.685701965899625</v>
      </c>
      <c r="H9" s="27">
        <v>5.6889220616128098</v>
      </c>
      <c r="I9" s="24">
        <v>8.3711341539169641</v>
      </c>
      <c r="J9" s="23">
        <f>AVERAGE(G7:G9)</f>
        <v>26.095937469494739</v>
      </c>
      <c r="K9" s="23">
        <f>AVERAGE(H7:H9)</f>
        <v>5.3940731875556436</v>
      </c>
      <c r="L9" s="23">
        <f>AVERAGE(I7:I9)</f>
        <v>8.3635306799564813</v>
      </c>
      <c r="M9" s="23">
        <f>AVERAGE(G2:G9)</f>
        <v>23.549022203307928</v>
      </c>
      <c r="N9" s="23">
        <f>AVERAGE(H2:H9)</f>
        <v>4.8822788647779465</v>
      </c>
      <c r="O9" s="23">
        <f>AVERAGE(I2:I9)</f>
        <v>9.2193909066557769</v>
      </c>
    </row>
    <row r="10" spans="1:15" x14ac:dyDescent="0.45">
      <c r="A10" s="26" t="s">
        <v>56</v>
      </c>
      <c r="B10" s="26" t="s">
        <v>44</v>
      </c>
      <c r="C10" s="26" t="s">
        <v>45</v>
      </c>
      <c r="D10" s="26" t="s">
        <v>57</v>
      </c>
      <c r="E10" s="17">
        <v>7.9794308169827008</v>
      </c>
      <c r="F10" s="17">
        <v>-16.979862598334325</v>
      </c>
      <c r="G10" s="17">
        <v>70.509068207155863</v>
      </c>
      <c r="H10" s="17">
        <v>1.9688099656759117</v>
      </c>
      <c r="I10" s="24">
        <v>4.0039578850107942E-2</v>
      </c>
      <c r="J10" s="17"/>
      <c r="K10" s="17"/>
      <c r="L10" s="17"/>
      <c r="M10" s="17"/>
      <c r="N10" s="17"/>
      <c r="O10" s="17"/>
    </row>
    <row r="11" spans="1:15" x14ac:dyDescent="0.45">
      <c r="A11" s="22" t="s">
        <v>58</v>
      </c>
      <c r="B11" s="22" t="s">
        <v>44</v>
      </c>
      <c r="C11" s="22" t="s">
        <v>45</v>
      </c>
      <c r="D11" s="22" t="s">
        <v>59</v>
      </c>
      <c r="E11" s="23">
        <v>9.5660798909240405</v>
      </c>
      <c r="F11" s="23">
        <v>-11.314782140496089</v>
      </c>
      <c r="G11" s="23">
        <v>47.944478093330254</v>
      </c>
      <c r="H11" s="23">
        <v>12.917387729990848</v>
      </c>
      <c r="I11" s="24">
        <v>0.38302024630254383</v>
      </c>
      <c r="O11" s="23"/>
    </row>
    <row r="12" spans="1:15" x14ac:dyDescent="0.45">
      <c r="A12" s="22" t="s">
        <v>60</v>
      </c>
      <c r="B12" s="22" t="s">
        <v>44</v>
      </c>
      <c r="C12" s="22" t="s">
        <v>45</v>
      </c>
      <c r="D12" s="22" t="s">
        <v>59</v>
      </c>
      <c r="E12" s="23">
        <v>9.7920562888158234</v>
      </c>
      <c r="F12" s="23">
        <v>-11.635522599767951</v>
      </c>
      <c r="G12" s="23">
        <v>48.795015004661558</v>
      </c>
      <c r="H12" s="23">
        <v>12.543840916532673</v>
      </c>
      <c r="I12" s="24">
        <v>0.31089027054392776</v>
      </c>
      <c r="O12" s="23"/>
    </row>
    <row r="13" spans="1:15" x14ac:dyDescent="0.45">
      <c r="A13" s="22" t="s">
        <v>61</v>
      </c>
      <c r="B13" s="22" t="s">
        <v>44</v>
      </c>
      <c r="C13" s="22" t="s">
        <v>45</v>
      </c>
      <c r="D13" s="22" t="s">
        <v>59</v>
      </c>
      <c r="E13" s="23">
        <v>7.1320206714276635</v>
      </c>
      <c r="F13" s="23">
        <v>-9.9652053826743696</v>
      </c>
      <c r="G13" s="23">
        <v>45.467421449251141</v>
      </c>
      <c r="H13" s="23">
        <v>15.492957544184289</v>
      </c>
      <c r="I13" s="24">
        <v>9.7394456920960368E-2</v>
      </c>
      <c r="J13" s="23">
        <f>AVERAGE(G11:G13)</f>
        <v>47.402304849080984</v>
      </c>
      <c r="K13" s="23">
        <f>AVERAGE(H11:H13)</f>
        <v>13.651395396902606</v>
      </c>
      <c r="L13" s="23">
        <f>AVERAGE(I11:I13)</f>
        <v>0.26376832458914401</v>
      </c>
      <c r="O13" s="23"/>
    </row>
    <row r="14" spans="1:15" x14ac:dyDescent="0.45">
      <c r="A14" s="22" t="s">
        <v>62</v>
      </c>
      <c r="B14" s="22" t="s">
        <v>49</v>
      </c>
      <c r="C14" s="22" t="s">
        <v>45</v>
      </c>
      <c r="D14" s="22" t="s">
        <v>59</v>
      </c>
      <c r="E14" s="23">
        <v>10.074191799551816</v>
      </c>
      <c r="F14" s="23">
        <v>-11.092428402934926</v>
      </c>
      <c r="G14" s="23">
        <v>43.624339335300242</v>
      </c>
      <c r="H14" s="23">
        <v>11.587425047547098</v>
      </c>
      <c r="I14" s="24">
        <v>0.34599333203031624</v>
      </c>
      <c r="O14" s="23"/>
    </row>
    <row r="15" spans="1:15" x14ac:dyDescent="0.45">
      <c r="A15" s="22" t="s">
        <v>63</v>
      </c>
      <c r="B15" s="22" t="s">
        <v>49</v>
      </c>
      <c r="C15" s="22" t="s">
        <v>45</v>
      </c>
      <c r="D15" s="22" t="s">
        <v>59</v>
      </c>
      <c r="E15" s="23">
        <v>9.8061615799143542</v>
      </c>
      <c r="F15" s="23">
        <v>-11.19678604682116</v>
      </c>
      <c r="G15" s="23">
        <v>44.863700535332512</v>
      </c>
      <c r="H15" s="23">
        <v>11.982158058200779</v>
      </c>
      <c r="I15" s="24">
        <v>0.37058101022360523</v>
      </c>
      <c r="O15" s="23"/>
    </row>
    <row r="16" spans="1:15" x14ac:dyDescent="0.45">
      <c r="A16" s="22" t="s">
        <v>64</v>
      </c>
      <c r="B16" s="22" t="s">
        <v>49</v>
      </c>
      <c r="C16" s="22" t="s">
        <v>45</v>
      </c>
      <c r="D16" s="22" t="s">
        <v>59</v>
      </c>
      <c r="E16" s="23">
        <v>9.4448257085790406</v>
      </c>
      <c r="F16" s="23">
        <v>-15.792915867410798</v>
      </c>
      <c r="G16" s="23">
        <v>61.327655185130688</v>
      </c>
      <c r="H16" s="23">
        <v>6.3517941088630314</v>
      </c>
      <c r="I16" s="24">
        <v>0.21983309157050995</v>
      </c>
      <c r="J16" s="23">
        <f>AVERAGE(G14:G16)</f>
        <v>49.938565018587809</v>
      </c>
      <c r="K16" s="23">
        <f>AVERAGE(H14:H16)</f>
        <v>9.9737924048703039</v>
      </c>
      <c r="L16" s="23">
        <f>AVERAGE(I14:I16)</f>
        <v>0.31213581127481049</v>
      </c>
      <c r="O16" s="23"/>
    </row>
    <row r="17" spans="1:15" x14ac:dyDescent="0.45">
      <c r="A17" s="26" t="s">
        <v>65</v>
      </c>
      <c r="B17" s="26" t="s">
        <v>44</v>
      </c>
      <c r="C17" s="26" t="s">
        <v>53</v>
      </c>
      <c r="D17" s="26" t="s">
        <v>59</v>
      </c>
      <c r="E17" s="27">
        <v>8.9315241327220694</v>
      </c>
      <c r="F17" s="27">
        <v>-12.13314218344104</v>
      </c>
      <c r="G17" s="27">
        <v>48.274297320486632</v>
      </c>
      <c r="H17" s="27">
        <v>12.549303173618888</v>
      </c>
      <c r="I17" s="24">
        <v>0.30730683367397937</v>
      </c>
      <c r="J17" s="27"/>
      <c r="K17" s="27"/>
      <c r="L17" s="27"/>
      <c r="M17" s="27"/>
      <c r="N17" s="27"/>
      <c r="O17" s="27"/>
    </row>
    <row r="18" spans="1:15" x14ac:dyDescent="0.45">
      <c r="A18" s="26" t="s">
        <v>66</v>
      </c>
      <c r="B18" s="26" t="s">
        <v>44</v>
      </c>
      <c r="C18" s="26" t="s">
        <v>53</v>
      </c>
      <c r="D18" s="26" t="s">
        <v>59</v>
      </c>
      <c r="E18" s="27">
        <v>9.0085278266169126</v>
      </c>
      <c r="F18" s="27">
        <v>-12.0457921220255</v>
      </c>
      <c r="G18" s="27">
        <v>48.13700299332897</v>
      </c>
      <c r="H18" s="27">
        <v>12.57112902944138</v>
      </c>
      <c r="I18" s="24">
        <v>0.33586318535433157</v>
      </c>
      <c r="J18" s="27"/>
      <c r="K18" s="27"/>
      <c r="L18" s="27"/>
      <c r="M18" s="27"/>
      <c r="N18" s="27"/>
      <c r="O18" s="27"/>
    </row>
    <row r="19" spans="1:15" x14ac:dyDescent="0.45">
      <c r="A19" s="26" t="s">
        <v>67</v>
      </c>
      <c r="B19" s="26" t="s">
        <v>44</v>
      </c>
      <c r="C19" s="26" t="s">
        <v>53</v>
      </c>
      <c r="D19" s="26" t="s">
        <v>59</v>
      </c>
      <c r="E19" s="27">
        <v>8.9855267232457265</v>
      </c>
      <c r="F19" s="27">
        <v>-14.727235867804843</v>
      </c>
      <c r="G19" s="27">
        <v>57.257927019018908</v>
      </c>
      <c r="H19" s="27">
        <v>8.719602400602362</v>
      </c>
      <c r="I19" s="24">
        <v>0.24282108846701309</v>
      </c>
      <c r="J19" s="23">
        <f>AVERAGE(G17:G19)</f>
        <v>51.223075777611506</v>
      </c>
      <c r="K19" s="23">
        <f>AVERAGE(H17:H19)</f>
        <v>11.280011534554211</v>
      </c>
      <c r="L19" s="23">
        <f>AVERAGE(I17:I19)</f>
        <v>0.29533036916510802</v>
      </c>
      <c r="M19" s="23">
        <f>AVERAGE(G11:G19)</f>
        <v>49.521315215093438</v>
      </c>
      <c r="N19" s="23">
        <f>AVERAGE(H11:H19)</f>
        <v>11.635066445442371</v>
      </c>
      <c r="O19" s="23">
        <f>AVERAGE(I11:I19)</f>
        <v>0.29041150167635421</v>
      </c>
    </row>
    <row r="20" spans="1:15" x14ac:dyDescent="0.45">
      <c r="A20" s="22" t="s">
        <v>68</v>
      </c>
      <c r="B20" s="22" t="s">
        <v>44</v>
      </c>
      <c r="C20" s="22" t="s">
        <v>45</v>
      </c>
      <c r="D20" s="22" t="s">
        <v>69</v>
      </c>
      <c r="E20" s="23">
        <v>11.161995598319544</v>
      </c>
      <c r="F20" s="23">
        <v>-13.534591970922456</v>
      </c>
      <c r="G20" s="23">
        <v>41.023356836305489</v>
      </c>
      <c r="H20" s="23">
        <v>4.8564606338451464</v>
      </c>
      <c r="I20" s="24">
        <v>0.48821211716745311</v>
      </c>
      <c r="O20" s="23"/>
    </row>
    <row r="21" spans="1:15" x14ac:dyDescent="0.45">
      <c r="A21" s="22" t="s">
        <v>70</v>
      </c>
      <c r="B21" s="22" t="s">
        <v>44</v>
      </c>
      <c r="C21" s="22" t="s">
        <v>45</v>
      </c>
      <c r="D21" s="22" t="s">
        <v>69</v>
      </c>
      <c r="E21" s="23">
        <v>8.6843725777940683</v>
      </c>
      <c r="F21" s="23">
        <v>-15.180342090690543</v>
      </c>
      <c r="G21" s="23">
        <v>60.443008878531288</v>
      </c>
      <c r="H21" s="23">
        <v>4.9269847071941832</v>
      </c>
      <c r="I21" s="24">
        <v>0.22676992285471412</v>
      </c>
      <c r="O21" s="23"/>
    </row>
    <row r="22" spans="1:15" x14ac:dyDescent="0.45">
      <c r="A22" s="22" t="s">
        <v>71</v>
      </c>
      <c r="B22" s="22" t="s">
        <v>44</v>
      </c>
      <c r="C22" s="22" t="s">
        <v>45</v>
      </c>
      <c r="D22" s="22" t="s">
        <v>69</v>
      </c>
      <c r="E22" s="23">
        <v>9.3529854211311889</v>
      </c>
      <c r="F22" s="23">
        <v>-11.961356114932869</v>
      </c>
      <c r="G22" s="23">
        <v>48.43013839768583</v>
      </c>
      <c r="H22" s="23">
        <v>10.272429484898815</v>
      </c>
      <c r="I22" s="24">
        <v>0.53177602490208642</v>
      </c>
      <c r="J22" s="23">
        <f>AVERAGE(G20:G22)</f>
        <v>49.965501370840862</v>
      </c>
      <c r="K22" s="23">
        <f>AVERAGE(H20:H22)</f>
        <v>6.6852916086460477</v>
      </c>
      <c r="L22" s="23">
        <f>AVERAGE(I20:I22)</f>
        <v>0.41558602164141795</v>
      </c>
      <c r="O22" s="23"/>
    </row>
    <row r="23" spans="1:15" x14ac:dyDescent="0.45">
      <c r="A23" s="22" t="s">
        <v>72</v>
      </c>
      <c r="B23" s="22" t="s">
        <v>49</v>
      </c>
      <c r="C23" s="22" t="s">
        <v>45</v>
      </c>
      <c r="D23" s="22" t="s">
        <v>69</v>
      </c>
      <c r="E23" s="23">
        <v>8.841529778413916</v>
      </c>
      <c r="F23" s="23">
        <v>-14.201407275603351</v>
      </c>
      <c r="G23" s="23">
        <v>55.200486703934551</v>
      </c>
      <c r="H23" s="23">
        <v>7.0462140159665214</v>
      </c>
      <c r="I23" s="24">
        <v>0.39640060366864682</v>
      </c>
      <c r="O23" s="23"/>
    </row>
    <row r="24" spans="1:15" x14ac:dyDescent="0.45">
      <c r="A24" s="22" t="s">
        <v>73</v>
      </c>
      <c r="B24" s="22" t="s">
        <v>49</v>
      </c>
      <c r="C24" s="22" t="s">
        <v>45</v>
      </c>
      <c r="D24" s="22" t="s">
        <v>69</v>
      </c>
      <c r="E24" s="23">
        <v>8.7534406725991349</v>
      </c>
      <c r="F24" s="23">
        <v>-13.784664152521461</v>
      </c>
      <c r="G24" s="23">
        <v>52.408600181476814</v>
      </c>
      <c r="H24" s="23">
        <v>7.662381559376267</v>
      </c>
      <c r="I24" s="24">
        <v>0.40941760702640073</v>
      </c>
      <c r="O24" s="23"/>
    </row>
    <row r="25" spans="1:15" x14ac:dyDescent="0.45">
      <c r="A25" s="22" t="s">
        <v>74</v>
      </c>
      <c r="B25" s="22" t="s">
        <v>49</v>
      </c>
      <c r="C25" s="22" t="s">
        <v>45</v>
      </c>
      <c r="D25" s="22" t="s">
        <v>69</v>
      </c>
      <c r="E25" s="23">
        <v>9.0076969121310952</v>
      </c>
      <c r="F25" s="23">
        <v>-11.091055286764522</v>
      </c>
      <c r="G25" s="23">
        <v>44.267827806471772</v>
      </c>
      <c r="H25" s="23">
        <v>10.407704741048505</v>
      </c>
      <c r="I25" s="24">
        <v>0.65913203757358219</v>
      </c>
      <c r="J25" s="23">
        <f>AVERAGE(G23:G25)</f>
        <v>50.625638230627715</v>
      </c>
      <c r="K25" s="23">
        <f>AVERAGE(H23:H25)</f>
        <v>8.3721001054637636</v>
      </c>
      <c r="L25" s="23">
        <f>AVERAGE(I23:I25)</f>
        <v>0.48831674942287656</v>
      </c>
      <c r="O25" s="23"/>
    </row>
    <row r="26" spans="1:15" x14ac:dyDescent="0.45">
      <c r="A26" s="26" t="s">
        <v>75</v>
      </c>
      <c r="B26" s="26" t="s">
        <v>44</v>
      </c>
      <c r="C26" s="26" t="s">
        <v>53</v>
      </c>
      <c r="D26" s="26" t="s">
        <v>69</v>
      </c>
      <c r="E26" s="27">
        <v>9.306542122469688</v>
      </c>
      <c r="F26" s="27">
        <v>-13.001564305653668</v>
      </c>
      <c r="G26" s="27">
        <v>47.580501584615448</v>
      </c>
      <c r="H26" s="27">
        <v>7.7011457520521827</v>
      </c>
      <c r="I26" s="24">
        <v>0.39659844420948631</v>
      </c>
      <c r="J26" s="27"/>
      <c r="K26" s="27"/>
      <c r="L26" s="27"/>
      <c r="M26" s="27"/>
      <c r="N26" s="27"/>
      <c r="O26" s="27"/>
    </row>
    <row r="27" spans="1:15" x14ac:dyDescent="0.45">
      <c r="A27" s="26" t="s">
        <v>76</v>
      </c>
      <c r="B27" s="26" t="s">
        <v>44</v>
      </c>
      <c r="C27" s="26" t="s">
        <v>53</v>
      </c>
      <c r="D27" s="26" t="s">
        <v>69</v>
      </c>
      <c r="E27" s="27">
        <v>8.2244902160512243</v>
      </c>
      <c r="F27" s="27">
        <v>-12.883743292581544</v>
      </c>
      <c r="G27" s="27">
        <v>44.145192554274864</v>
      </c>
      <c r="H27" s="27">
        <v>7.9248730469153932</v>
      </c>
      <c r="I27" s="24">
        <v>0.5486755610580929</v>
      </c>
      <c r="J27" s="27"/>
      <c r="K27" s="27"/>
      <c r="L27" s="27"/>
      <c r="M27" s="27"/>
      <c r="N27" s="27"/>
      <c r="O27" s="27"/>
    </row>
    <row r="28" spans="1:15" x14ac:dyDescent="0.45">
      <c r="A28" s="26" t="s">
        <v>77</v>
      </c>
      <c r="B28" s="26" t="s">
        <v>44</v>
      </c>
      <c r="C28" s="26" t="s">
        <v>53</v>
      </c>
      <c r="D28" s="26" t="s">
        <v>69</v>
      </c>
      <c r="E28" s="27">
        <v>8.6</v>
      </c>
      <c r="F28" s="27">
        <v>-13</v>
      </c>
      <c r="G28" s="27">
        <v>49</v>
      </c>
      <c r="H28" s="27">
        <v>9</v>
      </c>
      <c r="I28" s="24">
        <v>0.45265519041338359</v>
      </c>
      <c r="J28" s="23">
        <f>AVERAGE(G26:G28)</f>
        <v>46.908564712963432</v>
      </c>
      <c r="K28" s="23">
        <f>AVERAGE(H26:H28)</f>
        <v>8.2086729329891917</v>
      </c>
      <c r="L28" s="23">
        <f>AVERAGE(I26:I28)</f>
        <v>0.46597639856032091</v>
      </c>
      <c r="M28" s="23">
        <f>AVERAGE(G20:G28)</f>
        <v>49.166568104810665</v>
      </c>
      <c r="N28" s="23">
        <f>AVERAGE(H20:H28)</f>
        <v>7.7553548823663352</v>
      </c>
      <c r="O28" s="23">
        <f>AVERAGE(I20:I28)</f>
        <v>0.45662638987487181</v>
      </c>
    </row>
    <row r="29" spans="1:15" x14ac:dyDescent="0.45">
      <c r="A29" s="22" t="s">
        <v>78</v>
      </c>
      <c r="B29" s="22" t="s">
        <v>44</v>
      </c>
      <c r="C29" s="22" t="s">
        <v>45</v>
      </c>
      <c r="D29" s="22" t="s">
        <v>79</v>
      </c>
      <c r="E29" s="23">
        <v>7.6088815391324918</v>
      </c>
      <c r="F29" s="23">
        <v>-11.950426600088901</v>
      </c>
      <c r="G29" s="23">
        <v>48.612816019609184</v>
      </c>
      <c r="H29" s="23">
        <v>11.728521380987949</v>
      </c>
      <c r="I29" s="24">
        <v>0.50918403902221354</v>
      </c>
      <c r="O29" s="23"/>
    </row>
    <row r="30" spans="1:15" x14ac:dyDescent="0.45">
      <c r="A30" s="22" t="s">
        <v>80</v>
      </c>
      <c r="B30" s="22" t="s">
        <v>44</v>
      </c>
      <c r="C30" s="22" t="s">
        <v>45</v>
      </c>
      <c r="D30" s="22" t="s">
        <v>79</v>
      </c>
      <c r="E30" s="23">
        <v>7.4499121712078598</v>
      </c>
      <c r="F30" s="23">
        <v>-11.810038856669463</v>
      </c>
      <c r="G30" s="23">
        <v>48.797506819676514</v>
      </c>
      <c r="H30" s="23">
        <v>12.137578372944516</v>
      </c>
      <c r="I30" s="24">
        <v>0.50147564794196731</v>
      </c>
      <c r="O30" s="23"/>
    </row>
    <row r="31" spans="1:15" x14ac:dyDescent="0.45">
      <c r="A31" s="22" t="s">
        <v>81</v>
      </c>
      <c r="B31" s="22" t="s">
        <v>44</v>
      </c>
      <c r="C31" s="22" t="s">
        <v>45</v>
      </c>
      <c r="D31" s="22" t="s">
        <v>79</v>
      </c>
      <c r="E31" s="23">
        <v>7.7788216774701375</v>
      </c>
      <c r="F31" s="23">
        <v>-11.817051789421283</v>
      </c>
      <c r="G31" s="23">
        <v>47.424947629578604</v>
      </c>
      <c r="H31" s="23">
        <v>11.554761245462581</v>
      </c>
      <c r="I31" s="24">
        <v>0.50661171442060549</v>
      </c>
      <c r="J31" s="23">
        <f>AVERAGE(G29:G31)</f>
        <v>48.278423489621439</v>
      </c>
      <c r="K31" s="23">
        <f>AVERAGE(H29:H31)</f>
        <v>11.806953666465015</v>
      </c>
      <c r="L31" s="23">
        <f>AVERAGE(I29:I31)</f>
        <v>0.50575713379492881</v>
      </c>
      <c r="O31" s="23"/>
    </row>
    <row r="32" spans="1:15" x14ac:dyDescent="0.45">
      <c r="A32" s="22" t="s">
        <v>82</v>
      </c>
      <c r="B32" s="22" t="s">
        <v>49</v>
      </c>
      <c r="C32" s="22" t="s">
        <v>45</v>
      </c>
      <c r="D32" s="22" t="s">
        <v>79</v>
      </c>
      <c r="E32" s="23">
        <v>7.8673692062151739</v>
      </c>
      <c r="F32" s="23">
        <v>-11.604850893709342</v>
      </c>
      <c r="G32" s="23">
        <v>45.418541245348145</v>
      </c>
      <c r="H32" s="23">
        <v>11.248986021388456</v>
      </c>
      <c r="I32" s="24">
        <v>0.47650038863340055</v>
      </c>
      <c r="O32" s="23"/>
    </row>
    <row r="33" spans="1:15" x14ac:dyDescent="0.45">
      <c r="A33" s="22" t="s">
        <v>83</v>
      </c>
      <c r="B33" s="22" t="s">
        <v>49</v>
      </c>
      <c r="C33" s="22" t="s">
        <v>45</v>
      </c>
      <c r="D33" s="22" t="s">
        <v>79</v>
      </c>
      <c r="E33" s="23">
        <v>7.5377292156335107</v>
      </c>
      <c r="F33" s="23">
        <v>-11.557453319133288</v>
      </c>
      <c r="G33" s="23">
        <v>47.147991820275315</v>
      </c>
      <c r="H33" s="23">
        <v>11.576362898851221</v>
      </c>
      <c r="I33" s="24">
        <v>0.43604639105184007</v>
      </c>
      <c r="O33" s="23"/>
    </row>
    <row r="34" spans="1:15" x14ac:dyDescent="0.45">
      <c r="A34" s="22" t="s">
        <v>84</v>
      </c>
      <c r="B34" s="22" t="s">
        <v>49</v>
      </c>
      <c r="C34" s="22" t="s">
        <v>45</v>
      </c>
      <c r="D34" s="22" t="s">
        <v>79</v>
      </c>
      <c r="E34" s="23">
        <v>7.6428768408672276</v>
      </c>
      <c r="F34" s="23">
        <v>-11.567728045183799</v>
      </c>
      <c r="G34" s="23">
        <v>46.0008113981146</v>
      </c>
      <c r="H34" s="23">
        <v>11.400779345852238</v>
      </c>
      <c r="I34" s="24">
        <v>0.46853174315178558</v>
      </c>
      <c r="J34" s="23">
        <f>AVERAGE(G32:G34)</f>
        <v>46.189114821246022</v>
      </c>
      <c r="K34" s="23">
        <f>AVERAGE(H32:H34)</f>
        <v>11.408709422030638</v>
      </c>
      <c r="L34" s="23">
        <f>AVERAGE(I32:I34)</f>
        <v>0.46035950761234207</v>
      </c>
      <c r="O34" s="23"/>
    </row>
    <row r="35" spans="1:15" x14ac:dyDescent="0.45">
      <c r="A35" s="26" t="s">
        <v>85</v>
      </c>
      <c r="B35" s="26" t="s">
        <v>44</v>
      </c>
      <c r="C35" s="26" t="s">
        <v>53</v>
      </c>
      <c r="D35" s="26" t="s">
        <v>79</v>
      </c>
      <c r="E35" s="27">
        <v>6.718417969224789</v>
      </c>
      <c r="F35" s="27">
        <v>-13.896394585968668</v>
      </c>
      <c r="G35" s="27">
        <v>53.749403340177793</v>
      </c>
      <c r="H35" s="27">
        <v>9.4696635625123822</v>
      </c>
      <c r="I35" s="24">
        <v>0.45186124456505466</v>
      </c>
      <c r="J35" s="27"/>
      <c r="K35" s="27"/>
      <c r="L35" s="27"/>
      <c r="M35" s="27"/>
      <c r="N35" s="27"/>
      <c r="O35" s="27"/>
    </row>
    <row r="36" spans="1:15" x14ac:dyDescent="0.45">
      <c r="A36" s="26" t="s">
        <v>86</v>
      </c>
      <c r="B36" s="26" t="s">
        <v>44</v>
      </c>
      <c r="C36" s="26" t="s">
        <v>53</v>
      </c>
      <c r="D36" s="26" t="s">
        <v>79</v>
      </c>
      <c r="E36" s="27">
        <v>6.8374236779713673</v>
      </c>
      <c r="F36" s="27">
        <v>-12.106734025338667</v>
      </c>
      <c r="G36" s="27">
        <v>46.870259122974488</v>
      </c>
      <c r="H36" s="27">
        <v>11.838376451254552</v>
      </c>
      <c r="I36" s="24">
        <v>0.51230742480886848</v>
      </c>
      <c r="J36" s="27"/>
      <c r="K36" s="27"/>
      <c r="L36" s="27"/>
      <c r="M36" s="27"/>
      <c r="N36" s="27"/>
      <c r="O36" s="27"/>
    </row>
    <row r="37" spans="1:15" x14ac:dyDescent="0.45">
      <c r="A37" s="26" t="s">
        <v>87</v>
      </c>
      <c r="B37" s="26" t="s">
        <v>44</v>
      </c>
      <c r="C37" s="26" t="s">
        <v>53</v>
      </c>
      <c r="D37" s="26" t="s">
        <v>79</v>
      </c>
      <c r="E37" s="27">
        <v>6.6354139874939833</v>
      </c>
      <c r="F37" s="27">
        <v>-12.381988288636471</v>
      </c>
      <c r="G37" s="27">
        <v>48.435954426673696</v>
      </c>
      <c r="H37" s="27">
        <v>11.741285811279134</v>
      </c>
      <c r="I37" s="24">
        <v>0.57002937775061757</v>
      </c>
      <c r="J37" s="23">
        <f>AVERAGE(G35:G37)</f>
        <v>49.685205629941997</v>
      </c>
      <c r="K37" s="23">
        <f>AVERAGE(H35:H37)</f>
        <v>11.016441941682023</v>
      </c>
      <c r="L37" s="23">
        <f>AVERAGE(I35:I37)</f>
        <v>0.51139934904151352</v>
      </c>
      <c r="M37" s="23">
        <f>AVERAGE(G29:G37)</f>
        <v>48.050914646936491</v>
      </c>
      <c r="N37" s="23">
        <f>AVERAGE(H29:H37)</f>
        <v>11.410701676725893</v>
      </c>
      <c r="O37" s="23">
        <f>AVERAGE(I29:I37)</f>
        <v>0.4925053301495948</v>
      </c>
    </row>
    <row r="38" spans="1:15" x14ac:dyDescent="0.45">
      <c r="A38" s="22" t="s">
        <v>88</v>
      </c>
      <c r="B38" s="22" t="s">
        <v>44</v>
      </c>
      <c r="C38" s="22" t="s">
        <v>45</v>
      </c>
      <c r="D38" s="22" t="s">
        <v>89</v>
      </c>
      <c r="E38" s="23">
        <v>8.8925392956634521</v>
      </c>
      <c r="F38" s="23">
        <v>-12.823686065886292</v>
      </c>
      <c r="G38" s="23">
        <v>51.729323751389011</v>
      </c>
      <c r="H38" s="23">
        <v>10.588460820264357</v>
      </c>
      <c r="I38" s="24">
        <v>0.47037478861451942</v>
      </c>
      <c r="O38" s="23"/>
    </row>
    <row r="39" spans="1:15" x14ac:dyDescent="0.45">
      <c r="A39" s="22" t="s">
        <v>90</v>
      </c>
      <c r="B39" s="22" t="s">
        <v>44</v>
      </c>
      <c r="C39" s="22" t="s">
        <v>45</v>
      </c>
      <c r="D39" s="22" t="s">
        <v>89</v>
      </c>
      <c r="E39" s="23">
        <v>8.4266831154915778</v>
      </c>
      <c r="F39" s="23">
        <v>-12.583827417365962</v>
      </c>
      <c r="G39" s="23">
        <v>49.96438262419764</v>
      </c>
      <c r="H39" s="23">
        <v>11.107246822138999</v>
      </c>
      <c r="I39" s="24">
        <v>0.4106353330997482</v>
      </c>
      <c r="O39" s="23"/>
    </row>
    <row r="40" spans="1:15" x14ac:dyDescent="0.45">
      <c r="A40" s="22" t="s">
        <v>91</v>
      </c>
      <c r="B40" s="22" t="s">
        <v>44</v>
      </c>
      <c r="C40" s="22" t="s">
        <v>45</v>
      </c>
      <c r="D40" s="22" t="s">
        <v>89</v>
      </c>
      <c r="E40" s="23">
        <v>8.5509661364152123</v>
      </c>
      <c r="F40" s="23">
        <v>-12.864128387293693</v>
      </c>
      <c r="G40" s="23">
        <v>53.133469605738547</v>
      </c>
      <c r="H40" s="23">
        <v>11.052080865975302</v>
      </c>
      <c r="I40" s="24">
        <v>0.34091309499490791</v>
      </c>
      <c r="J40" s="23">
        <f>AVERAGE(G38:G40)</f>
        <v>51.60905866044174</v>
      </c>
      <c r="K40" s="23">
        <f>AVERAGE(H38:H40)</f>
        <v>10.915929502792887</v>
      </c>
      <c r="L40" s="23">
        <f>AVERAGE(I38:I40)</f>
        <v>0.40730773890305855</v>
      </c>
      <c r="O40" s="23"/>
    </row>
    <row r="41" spans="1:15" x14ac:dyDescent="0.45">
      <c r="A41" s="22" t="s">
        <v>92</v>
      </c>
      <c r="B41" s="22" t="s">
        <v>49</v>
      </c>
      <c r="C41" s="22" t="s">
        <v>45</v>
      </c>
      <c r="D41" s="22" t="s">
        <v>89</v>
      </c>
      <c r="E41" s="23">
        <v>8.5967312129703952</v>
      </c>
      <c r="F41" s="23">
        <v>-12.316162525732928</v>
      </c>
      <c r="G41" s="23">
        <v>48.720260294096519</v>
      </c>
      <c r="H41" s="23">
        <v>10.991526351685097</v>
      </c>
      <c r="I41" s="24">
        <v>0.6257874266793032</v>
      </c>
      <c r="O41" s="23"/>
    </row>
    <row r="42" spans="1:15" x14ac:dyDescent="0.45">
      <c r="A42" s="22" t="s">
        <v>93</v>
      </c>
      <c r="B42" s="22" t="s">
        <v>49</v>
      </c>
      <c r="C42" s="22" t="s">
        <v>45</v>
      </c>
      <c r="D42" s="22" t="s">
        <v>89</v>
      </c>
      <c r="E42" s="23">
        <v>8.1313526758746768</v>
      </c>
      <c r="F42" s="23">
        <v>-12.23917488875818</v>
      </c>
      <c r="G42" s="23">
        <v>47.08315371573304</v>
      </c>
      <c r="H42" s="23">
        <v>11.026073599317133</v>
      </c>
      <c r="I42" s="24">
        <v>0.38169217334347022</v>
      </c>
      <c r="O42" s="23"/>
    </row>
    <row r="43" spans="1:15" x14ac:dyDescent="0.45">
      <c r="A43" s="22" t="s">
        <v>94</v>
      </c>
      <c r="B43" s="22" t="s">
        <v>49</v>
      </c>
      <c r="C43" s="22" t="s">
        <v>45</v>
      </c>
      <c r="D43" s="22" t="s">
        <v>89</v>
      </c>
      <c r="E43" s="23">
        <v>8.3787504814718563</v>
      </c>
      <c r="F43" s="23">
        <v>-12.650480122719863</v>
      </c>
      <c r="G43" s="23">
        <v>48.217430148830161</v>
      </c>
      <c r="H43" s="23">
        <v>10.581023057623467</v>
      </c>
      <c r="I43" s="24">
        <v>0.3623536862500617</v>
      </c>
      <c r="J43" s="23">
        <f>AVERAGE(G41:G43)</f>
        <v>48.006948052886571</v>
      </c>
      <c r="K43" s="23">
        <f>AVERAGE(H41:H43)</f>
        <v>10.8662076695419</v>
      </c>
      <c r="L43" s="23">
        <f>AVERAGE(I41:I43)</f>
        <v>0.45661109542427836</v>
      </c>
      <c r="O43" s="23"/>
    </row>
    <row r="44" spans="1:15" x14ac:dyDescent="0.45">
      <c r="A44" s="26" t="s">
        <v>95</v>
      </c>
      <c r="B44" s="26" t="s">
        <v>44</v>
      </c>
      <c r="C44" s="26" t="s">
        <v>53</v>
      </c>
      <c r="D44" s="26" t="s">
        <v>89</v>
      </c>
      <c r="E44" s="27">
        <v>6.9624296745539063</v>
      </c>
      <c r="F44" s="27">
        <v>-12.797408929554559</v>
      </c>
      <c r="G44" s="27">
        <v>49.818743264716261</v>
      </c>
      <c r="H44" s="27">
        <v>11.554105968232165</v>
      </c>
      <c r="I44" s="24">
        <v>0.41970582754934532</v>
      </c>
      <c r="J44" s="27"/>
      <c r="K44" s="27"/>
      <c r="L44" s="27"/>
      <c r="M44" s="27"/>
      <c r="N44" s="27"/>
      <c r="O44" s="27"/>
    </row>
    <row r="45" spans="1:15" x14ac:dyDescent="0.45">
      <c r="A45" s="26" t="s">
        <v>96</v>
      </c>
      <c r="B45" s="26" t="s">
        <v>44</v>
      </c>
      <c r="C45" s="26" t="s">
        <v>53</v>
      </c>
      <c r="D45" s="26" t="s">
        <v>89</v>
      </c>
      <c r="E45" s="27">
        <v>6.9454288590186808</v>
      </c>
      <c r="F45" s="27">
        <v>-12.980234639494059</v>
      </c>
      <c r="G45" s="27">
        <v>50.453023381269858</v>
      </c>
      <c r="H45" s="27">
        <v>11.299737624955968</v>
      </c>
      <c r="I45" s="24">
        <v>0.39771343691157096</v>
      </c>
      <c r="J45" s="27"/>
      <c r="K45" s="27"/>
      <c r="L45" s="27"/>
      <c r="M45" s="27"/>
      <c r="N45" s="27"/>
      <c r="O45" s="27"/>
    </row>
    <row r="46" spans="1:15" x14ac:dyDescent="0.45">
      <c r="A46" s="26" t="s">
        <v>97</v>
      </c>
      <c r="B46" s="26" t="s">
        <v>44</v>
      </c>
      <c r="C46" s="26" t="s">
        <v>53</v>
      </c>
      <c r="D46" s="26" t="s">
        <v>89</v>
      </c>
      <c r="E46" s="27">
        <v>6.999431449542338</v>
      </c>
      <c r="F46" s="27">
        <v>-12.241821911016187</v>
      </c>
      <c r="G46" s="27">
        <v>50.319922947366237</v>
      </c>
      <c r="H46" s="27">
        <v>11.964116109252144</v>
      </c>
      <c r="I46" s="24">
        <v>0.3242989360608512</v>
      </c>
      <c r="J46" s="23">
        <f>AVERAGE(G44:G46)</f>
        <v>50.197229864450783</v>
      </c>
      <c r="K46" s="23">
        <f>AVERAGE(H44:H46)</f>
        <v>11.605986567480093</v>
      </c>
      <c r="L46" s="23">
        <f>AVERAGE(I44:I46)</f>
        <v>0.38057273350725579</v>
      </c>
      <c r="M46" s="23">
        <f>AVERAGE(G38:G46)</f>
        <v>49.937745525926367</v>
      </c>
      <c r="N46" s="23">
        <f>AVERAGE(H38:H46)</f>
        <v>11.129374579938293</v>
      </c>
      <c r="O46" s="23">
        <f>AVERAGE(I38:I46)</f>
        <v>0.41483052261153097</v>
      </c>
    </row>
    <row r="47" spans="1:15" x14ac:dyDescent="0.45">
      <c r="A47" s="22" t="s">
        <v>98</v>
      </c>
      <c r="B47" s="22" t="s">
        <v>44</v>
      </c>
      <c r="C47" s="22" t="s">
        <v>45</v>
      </c>
      <c r="D47" s="22" t="s">
        <v>99</v>
      </c>
      <c r="E47" s="23">
        <v>8.9924733785846502</v>
      </c>
      <c r="F47" s="23">
        <v>-11.491903867032281</v>
      </c>
      <c r="G47" s="23">
        <v>45.06872489387797</v>
      </c>
      <c r="H47" s="23">
        <v>11.277152508682335</v>
      </c>
      <c r="I47" s="24">
        <v>0.48208343667665376</v>
      </c>
      <c r="O47" s="23"/>
    </row>
    <row r="48" spans="1:15" x14ac:dyDescent="0.45">
      <c r="A48" s="22" t="s">
        <v>100</v>
      </c>
      <c r="B48" s="22" t="s">
        <v>44</v>
      </c>
      <c r="C48" s="22" t="s">
        <v>45</v>
      </c>
      <c r="D48" s="22" t="s">
        <v>99</v>
      </c>
      <c r="E48" s="23">
        <v>8.8409913216582421</v>
      </c>
      <c r="F48" s="23">
        <v>-11.747446898998749</v>
      </c>
      <c r="G48" s="23">
        <v>49.059401077011152</v>
      </c>
      <c r="H48" s="23">
        <v>11.915925922576324</v>
      </c>
      <c r="I48" s="24">
        <v>0.51599654659976157</v>
      </c>
      <c r="O48" s="23"/>
    </row>
    <row r="49" spans="1:16" x14ac:dyDescent="0.45">
      <c r="A49" s="22" t="s">
        <v>101</v>
      </c>
      <c r="B49" s="22" t="s">
        <v>44</v>
      </c>
      <c r="C49" s="22" t="s">
        <v>45</v>
      </c>
      <c r="D49" s="22" t="s">
        <v>99</v>
      </c>
      <c r="E49" s="23">
        <v>8.6349854682490026</v>
      </c>
      <c r="F49" s="23">
        <v>-11.73962581476356</v>
      </c>
      <c r="G49" s="23">
        <v>48.823725501175474</v>
      </c>
      <c r="H49" s="23">
        <v>12.147116009119546</v>
      </c>
      <c r="I49" s="24">
        <v>0.44726170549568467</v>
      </c>
      <c r="J49" s="23">
        <f>AVERAGE(G47:G49)</f>
        <v>47.650617157354873</v>
      </c>
      <c r="K49" s="23">
        <f>AVERAGE(H47:H49)</f>
        <v>11.780064813459402</v>
      </c>
      <c r="L49" s="23">
        <f>AVERAGE(I47:I49)</f>
        <v>0.48178056292403332</v>
      </c>
      <c r="O49" s="23"/>
    </row>
    <row r="50" spans="1:16" x14ac:dyDescent="0.45">
      <c r="A50" s="22" t="s">
        <v>102</v>
      </c>
      <c r="B50" s="22" t="s">
        <v>49</v>
      </c>
      <c r="C50" s="22" t="s">
        <v>45</v>
      </c>
      <c r="D50" s="22" t="s">
        <v>99</v>
      </c>
      <c r="E50" s="23">
        <v>8.8953994079902774</v>
      </c>
      <c r="F50" s="23">
        <v>-11.23831821674678</v>
      </c>
      <c r="G50" s="23">
        <v>47.579837906521533</v>
      </c>
      <c r="H50" s="23">
        <v>12.234499087018198</v>
      </c>
      <c r="I50" s="24">
        <v>0.51907147823222588</v>
      </c>
      <c r="O50" s="23"/>
    </row>
    <row r="51" spans="1:16" x14ac:dyDescent="0.45">
      <c r="A51" s="22" t="s">
        <v>103</v>
      </c>
      <c r="B51" s="22" t="s">
        <v>49</v>
      </c>
      <c r="C51" s="22" t="s">
        <v>45</v>
      </c>
      <c r="D51" s="22" t="s">
        <v>99</v>
      </c>
      <c r="E51" s="23">
        <v>9.0237082702737812</v>
      </c>
      <c r="F51" s="23">
        <v>-11.016576364851874</v>
      </c>
      <c r="G51" s="23">
        <v>47.676828352442612</v>
      </c>
      <c r="H51" s="23">
        <v>12.719906012141207</v>
      </c>
      <c r="I51" s="24">
        <v>0.44626462414719825</v>
      </c>
      <c r="O51" s="23"/>
    </row>
    <row r="52" spans="1:16" x14ac:dyDescent="0.45">
      <c r="A52" s="22" t="s">
        <v>104</v>
      </c>
      <c r="B52" s="22" t="s">
        <v>49</v>
      </c>
      <c r="C52" s="22" t="s">
        <v>45</v>
      </c>
      <c r="D52" s="22" t="s">
        <v>99</v>
      </c>
      <c r="E52" s="23">
        <v>8.6144148654685537</v>
      </c>
      <c r="F52" s="23">
        <v>-10.78803404624915</v>
      </c>
      <c r="G52" s="23">
        <v>46.680911312088178</v>
      </c>
      <c r="H52" s="23">
        <v>12.539414903085053</v>
      </c>
      <c r="I52" s="24">
        <v>0.42561892979157062</v>
      </c>
      <c r="J52" s="23">
        <f>AVERAGE(G50:G52)</f>
        <v>47.312525857017441</v>
      </c>
      <c r="K52" s="23">
        <f>AVERAGE(H50:H52)</f>
        <v>12.497940000748153</v>
      </c>
      <c r="L52" s="23">
        <f>AVERAGE(I50:I52)</f>
        <v>0.46365167739033158</v>
      </c>
      <c r="O52" s="23"/>
    </row>
    <row r="53" spans="1:16" x14ac:dyDescent="0.45">
      <c r="A53" s="26" t="s">
        <v>105</v>
      </c>
      <c r="B53" s="26" t="s">
        <v>44</v>
      </c>
      <c r="C53" s="26" t="s">
        <v>53</v>
      </c>
      <c r="D53" s="26" t="s">
        <v>99</v>
      </c>
      <c r="E53" s="27">
        <v>7.9324762080344122</v>
      </c>
      <c r="F53" s="27">
        <v>-11.898515855685346</v>
      </c>
      <c r="G53" s="27">
        <v>47.157140255302608</v>
      </c>
      <c r="H53" s="27">
        <v>12.279022119295742</v>
      </c>
      <c r="I53" s="24">
        <v>0.41216709700595056</v>
      </c>
      <c r="J53" s="27"/>
      <c r="K53" s="27"/>
      <c r="L53" s="27"/>
      <c r="M53" s="27"/>
      <c r="N53" s="27"/>
      <c r="O53" s="27"/>
    </row>
    <row r="54" spans="1:16" x14ac:dyDescent="0.45">
      <c r="A54" s="26" t="s">
        <v>106</v>
      </c>
      <c r="B54" s="26" t="s">
        <v>44</v>
      </c>
      <c r="C54" s="26" t="s">
        <v>53</v>
      </c>
      <c r="D54" s="26" t="s">
        <v>99</v>
      </c>
      <c r="E54" s="27">
        <v>9.0635304651132298</v>
      </c>
      <c r="F54" s="27">
        <v>77</v>
      </c>
      <c r="G54" s="27">
        <v>42.552503134075181</v>
      </c>
      <c r="H54" s="27">
        <v>10.880675537926811</v>
      </c>
      <c r="I54" s="24">
        <v>0.46419285236285923</v>
      </c>
      <c r="J54" s="27"/>
      <c r="K54" s="27"/>
      <c r="L54" s="27"/>
      <c r="M54" s="27"/>
      <c r="N54" s="27"/>
      <c r="O54" s="27"/>
    </row>
    <row r="55" spans="1:16" x14ac:dyDescent="0.45">
      <c r="A55" s="26" t="s">
        <v>107</v>
      </c>
      <c r="B55" s="26" t="s">
        <v>44</v>
      </c>
      <c r="C55" s="26" t="s">
        <v>53</v>
      </c>
      <c r="D55" s="26" t="s">
        <v>99</v>
      </c>
      <c r="E55" s="27">
        <v>8.0234805735465002</v>
      </c>
      <c r="F55" s="27">
        <v>-12.079310168847741</v>
      </c>
      <c r="G55" s="27">
        <v>46.327119910585964</v>
      </c>
      <c r="H55" s="27">
        <v>11.75059458354624</v>
      </c>
      <c r="I55" s="24">
        <v>0.45949955908527607</v>
      </c>
      <c r="J55" s="23">
        <f>AVERAGE(G53:G55)</f>
        <v>45.345587766654582</v>
      </c>
      <c r="K55" s="23">
        <f>AVERAGE(H53:H55)</f>
        <v>11.636764080256263</v>
      </c>
      <c r="L55" s="23">
        <f>AVERAGE(I53:I55)</f>
        <v>0.44528650281802862</v>
      </c>
      <c r="M55" s="23">
        <f>AVERAGE(G47:G55)</f>
        <v>46.769576927008963</v>
      </c>
      <c r="N55" s="23">
        <f>AVERAGE(H47:H55)</f>
        <v>11.971589631487941</v>
      </c>
      <c r="O55" s="23">
        <f>AVERAGE(I47:I55)</f>
        <v>0.46357291437746451</v>
      </c>
    </row>
    <row r="56" spans="1:16" x14ac:dyDescent="0.45">
      <c r="A56" s="26" t="s">
        <v>108</v>
      </c>
      <c r="B56" s="26" t="s">
        <v>44</v>
      </c>
      <c r="C56" s="26" t="s">
        <v>53</v>
      </c>
      <c r="D56" s="26" t="s">
        <v>109</v>
      </c>
      <c r="E56" s="27">
        <v>8.0554821086716313</v>
      </c>
      <c r="F56" s="27">
        <v>-12.587159363124131</v>
      </c>
      <c r="G56" s="27">
        <v>50.908596123991359</v>
      </c>
      <c r="H56" s="27">
        <v>11.208052403693154</v>
      </c>
      <c r="I56" s="24">
        <v>0.43753261526153803</v>
      </c>
      <c r="J56" s="27"/>
      <c r="K56" s="27"/>
      <c r="L56" s="27"/>
      <c r="M56" s="27"/>
      <c r="N56" s="27"/>
      <c r="O56" s="27"/>
    </row>
    <row r="57" spans="1:16" x14ac:dyDescent="0.45">
      <c r="A57" s="28" t="s">
        <v>110</v>
      </c>
      <c r="B57" s="26" t="s">
        <v>44</v>
      </c>
      <c r="C57" s="26" t="s">
        <v>53</v>
      </c>
      <c r="D57" s="28" t="s">
        <v>109</v>
      </c>
      <c r="E57" s="27">
        <v>8.2204900241605845</v>
      </c>
      <c r="F57" s="27">
        <v>-12.910151450683916</v>
      </c>
      <c r="G57" s="27">
        <v>53.082286135161439</v>
      </c>
      <c r="H57" s="27">
        <v>9.9952791385761603</v>
      </c>
      <c r="I57" s="24">
        <v>0.37471640144380924</v>
      </c>
      <c r="J57" s="27"/>
      <c r="K57" s="27"/>
      <c r="L57" s="27"/>
      <c r="M57" s="27"/>
      <c r="N57" s="27"/>
      <c r="O57" s="27"/>
    </row>
    <row r="58" spans="1:16" x14ac:dyDescent="0.45">
      <c r="A58" s="26" t="s">
        <v>111</v>
      </c>
      <c r="B58" s="26" t="s">
        <v>44</v>
      </c>
      <c r="C58" s="26" t="s">
        <v>53</v>
      </c>
      <c r="D58" s="26" t="s">
        <v>109</v>
      </c>
      <c r="E58" s="27">
        <v>8.1804881052541703</v>
      </c>
      <c r="F58" s="27">
        <v>-12.864445023199041</v>
      </c>
      <c r="G58" s="27">
        <v>53.769184097078067</v>
      </c>
      <c r="H58" s="27">
        <v>10.197637199795604</v>
      </c>
      <c r="I58" s="24">
        <v>0.43425233056416285</v>
      </c>
      <c r="O58" s="23"/>
    </row>
    <row r="59" spans="1:16" x14ac:dyDescent="0.45">
      <c r="A59" s="29" t="s">
        <v>160</v>
      </c>
      <c r="B59" s="26" t="s">
        <v>44</v>
      </c>
      <c r="C59" s="26" t="s">
        <v>53</v>
      </c>
      <c r="D59" s="26" t="s">
        <v>161</v>
      </c>
      <c r="E59" s="27">
        <v>6.8334234860807257</v>
      </c>
      <c r="F59" s="27">
        <v>-11.032125130249824</v>
      </c>
      <c r="G59" s="27">
        <v>46.161569660760058</v>
      </c>
      <c r="H59" s="27">
        <v>12.56309309847587</v>
      </c>
      <c r="I59" s="24">
        <v>0.75556303708830286</v>
      </c>
      <c r="J59" s="27"/>
      <c r="K59" s="27"/>
      <c r="L59" s="27"/>
      <c r="M59" s="27"/>
      <c r="N59" s="27"/>
      <c r="O59" s="27"/>
    </row>
    <row r="60" spans="1:16" x14ac:dyDescent="0.45">
      <c r="A60" s="30" t="s">
        <v>162</v>
      </c>
      <c r="B60" s="26" t="s">
        <v>44</v>
      </c>
      <c r="C60" s="26" t="s">
        <v>53</v>
      </c>
      <c r="D60" s="28" t="s">
        <v>161</v>
      </c>
      <c r="E60" s="27">
        <v>8.6785119956390098</v>
      </c>
      <c r="F60" s="27">
        <v>-10.900084339737962</v>
      </c>
      <c r="G60" s="27">
        <v>44.917558309485493</v>
      </c>
      <c r="H60" s="27">
        <v>13.821665940804211</v>
      </c>
      <c r="I60" s="24">
        <v>0.33002859924212608</v>
      </c>
      <c r="J60" s="27"/>
      <c r="K60" s="27"/>
      <c r="L60" s="27"/>
      <c r="M60" s="27"/>
      <c r="N60" s="27"/>
      <c r="O60" s="27"/>
    </row>
    <row r="61" spans="1:16" x14ac:dyDescent="0.45">
      <c r="A61" s="29" t="s">
        <v>163</v>
      </c>
      <c r="B61" s="26" t="s">
        <v>44</v>
      </c>
      <c r="C61" s="26" t="s">
        <v>53</v>
      </c>
      <c r="D61" s="26" t="s">
        <v>161</v>
      </c>
      <c r="E61" s="27">
        <v>7.4864548122279126</v>
      </c>
      <c r="F61" s="27">
        <v>-10.828985452539268</v>
      </c>
      <c r="G61" s="27">
        <v>46.443393915582696</v>
      </c>
      <c r="H61" s="27">
        <v>13.47501836421845</v>
      </c>
      <c r="I61" s="24">
        <v>0.5047989635936051</v>
      </c>
      <c r="J61" s="23">
        <f>AVERAGE(G56:G61)</f>
        <v>49.213764707009851</v>
      </c>
      <c r="K61" s="23">
        <f>AVERAGE(H56:H61)</f>
        <v>11.876791024260575</v>
      </c>
      <c r="L61" s="23">
        <f>AVERAGE(I56:I61)</f>
        <v>0.47281532453225733</v>
      </c>
      <c r="M61" s="23">
        <f>AVERAGE(G56:G61)</f>
        <v>49.213764707009851</v>
      </c>
      <c r="N61" s="23">
        <f>AVERAGE(H56:H61)</f>
        <v>11.876791024260575</v>
      </c>
      <c r="O61" s="23">
        <f>AVERAGE(I56:I61)</f>
        <v>0.47281532453225733</v>
      </c>
      <c r="P61" s="22" t="s">
        <v>172</v>
      </c>
    </row>
    <row r="62" spans="1:16" x14ac:dyDescent="0.45">
      <c r="A62" s="22" t="s">
        <v>112</v>
      </c>
      <c r="B62" s="22" t="s">
        <v>44</v>
      </c>
      <c r="C62" s="22" t="s">
        <v>45</v>
      </c>
      <c r="D62" s="22" t="s">
        <v>113</v>
      </c>
      <c r="E62" s="23">
        <v>8.2560303836464275</v>
      </c>
      <c r="F62" s="23">
        <v>-11.411576900069541</v>
      </c>
      <c r="G62" s="23">
        <v>41.332240289141971</v>
      </c>
      <c r="H62" s="23">
        <v>11.851743329136024</v>
      </c>
      <c r="I62" s="24">
        <v>0.26950915811924742</v>
      </c>
      <c r="O62" s="23"/>
    </row>
    <row r="63" spans="1:16" x14ac:dyDescent="0.45">
      <c r="A63" s="25" t="s">
        <v>114</v>
      </c>
      <c r="B63" s="22" t="s">
        <v>44</v>
      </c>
      <c r="C63" s="22" t="s">
        <v>45</v>
      </c>
      <c r="D63" s="22" t="s">
        <v>113</v>
      </c>
      <c r="E63" s="23">
        <v>7.5491942845498192</v>
      </c>
      <c r="F63" s="23">
        <v>-11.028980557199613</v>
      </c>
      <c r="G63" s="23">
        <v>44.689086506204504</v>
      </c>
      <c r="H63" s="23">
        <v>13.179494858834406</v>
      </c>
      <c r="I63" s="24">
        <v>0.2579517705265279</v>
      </c>
      <c r="O63" s="23"/>
    </row>
    <row r="64" spans="1:16" x14ac:dyDescent="0.45">
      <c r="A64" s="25" t="s">
        <v>115</v>
      </c>
      <c r="B64" s="22" t="s">
        <v>44</v>
      </c>
      <c r="C64" s="22" t="s">
        <v>45</v>
      </c>
      <c r="D64" s="22" t="s">
        <v>113</v>
      </c>
      <c r="E64" s="23">
        <v>7.5719104209650316</v>
      </c>
      <c r="F64" s="23">
        <v>-11.070519685365031</v>
      </c>
      <c r="G64" s="23">
        <v>45.651345223087709</v>
      </c>
      <c r="H64" s="23">
        <v>13.550718109381583</v>
      </c>
      <c r="I64" s="24">
        <v>0.25273472919069817</v>
      </c>
      <c r="J64" s="23">
        <f>AVERAGE(G62:G64)</f>
        <v>43.890890672811395</v>
      </c>
      <c r="K64" s="23">
        <f>AVERAGE(H62:H64)</f>
        <v>12.860652099117338</v>
      </c>
      <c r="L64" s="23">
        <f>AVERAGE(I62:I64)</f>
        <v>0.26006521927882448</v>
      </c>
      <c r="O64" s="23"/>
    </row>
    <row r="65" spans="1:15" x14ac:dyDescent="0.45">
      <c r="A65" s="25" t="s">
        <v>116</v>
      </c>
      <c r="B65" s="22" t="s">
        <v>49</v>
      </c>
      <c r="C65" s="22" t="s">
        <v>45</v>
      </c>
      <c r="D65" s="22" t="s">
        <v>113</v>
      </c>
      <c r="E65" s="23">
        <v>7.0632508854628213</v>
      </c>
      <c r="F65" s="23">
        <v>-10.406294779460188</v>
      </c>
      <c r="G65" s="23">
        <v>45.972492451356658</v>
      </c>
      <c r="H65" s="23">
        <v>14.10993394836129</v>
      </c>
      <c r="I65" s="24">
        <v>0.31973462894524313</v>
      </c>
      <c r="O65" s="23"/>
    </row>
    <row r="66" spans="1:15" x14ac:dyDescent="0.45">
      <c r="A66" s="25" t="s">
        <v>117</v>
      </c>
      <c r="B66" s="22" t="s">
        <v>49</v>
      </c>
      <c r="C66" s="22" t="s">
        <v>45</v>
      </c>
      <c r="D66" s="22" t="s">
        <v>113</v>
      </c>
      <c r="E66" s="23">
        <v>7.2189817764467339</v>
      </c>
      <c r="F66" s="23">
        <v>-10.400091985012821</v>
      </c>
      <c r="G66" s="23">
        <v>45.299825636580422</v>
      </c>
      <c r="H66" s="23">
        <v>13.780257132372192</v>
      </c>
      <c r="I66" s="24">
        <v>0.38734966297369</v>
      </c>
      <c r="O66" s="23"/>
    </row>
    <row r="67" spans="1:15" x14ac:dyDescent="0.45">
      <c r="A67" s="25" t="s">
        <v>118</v>
      </c>
      <c r="B67" s="22" t="s">
        <v>49</v>
      </c>
      <c r="C67" s="22" t="s">
        <v>45</v>
      </c>
      <c r="D67" s="22" t="s">
        <v>113</v>
      </c>
      <c r="E67" s="23">
        <v>7.0302619975920599</v>
      </c>
      <c r="F67" s="23">
        <v>-10.544267088540966</v>
      </c>
      <c r="G67" s="23">
        <v>45.583815471216447</v>
      </c>
      <c r="H67" s="23">
        <v>13.926834572332755</v>
      </c>
      <c r="I67" s="24">
        <v>0.33602304097232738</v>
      </c>
      <c r="J67" s="23">
        <f>AVERAGE(G65:G67)</f>
        <v>45.618711186384509</v>
      </c>
      <c r="K67" s="23">
        <f>AVERAGE(H65:H67)</f>
        <v>13.939008551022079</v>
      </c>
      <c r="L67" s="23">
        <f>AVERAGE(I65:I67)</f>
        <v>0.3477024442970868</v>
      </c>
      <c r="O67" s="23"/>
    </row>
    <row r="68" spans="1:15" x14ac:dyDescent="0.45">
      <c r="A68" s="29" t="s">
        <v>119</v>
      </c>
      <c r="B68" s="26" t="s">
        <v>44</v>
      </c>
      <c r="C68" s="26" t="s">
        <v>53</v>
      </c>
      <c r="D68" s="26" t="s">
        <v>113</v>
      </c>
      <c r="E68" s="27">
        <v>7.4414526534581977</v>
      </c>
      <c r="F68" s="27">
        <v>-10.916335513954806</v>
      </c>
      <c r="G68" s="27">
        <v>46.925767092494254</v>
      </c>
      <c r="H68" s="27">
        <v>13.873364354019582</v>
      </c>
      <c r="I68" s="24">
        <v>0.33228518298630422</v>
      </c>
      <c r="J68" s="27"/>
      <c r="K68" s="27"/>
      <c r="L68" s="27"/>
      <c r="M68" s="27"/>
      <c r="N68" s="27"/>
      <c r="O68" s="27"/>
    </row>
    <row r="69" spans="1:15" x14ac:dyDescent="0.45">
      <c r="A69" s="30" t="s">
        <v>120</v>
      </c>
      <c r="B69" s="26" t="s">
        <v>44</v>
      </c>
      <c r="C69" s="26" t="s">
        <v>53</v>
      </c>
      <c r="D69" s="28" t="s">
        <v>113</v>
      </c>
      <c r="E69" s="27">
        <v>6.9634297225265662</v>
      </c>
      <c r="F69" s="27">
        <v>-11.477001024435941</v>
      </c>
      <c r="G69" s="27">
        <v>47.664484621501828</v>
      </c>
      <c r="H69" s="27">
        <v>14.281139163867815</v>
      </c>
      <c r="I69" s="24">
        <v>0.23831839114817727</v>
      </c>
      <c r="J69" s="27"/>
      <c r="K69" s="27"/>
      <c r="L69" s="27"/>
      <c r="M69" s="27"/>
      <c r="N69" s="27"/>
      <c r="O69" s="27"/>
    </row>
    <row r="70" spans="1:15" x14ac:dyDescent="0.45">
      <c r="A70" s="29" t="s">
        <v>121</v>
      </c>
      <c r="B70" s="26" t="s">
        <v>44</v>
      </c>
      <c r="C70" s="26" t="s">
        <v>53</v>
      </c>
      <c r="D70" s="26" t="s">
        <v>113</v>
      </c>
      <c r="E70" s="27">
        <v>6.7054173455802051</v>
      </c>
      <c r="F70" s="27">
        <v>-11.496299293818444</v>
      </c>
      <c r="G70" s="27">
        <v>47.401828680494418</v>
      </c>
      <c r="H70" s="27">
        <v>14.389711194132053</v>
      </c>
      <c r="I70" s="24">
        <v>0.34553825653725589</v>
      </c>
      <c r="J70" s="23">
        <f>AVERAGE(G68:G70)</f>
        <v>47.330693464830169</v>
      </c>
      <c r="K70" s="23">
        <f>AVERAGE(H68:H70)</f>
        <v>14.181404904006484</v>
      </c>
      <c r="L70" s="23">
        <f>AVERAGE(I68:I70)</f>
        <v>0.30538061022391244</v>
      </c>
      <c r="M70" s="23">
        <f>AVERAGE(G62:G70)</f>
        <v>45.613431774675355</v>
      </c>
      <c r="N70" s="23">
        <f>AVERAGE(H62:H70)</f>
        <v>13.6603551847153</v>
      </c>
      <c r="O70" s="23">
        <f>AVERAGE(I62:I70)</f>
        <v>0.30438275793327457</v>
      </c>
    </row>
    <row r="71" spans="1:15" x14ac:dyDescent="0.45">
      <c r="A71" s="25" t="s">
        <v>122</v>
      </c>
      <c r="B71" s="22" t="s">
        <v>44</v>
      </c>
      <c r="C71" s="22" t="s">
        <v>45</v>
      </c>
      <c r="D71" s="22" t="s">
        <v>123</v>
      </c>
      <c r="E71" s="23">
        <v>8.5498080842268376</v>
      </c>
      <c r="F71" s="23">
        <v>-13.402555603725652</v>
      </c>
      <c r="G71" s="23">
        <v>53.341974300271609</v>
      </c>
      <c r="H71" s="23">
        <v>9.969843993587844</v>
      </c>
      <c r="I71" s="24">
        <v>0.26249696377842169</v>
      </c>
      <c r="O71" s="23"/>
    </row>
    <row r="72" spans="1:15" x14ac:dyDescent="0.45">
      <c r="A72" s="25" t="s">
        <v>124</v>
      </c>
      <c r="B72" s="22" t="s">
        <v>44</v>
      </c>
      <c r="C72" s="22" t="s">
        <v>45</v>
      </c>
      <c r="D72" s="22" t="s">
        <v>123</v>
      </c>
      <c r="E72" s="23">
        <v>8.1259663106443067</v>
      </c>
      <c r="F72" s="23">
        <v>-11.946447430027842</v>
      </c>
      <c r="G72" s="23">
        <v>47.815945754185144</v>
      </c>
      <c r="H72" s="23">
        <v>12.20652868380704</v>
      </c>
      <c r="I72" s="24">
        <v>0.44640821785841345</v>
      </c>
      <c r="O72" s="23"/>
    </row>
    <row r="73" spans="1:15" x14ac:dyDescent="0.45">
      <c r="A73" s="25" t="s">
        <v>125</v>
      </c>
      <c r="B73" s="22" t="s">
        <v>44</v>
      </c>
      <c r="C73" s="22" t="s">
        <v>45</v>
      </c>
      <c r="D73" s="22" t="s">
        <v>123</v>
      </c>
      <c r="E73" s="23">
        <v>7.9645479082539019</v>
      </c>
      <c r="F73" s="23">
        <v>-11.191062426144601</v>
      </c>
      <c r="G73" s="23">
        <v>45.777217143763906</v>
      </c>
      <c r="H73" s="23">
        <v>12.930408253066394</v>
      </c>
      <c r="I73" s="24">
        <v>0.35108146926608935</v>
      </c>
      <c r="J73" s="23">
        <f>AVERAGE(G71:G73)</f>
        <v>48.978379066073558</v>
      </c>
      <c r="K73" s="23">
        <f>AVERAGE(H71:H73)</f>
        <v>11.702260310153759</v>
      </c>
      <c r="L73" s="23">
        <f>AVERAGE(I71:I73)</f>
        <v>0.3533288836343082</v>
      </c>
      <c r="O73" s="23"/>
    </row>
    <row r="74" spans="1:15" x14ac:dyDescent="0.45">
      <c r="A74" s="25" t="s">
        <v>126</v>
      </c>
      <c r="B74" s="22" t="s">
        <v>49</v>
      </c>
      <c r="C74" s="22" t="s">
        <v>45</v>
      </c>
      <c r="D74" s="22" t="s">
        <v>123</v>
      </c>
      <c r="E74" s="23">
        <v>7.2918647456445127</v>
      </c>
      <c r="F74" s="23">
        <v>-10.913460867104588</v>
      </c>
      <c r="G74" s="23">
        <v>44.863616559476618</v>
      </c>
      <c r="H74" s="23">
        <v>12.641269752577168</v>
      </c>
      <c r="I74" s="24">
        <v>0.54538768807935711</v>
      </c>
      <c r="O74" s="23"/>
    </row>
    <row r="75" spans="1:15" x14ac:dyDescent="0.45">
      <c r="A75" s="25" t="s">
        <v>126</v>
      </c>
      <c r="B75" s="22" t="s">
        <v>49</v>
      </c>
      <c r="C75" s="22" t="s">
        <v>45</v>
      </c>
      <c r="D75" s="22" t="s">
        <v>123</v>
      </c>
      <c r="E75" s="23">
        <v>7.3153203590334837</v>
      </c>
      <c r="F75" s="23">
        <v>-10.861848865489545</v>
      </c>
      <c r="G75" s="23">
        <v>46.800096684771546</v>
      </c>
      <c r="H75" s="23">
        <v>13.468710670793422</v>
      </c>
      <c r="I75" s="24">
        <v>0.54839358997903298</v>
      </c>
      <c r="O75" s="23"/>
    </row>
    <row r="76" spans="1:15" x14ac:dyDescent="0.45">
      <c r="A76" s="25" t="s">
        <v>126</v>
      </c>
      <c r="B76" s="22" t="s">
        <v>49</v>
      </c>
      <c r="C76" s="22" t="s">
        <v>45</v>
      </c>
      <c r="D76" s="22" t="s">
        <v>123</v>
      </c>
      <c r="E76" s="23">
        <v>7.5456860251372149</v>
      </c>
      <c r="F76" s="23">
        <v>-10.871801286686386</v>
      </c>
      <c r="G76" s="23">
        <v>46.113688101323611</v>
      </c>
      <c r="H76" s="23">
        <v>13.167249929030163</v>
      </c>
      <c r="I76" s="24">
        <v>0.52082727618840763</v>
      </c>
      <c r="J76" s="23">
        <f>AVERAGE(G74:G76)</f>
        <v>45.925800448523923</v>
      </c>
      <c r="K76" s="23">
        <f>AVERAGE(H74:H76)</f>
        <v>13.092410117466917</v>
      </c>
      <c r="L76" s="23">
        <f>AVERAGE(I74:I76)</f>
        <v>0.5382028514155992</v>
      </c>
      <c r="O76" s="23"/>
    </row>
    <row r="77" spans="1:15" x14ac:dyDescent="0.45">
      <c r="A77" s="29" t="s">
        <v>127</v>
      </c>
      <c r="B77" s="26" t="s">
        <v>44</v>
      </c>
      <c r="C77" s="26" t="s">
        <v>53</v>
      </c>
      <c r="D77" s="26" t="s">
        <v>123</v>
      </c>
      <c r="E77" s="27">
        <v>8.238490887668469</v>
      </c>
      <c r="F77" s="27">
        <v>-13.677003734041268</v>
      </c>
      <c r="G77" s="27">
        <v>54.09999948673223</v>
      </c>
      <c r="H77" s="27">
        <v>9.2187970115076201</v>
      </c>
      <c r="I77" s="24">
        <v>0.55504070654493565</v>
      </c>
      <c r="J77" s="27"/>
      <c r="K77" s="27"/>
      <c r="L77" s="27"/>
      <c r="M77" s="27"/>
      <c r="N77" s="27"/>
      <c r="O77" s="27"/>
    </row>
    <row r="78" spans="1:15" x14ac:dyDescent="0.45">
      <c r="A78" s="29" t="s">
        <v>128</v>
      </c>
      <c r="B78" s="26" t="s">
        <v>44</v>
      </c>
      <c r="C78" s="26" t="s">
        <v>53</v>
      </c>
      <c r="D78" s="26" t="s">
        <v>123</v>
      </c>
      <c r="E78" s="27">
        <v>7.5374572588335882</v>
      </c>
      <c r="F78" s="27">
        <v>-11.694360479586237</v>
      </c>
      <c r="G78" s="27">
        <v>46.018947154511906</v>
      </c>
      <c r="H78" s="27">
        <v>12.121635081525525</v>
      </c>
      <c r="I78" s="24">
        <v>0.92098396761014334</v>
      </c>
      <c r="J78" s="27"/>
      <c r="K78" s="27"/>
      <c r="L78" s="27"/>
      <c r="M78" s="27"/>
      <c r="N78" s="27"/>
      <c r="O78" s="27"/>
    </row>
    <row r="79" spans="1:15" x14ac:dyDescent="0.45">
      <c r="A79" s="29" t="s">
        <v>129</v>
      </c>
      <c r="B79" s="26" t="s">
        <v>44</v>
      </c>
      <c r="C79" s="26" t="s">
        <v>53</v>
      </c>
      <c r="D79" s="26" t="s">
        <v>123</v>
      </c>
      <c r="E79" s="27">
        <v>7.1174371103162546</v>
      </c>
      <c r="F79" s="27">
        <v>-11.741082605459665</v>
      </c>
      <c r="G79" s="27">
        <v>46.651885258059323</v>
      </c>
      <c r="H79" s="27">
        <v>12.390796817182204</v>
      </c>
      <c r="I79" s="24">
        <v>0.93775895462243741</v>
      </c>
      <c r="J79" s="23">
        <f>AVERAGE(G77:G79)</f>
        <v>48.923610633101156</v>
      </c>
      <c r="K79" s="23">
        <f>AVERAGE(H77:H79)</f>
        <v>11.243742970071784</v>
      </c>
      <c r="L79" s="23">
        <f>AVERAGE(I77:I79)</f>
        <v>0.80459454292583887</v>
      </c>
      <c r="M79" s="23">
        <f>AVERAGE(G71:G79)</f>
        <v>47.942596715899555</v>
      </c>
      <c r="N79" s="23">
        <f>AVERAGE(H71:H79)</f>
        <v>12.012804465897485</v>
      </c>
      <c r="O79" s="23">
        <f>AVERAGE(I71:I79)</f>
        <v>0.56537542599191548</v>
      </c>
    </row>
    <row r="80" spans="1:15" x14ac:dyDescent="0.45">
      <c r="A80" s="25" t="s">
        <v>130</v>
      </c>
      <c r="B80" s="22" t="s">
        <v>44</v>
      </c>
      <c r="C80" s="22" t="s">
        <v>45</v>
      </c>
      <c r="D80" s="22" t="s">
        <v>131</v>
      </c>
      <c r="E80" s="23">
        <v>9.2866532386435399</v>
      </c>
      <c r="F80" s="23">
        <v>-10.24613873054688</v>
      </c>
      <c r="G80" s="23">
        <v>42.763607365311692</v>
      </c>
      <c r="H80" s="23">
        <v>14.140185852316668</v>
      </c>
      <c r="I80" s="24">
        <v>0.18719274231108846</v>
      </c>
      <c r="O80" s="23"/>
    </row>
    <row r="81" spans="1:15" x14ac:dyDescent="0.45">
      <c r="A81" s="25" t="s">
        <v>132</v>
      </c>
      <c r="B81" s="22" t="s">
        <v>44</v>
      </c>
      <c r="C81" s="22" t="s">
        <v>45</v>
      </c>
      <c r="D81" s="22" t="s">
        <v>131</v>
      </c>
      <c r="E81" s="23">
        <v>9.5562085145450446</v>
      </c>
      <c r="F81" s="23">
        <v>-10.590919246521526</v>
      </c>
      <c r="G81" s="23">
        <v>43.236902063693826</v>
      </c>
      <c r="H81" s="23">
        <v>14.502993902883505</v>
      </c>
      <c r="I81" s="24">
        <v>0.13365646718905969</v>
      </c>
      <c r="O81" s="23"/>
    </row>
    <row r="82" spans="1:15" x14ac:dyDescent="0.45">
      <c r="A82" s="25" t="s">
        <v>133</v>
      </c>
      <c r="B82" s="22" t="s">
        <v>44</v>
      </c>
      <c r="C82" s="22" t="s">
        <v>45</v>
      </c>
      <c r="D82" s="22" t="s">
        <v>131</v>
      </c>
      <c r="E82" s="23">
        <v>9.3056020912476249</v>
      </c>
      <c r="F82" s="23">
        <v>-10.722473450750792</v>
      </c>
      <c r="G82" s="23">
        <v>43.843380081996493</v>
      </c>
      <c r="H82" s="23">
        <v>13.991430953890227</v>
      </c>
      <c r="I82" s="24">
        <v>0.19895759664930412</v>
      </c>
      <c r="J82" s="23">
        <f>AVERAGE(G80:G82)</f>
        <v>43.281296503667335</v>
      </c>
      <c r="K82" s="23">
        <f>AVERAGE(H80:H82)</f>
        <v>14.211536903030131</v>
      </c>
      <c r="L82" s="23">
        <f>AVERAGE(I80:I82)</f>
        <v>0.17326893538315077</v>
      </c>
      <c r="O82" s="23"/>
    </row>
    <row r="83" spans="1:15" x14ac:dyDescent="0.45">
      <c r="A83" s="25" t="s">
        <v>134</v>
      </c>
      <c r="B83" s="22" t="s">
        <v>49</v>
      </c>
      <c r="C83" s="22" t="s">
        <v>45</v>
      </c>
      <c r="D83" s="22" t="s">
        <v>131</v>
      </c>
      <c r="E83" s="23">
        <v>9.0670435073076519</v>
      </c>
      <c r="F83" s="23">
        <v>-8.419635500975339</v>
      </c>
      <c r="G83" s="23">
        <v>42.309987402231194</v>
      </c>
      <c r="H83" s="23">
        <v>15.289909836232528</v>
      </c>
      <c r="I83" s="24">
        <v>0.1460762992152603</v>
      </c>
      <c r="O83" s="23"/>
    </row>
    <row r="84" spans="1:15" x14ac:dyDescent="0.45">
      <c r="A84" s="25" t="s">
        <v>135</v>
      </c>
      <c r="B84" s="22" t="s">
        <v>49</v>
      </c>
      <c r="C84" s="22" t="s">
        <v>45</v>
      </c>
      <c r="D84" s="22" t="s">
        <v>131</v>
      </c>
      <c r="E84" s="23">
        <v>9.0835196874130659</v>
      </c>
      <c r="F84" s="23">
        <v>-8.7215292358288341</v>
      </c>
      <c r="G84" s="23">
        <v>41.752767095561666</v>
      </c>
      <c r="H84" s="23">
        <v>14.561808616414146</v>
      </c>
      <c r="I84" s="24">
        <v>0.16924559671676839</v>
      </c>
      <c r="O84" s="23"/>
    </row>
    <row r="85" spans="1:15" x14ac:dyDescent="0.45">
      <c r="A85" s="25" t="s">
        <v>136</v>
      </c>
      <c r="B85" s="22" t="s">
        <v>49</v>
      </c>
      <c r="C85" s="22" t="s">
        <v>45</v>
      </c>
      <c r="D85" s="22" t="s">
        <v>131</v>
      </c>
      <c r="E85" s="23">
        <v>9.2214922363609961</v>
      </c>
      <c r="F85" s="23">
        <v>-8.4317962710540701</v>
      </c>
      <c r="G85" s="23">
        <v>43.098530325609346</v>
      </c>
      <c r="H85" s="23">
        <v>15.349575155867599</v>
      </c>
      <c r="I85" s="24">
        <v>0.15852543327850993</v>
      </c>
      <c r="J85" s="23">
        <f>AVERAGE(G83:G85)</f>
        <v>42.387094941134073</v>
      </c>
      <c r="K85" s="23">
        <f>AVERAGE(H83:H85)</f>
        <v>15.067097869504757</v>
      </c>
      <c r="L85" s="23">
        <f>AVERAGE(I83:I85)</f>
        <v>0.1579491097368462</v>
      </c>
      <c r="O85" s="23"/>
    </row>
    <row r="86" spans="1:15" x14ac:dyDescent="0.45">
      <c r="A86" s="30" t="s">
        <v>137</v>
      </c>
      <c r="B86" s="26" t="s">
        <v>44</v>
      </c>
      <c r="C86" s="26" t="s">
        <v>53</v>
      </c>
      <c r="D86" s="28" t="s">
        <v>131</v>
      </c>
      <c r="E86" s="27">
        <v>8.6505106524045203</v>
      </c>
      <c r="F86" s="27">
        <v>-10.802577294436896</v>
      </c>
      <c r="G86" s="27">
        <v>43.171495540703901</v>
      </c>
      <c r="H86" s="27">
        <v>13.09315711803781</v>
      </c>
      <c r="I86" s="24">
        <v>0.25056528360642638</v>
      </c>
      <c r="J86" s="27"/>
      <c r="K86" s="27"/>
      <c r="L86" s="27"/>
      <c r="M86" s="27"/>
      <c r="N86" s="27"/>
      <c r="O86" s="27"/>
    </row>
    <row r="87" spans="1:15" x14ac:dyDescent="0.45">
      <c r="A87" s="29" t="s">
        <v>138</v>
      </c>
      <c r="B87" s="26" t="s">
        <v>44</v>
      </c>
      <c r="C87" s="26" t="s">
        <v>53</v>
      </c>
      <c r="D87" s="26" t="s">
        <v>131</v>
      </c>
      <c r="E87" s="27">
        <v>9.0225284982341574</v>
      </c>
      <c r="F87" s="27">
        <v>-9.625382862104221</v>
      </c>
      <c r="G87" s="27">
        <v>43.018216832913907</v>
      </c>
      <c r="H87" s="27">
        <v>14.834124398494</v>
      </c>
      <c r="I87" s="24">
        <v>0.12278366213258914</v>
      </c>
      <c r="J87" s="27"/>
      <c r="K87" s="27"/>
      <c r="L87" s="27"/>
      <c r="M87" s="27"/>
      <c r="N87" s="27"/>
      <c r="O87" s="27"/>
    </row>
    <row r="88" spans="1:15" x14ac:dyDescent="0.45">
      <c r="A88" s="29" t="s">
        <v>139</v>
      </c>
      <c r="B88" s="26" t="s">
        <v>44</v>
      </c>
      <c r="C88" s="26" t="s">
        <v>53</v>
      </c>
      <c r="D88" s="26" t="s">
        <v>131</v>
      </c>
      <c r="E88" s="27">
        <v>8.992527059054348</v>
      </c>
      <c r="F88" s="27">
        <v>-9.9575162351609805</v>
      </c>
      <c r="G88" s="27">
        <v>44.340505225275528</v>
      </c>
      <c r="H88" s="27">
        <v>14.894411757359668</v>
      </c>
      <c r="I88" s="24">
        <v>0.13191508997810453</v>
      </c>
      <c r="J88" s="23">
        <f>AVERAGE(G86:G88)</f>
        <v>43.510072532964443</v>
      </c>
      <c r="K88" s="23">
        <f>AVERAGE(H86:H88)</f>
        <v>14.273897757963825</v>
      </c>
      <c r="L88" s="23">
        <f>AVERAGE(I86:I88)</f>
        <v>0.16842134523904004</v>
      </c>
      <c r="M88" s="23">
        <f>AVERAGE(G80:G88)</f>
        <v>43.059487992588622</v>
      </c>
      <c r="N88" s="23">
        <f>AVERAGE(H80:H88)</f>
        <v>14.517510843499572</v>
      </c>
      <c r="O88" s="23">
        <f>AVERAGE(I80:I88)</f>
        <v>0.16654646345301233</v>
      </c>
    </row>
    <row r="89" spans="1:15" x14ac:dyDescent="0.45">
      <c r="A89" s="25" t="s">
        <v>140</v>
      </c>
      <c r="B89" s="22" t="s">
        <v>44</v>
      </c>
      <c r="C89" s="22" t="s">
        <v>45</v>
      </c>
      <c r="D89" s="22" t="s">
        <v>141</v>
      </c>
      <c r="E89" s="23">
        <v>8.240310445306374</v>
      </c>
      <c r="F89" s="23">
        <v>-10.50935665443447</v>
      </c>
      <c r="G89" s="23">
        <v>45.134167352062576</v>
      </c>
      <c r="H89" s="23">
        <v>13.266859057505757</v>
      </c>
      <c r="I89" s="24">
        <v>0.40291961831773337</v>
      </c>
      <c r="O89" s="23"/>
    </row>
    <row r="90" spans="1:15" x14ac:dyDescent="0.45">
      <c r="A90" s="25" t="s">
        <v>142</v>
      </c>
      <c r="B90" s="22" t="s">
        <v>44</v>
      </c>
      <c r="C90" s="22" t="s">
        <v>45</v>
      </c>
      <c r="D90" s="22" t="s">
        <v>141</v>
      </c>
      <c r="E90" s="23">
        <v>8.2710719553951275</v>
      </c>
      <c r="F90" s="23">
        <v>-10.459953533903258</v>
      </c>
      <c r="G90" s="23">
        <v>45.531814013764283</v>
      </c>
      <c r="H90" s="23">
        <v>13.37507565380297</v>
      </c>
      <c r="I90" s="24">
        <v>0.40941760702640073</v>
      </c>
      <c r="O90" s="23"/>
    </row>
    <row r="91" spans="1:15" x14ac:dyDescent="0.45">
      <c r="A91" s="25" t="s">
        <v>143</v>
      </c>
      <c r="B91" s="22" t="s">
        <v>44</v>
      </c>
      <c r="C91" s="22" t="s">
        <v>45</v>
      </c>
      <c r="D91" s="22" t="s">
        <v>141</v>
      </c>
      <c r="E91" s="23">
        <v>8.7612123454441697</v>
      </c>
      <c r="F91" s="23">
        <v>-12.414831231199171</v>
      </c>
      <c r="G91" s="23">
        <v>50.608839068384775</v>
      </c>
      <c r="H91" s="23">
        <v>10.784339595690582</v>
      </c>
      <c r="I91" s="24">
        <v>0.38779819543411131</v>
      </c>
      <c r="J91" s="23">
        <f>AVERAGE(G89:G91)</f>
        <v>47.091606811403885</v>
      </c>
      <c r="K91" s="23">
        <f>AVERAGE(H89:H91)</f>
        <v>12.475424768999771</v>
      </c>
      <c r="L91" s="23">
        <f>AVERAGE(I89:I91)</f>
        <v>0.40004514025941518</v>
      </c>
      <c r="O91" s="23"/>
    </row>
    <row r="92" spans="1:15" x14ac:dyDescent="0.45">
      <c r="A92" s="25" t="s">
        <v>144</v>
      </c>
      <c r="B92" s="22" t="s">
        <v>49</v>
      </c>
      <c r="C92" s="22" t="s">
        <v>45</v>
      </c>
      <c r="D92" s="22" t="s">
        <v>141</v>
      </c>
      <c r="E92" s="23">
        <v>8.5050574850257714</v>
      </c>
      <c r="F92" s="23">
        <v>-9.8403093854752033</v>
      </c>
      <c r="G92" s="23">
        <v>43.971747326642095</v>
      </c>
      <c r="H92" s="23">
        <v>13.480106472900086</v>
      </c>
      <c r="I92" s="24">
        <v>0.50321565602125196</v>
      </c>
      <c r="O92" s="23"/>
    </row>
    <row r="93" spans="1:15" x14ac:dyDescent="0.45">
      <c r="A93" s="25" t="s">
        <v>145</v>
      </c>
      <c r="B93" s="22" t="s">
        <v>49</v>
      </c>
      <c r="C93" s="22" t="s">
        <v>45</v>
      </c>
      <c r="D93" s="22" t="s">
        <v>141</v>
      </c>
      <c r="E93" s="23">
        <v>8.252746005326232</v>
      </c>
      <c r="F93" s="23">
        <v>-10.177917409657152</v>
      </c>
      <c r="G93" s="23">
        <v>44.55281894076586</v>
      </c>
      <c r="H93" s="23">
        <v>13.227431653395145</v>
      </c>
      <c r="I93" s="24">
        <v>0.55795411608995837</v>
      </c>
      <c r="O93" s="23"/>
    </row>
    <row r="94" spans="1:15" x14ac:dyDescent="0.45">
      <c r="A94" s="25" t="s">
        <v>146</v>
      </c>
      <c r="B94" s="22" t="s">
        <v>49</v>
      </c>
      <c r="C94" s="22" t="s">
        <v>45</v>
      </c>
      <c r="D94" s="22" t="s">
        <v>141</v>
      </c>
      <c r="E94" s="23">
        <v>8.4838202770290021</v>
      </c>
      <c r="F94" s="23">
        <v>-10.717948921110455</v>
      </c>
      <c r="G94" s="23">
        <v>45.687949885757781</v>
      </c>
      <c r="H94" s="23">
        <v>12.541800048035752</v>
      </c>
      <c r="I94" s="24">
        <v>0.46801075939042686</v>
      </c>
      <c r="J94" s="23">
        <f>AVERAGE(G92:G94)</f>
        <v>44.737505384388577</v>
      </c>
      <c r="K94" s="23">
        <f>AVERAGE(H92:H94)</f>
        <v>13.083112724776996</v>
      </c>
      <c r="L94" s="23">
        <f>AVERAGE(I92:I94)</f>
        <v>0.50972684383387901</v>
      </c>
      <c r="O94" s="23"/>
    </row>
    <row r="95" spans="1:15" x14ac:dyDescent="0.45">
      <c r="A95" s="29" t="s">
        <v>147</v>
      </c>
      <c r="B95" s="26" t="s">
        <v>44</v>
      </c>
      <c r="C95" s="26" t="s">
        <v>53</v>
      </c>
      <c r="D95" s="26" t="s">
        <v>141</v>
      </c>
      <c r="E95" s="27">
        <v>7.6854643587873142</v>
      </c>
      <c r="F95" s="27">
        <v>-10.851330817087428</v>
      </c>
      <c r="G95" s="27">
        <v>46.005169458941886</v>
      </c>
      <c r="H95" s="27">
        <v>13.511050460157657</v>
      </c>
      <c r="I95" s="24">
        <v>0.44311558972474713</v>
      </c>
      <c r="J95" s="27"/>
      <c r="K95" s="27"/>
      <c r="L95" s="27"/>
      <c r="M95" s="27"/>
      <c r="N95" s="27"/>
      <c r="O95" s="27"/>
    </row>
    <row r="96" spans="1:15" x14ac:dyDescent="0.45">
      <c r="A96" s="29" t="s">
        <v>148</v>
      </c>
      <c r="B96" s="26" t="s">
        <v>44</v>
      </c>
      <c r="C96" s="26" t="s">
        <v>53</v>
      </c>
      <c r="D96" s="26" t="s">
        <v>141</v>
      </c>
      <c r="E96" s="27">
        <v>7.4364524135948971</v>
      </c>
      <c r="F96" s="27">
        <v>-13.175248730096193</v>
      </c>
      <c r="G96" s="27">
        <v>51.115010021724309</v>
      </c>
      <c r="H96" s="27">
        <v>9.5532219223369559</v>
      </c>
      <c r="I96" s="24">
        <v>0.4884491995904704</v>
      </c>
      <c r="J96" s="27"/>
      <c r="K96" s="27"/>
      <c r="L96" s="27"/>
      <c r="M96" s="27"/>
      <c r="N96" s="27"/>
      <c r="O96" s="27"/>
    </row>
    <row r="97" spans="1:15" x14ac:dyDescent="0.45">
      <c r="A97" s="29" t="s">
        <v>149</v>
      </c>
      <c r="B97" s="26" t="s">
        <v>44</v>
      </c>
      <c r="C97" s="26" t="s">
        <v>53</v>
      </c>
      <c r="D97" s="26" t="s">
        <v>141</v>
      </c>
      <c r="E97" s="27">
        <v>8.0384812931364067</v>
      </c>
      <c r="F97" s="27">
        <v>-11.769522160339143</v>
      </c>
      <c r="G97" s="27">
        <v>45.149688876801321</v>
      </c>
      <c r="H97" s="27">
        <v>10.33195058738964</v>
      </c>
      <c r="I97" s="24">
        <v>0.59983346531876414</v>
      </c>
      <c r="J97" s="23">
        <f>AVERAGE(G95:G97)</f>
        <v>47.423289452489172</v>
      </c>
      <c r="K97" s="23">
        <f>AVERAGE(H95:H97)</f>
        <v>11.132074323294752</v>
      </c>
      <c r="L97" s="23">
        <f>AVERAGE(I95:I97)</f>
        <v>0.51046608487799394</v>
      </c>
      <c r="M97" s="23">
        <f>AVERAGE(G89:G97)</f>
        <v>46.417467216093883</v>
      </c>
      <c r="N97" s="23">
        <f>AVERAGE(H89:H97)</f>
        <v>12.23020393902384</v>
      </c>
      <c r="O97" s="23">
        <f>AVERAGE(I89:I97)</f>
        <v>0.47341268965709599</v>
      </c>
    </row>
    <row r="98" spans="1:15" x14ac:dyDescent="0.45">
      <c r="A98" s="31" t="s">
        <v>150</v>
      </c>
      <c r="B98" s="22" t="s">
        <v>44</v>
      </c>
      <c r="C98" s="22" t="s">
        <v>45</v>
      </c>
      <c r="D98" s="22" t="s">
        <v>151</v>
      </c>
      <c r="E98" s="9">
        <v>5.0420695269614146</v>
      </c>
      <c r="F98" s="9">
        <v>-13.567507635121363</v>
      </c>
      <c r="G98" s="9">
        <v>42.252788367652329</v>
      </c>
      <c r="H98" s="9">
        <v>2.1210927720838391</v>
      </c>
      <c r="I98" s="24">
        <v>0.49319176594262276</v>
      </c>
      <c r="J98" s="9"/>
      <c r="K98" s="9"/>
      <c r="L98" s="9"/>
      <c r="M98" s="9"/>
      <c r="N98" s="9"/>
      <c r="O98" s="9"/>
    </row>
    <row r="99" spans="1:15" x14ac:dyDescent="0.45">
      <c r="A99" s="31" t="s">
        <v>152</v>
      </c>
      <c r="B99" s="22" t="s">
        <v>44</v>
      </c>
      <c r="C99" s="22" t="s">
        <v>45</v>
      </c>
      <c r="D99" s="22" t="s">
        <v>151</v>
      </c>
      <c r="E99" s="9">
        <v>5.0449563386004801</v>
      </c>
      <c r="F99" s="9">
        <v>-13.666344868486769</v>
      </c>
      <c r="G99" s="9">
        <v>42.152046687520205</v>
      </c>
      <c r="H99" s="9">
        <v>2.4496325371262491</v>
      </c>
      <c r="I99" s="24">
        <v>0.49626359796137215</v>
      </c>
      <c r="J99" s="9"/>
      <c r="K99" s="9"/>
      <c r="L99" s="9"/>
      <c r="M99" s="9"/>
      <c r="N99" s="9"/>
      <c r="O99" s="9"/>
    </row>
    <row r="100" spans="1:15" x14ac:dyDescent="0.45">
      <c r="A100" s="31" t="s">
        <v>153</v>
      </c>
      <c r="B100" s="22" t="s">
        <v>44</v>
      </c>
      <c r="C100" s="22" t="s">
        <v>45</v>
      </c>
      <c r="D100" s="22" t="s">
        <v>151</v>
      </c>
      <c r="E100" s="9">
        <v>5.023567615374696</v>
      </c>
      <c r="F100" s="9">
        <v>-13.46641522497217</v>
      </c>
      <c r="G100" s="9">
        <v>42.361444310711931</v>
      </c>
      <c r="H100" s="9">
        <v>1.755651066326436</v>
      </c>
      <c r="I100" s="24">
        <v>0.50575249285155099</v>
      </c>
      <c r="J100" s="23">
        <f>AVERAGE(G98:G100)</f>
        <v>42.255426455294817</v>
      </c>
      <c r="K100" s="23">
        <f>AVERAGE(H98:H100)</f>
        <v>2.1087921251788413</v>
      </c>
      <c r="L100" s="23">
        <f>AVERAGE(I98:I100)</f>
        <v>0.49840261891851528</v>
      </c>
      <c r="O100" s="23"/>
    </row>
    <row r="101" spans="1:15" x14ac:dyDescent="0.45">
      <c r="A101" s="31" t="s">
        <v>154</v>
      </c>
      <c r="B101" s="22" t="s">
        <v>49</v>
      </c>
      <c r="C101" s="22" t="s">
        <v>45</v>
      </c>
      <c r="D101" s="22" t="s">
        <v>151</v>
      </c>
      <c r="E101" s="9">
        <v>4.7267852115648035</v>
      </c>
      <c r="F101" s="9">
        <v>-14.326814788144171</v>
      </c>
      <c r="G101" s="9">
        <v>42.109238264329214</v>
      </c>
      <c r="H101" s="9">
        <v>1.977587904017897</v>
      </c>
      <c r="I101" s="24">
        <v>0.62898968424663559</v>
      </c>
      <c r="J101" s="9"/>
      <c r="K101" s="9"/>
      <c r="L101" s="9"/>
      <c r="M101" s="9"/>
      <c r="N101" s="9"/>
      <c r="O101" s="9"/>
    </row>
    <row r="102" spans="1:15" x14ac:dyDescent="0.45">
      <c r="A102" s="31" t="s">
        <v>155</v>
      </c>
      <c r="B102" s="22" t="s">
        <v>49</v>
      </c>
      <c r="C102" s="22" t="s">
        <v>45</v>
      </c>
      <c r="D102" s="22" t="s">
        <v>151</v>
      </c>
      <c r="E102" s="9">
        <v>4.4797530383184609</v>
      </c>
      <c r="F102" s="9">
        <v>-14.353974576223919</v>
      </c>
      <c r="G102" s="9">
        <v>42.450724666818623</v>
      </c>
      <c r="H102" s="9">
        <v>1.8092243224691633</v>
      </c>
      <c r="I102" s="24">
        <v>0.57869273504586383</v>
      </c>
      <c r="J102" s="9"/>
      <c r="K102" s="9"/>
      <c r="L102" s="9"/>
      <c r="M102" s="9"/>
      <c r="N102" s="9"/>
      <c r="O102" s="9"/>
    </row>
    <row r="103" spans="1:15" x14ac:dyDescent="0.45">
      <c r="A103" s="31" t="s">
        <v>156</v>
      </c>
      <c r="B103" s="22" t="s">
        <v>49</v>
      </c>
      <c r="C103" s="22" t="s">
        <v>45</v>
      </c>
      <c r="D103" s="22" t="s">
        <v>151</v>
      </c>
      <c r="E103" s="9">
        <v>4.6684949569304957</v>
      </c>
      <c r="F103" s="9">
        <v>-14.297746326582585</v>
      </c>
      <c r="G103" s="9">
        <v>41.887509006220924</v>
      </c>
      <c r="H103" s="9">
        <v>2.4396566787223271</v>
      </c>
      <c r="I103" s="24">
        <v>0.67227712073506718</v>
      </c>
      <c r="J103" s="23">
        <f>AVERAGE(G101:G103)</f>
        <v>42.149157312456254</v>
      </c>
      <c r="K103" s="23">
        <f>AVERAGE(H101:H103)</f>
        <v>2.0754896350697956</v>
      </c>
      <c r="L103" s="23">
        <f>AVERAGE(I101:I103)</f>
        <v>0.6266531800091889</v>
      </c>
      <c r="O103" s="23"/>
    </row>
    <row r="104" spans="1:15" x14ac:dyDescent="0.45">
      <c r="A104" s="29" t="s">
        <v>157</v>
      </c>
      <c r="B104" s="26" t="s">
        <v>44</v>
      </c>
      <c r="C104" s="26" t="s">
        <v>53</v>
      </c>
      <c r="D104" s="26" t="s">
        <v>151</v>
      </c>
      <c r="E104" s="27">
        <v>5.0163363197569311</v>
      </c>
      <c r="F104" s="27">
        <v>-13.252441807626205</v>
      </c>
      <c r="G104" s="27">
        <v>41.170457975585713</v>
      </c>
      <c r="H104" s="27">
        <v>1.9906191356382572</v>
      </c>
      <c r="I104" s="24">
        <v>0.5274306986395626</v>
      </c>
      <c r="J104" s="27"/>
      <c r="K104" s="27"/>
      <c r="L104" s="27"/>
      <c r="M104" s="27"/>
      <c r="N104" s="27"/>
      <c r="O104" s="27"/>
    </row>
    <row r="105" spans="1:15" x14ac:dyDescent="0.45">
      <c r="A105" s="29" t="s">
        <v>158</v>
      </c>
      <c r="B105" s="26" t="s">
        <v>44</v>
      </c>
      <c r="C105" s="26" t="s">
        <v>53</v>
      </c>
      <c r="D105" s="26" t="s">
        <v>151</v>
      </c>
      <c r="E105" s="27">
        <v>5.8873781039440667</v>
      </c>
      <c r="F105" s="27">
        <v>-13.744039827685752</v>
      </c>
      <c r="G105" s="27">
        <v>38.230223808141183</v>
      </c>
      <c r="H105" s="27">
        <v>1.7646849188293319</v>
      </c>
      <c r="I105" s="24">
        <v>0.56033219641783716</v>
      </c>
      <c r="J105" s="27"/>
      <c r="K105" s="27"/>
      <c r="L105" s="27"/>
      <c r="M105" s="27"/>
      <c r="N105" s="27"/>
      <c r="O105" s="27"/>
    </row>
    <row r="106" spans="1:15" x14ac:dyDescent="0.45">
      <c r="A106" s="29" t="s">
        <v>159</v>
      </c>
      <c r="B106" s="26" t="s">
        <v>44</v>
      </c>
      <c r="C106" s="26" t="s">
        <v>53</v>
      </c>
      <c r="D106" s="26" t="s">
        <v>151</v>
      </c>
      <c r="E106" s="27">
        <v>5.410355220985096</v>
      </c>
      <c r="F106" s="27">
        <v>-13.27986566411713</v>
      </c>
      <c r="G106" s="27">
        <v>40.860730230374543</v>
      </c>
      <c r="H106" s="27">
        <v>1.6565042503374796</v>
      </c>
      <c r="I106" s="24">
        <v>0.5059683366379768</v>
      </c>
      <c r="J106" s="23">
        <f>AVERAGE(G104:G106)</f>
        <v>40.087137338033813</v>
      </c>
      <c r="K106" s="23">
        <f>AVERAGE(H104:H106)</f>
        <v>1.8039361016016897</v>
      </c>
      <c r="L106" s="23">
        <f>AVERAGE(I104:I106)</f>
        <v>0.53124374389845885</v>
      </c>
      <c r="M106" s="23">
        <f>AVERAGE(G98:G106)</f>
        <v>41.497240368594959</v>
      </c>
      <c r="N106" s="23">
        <f>AVERAGE(H98:H106)</f>
        <v>1.9960726206167756</v>
      </c>
      <c r="O106" s="23">
        <f>AVERAGE(I98:I106)</f>
        <v>0.55209984760872088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41"/>
  <sheetViews>
    <sheetView tabSelected="1" zoomScale="80" zoomScaleNormal="80" workbookViewId="0">
      <pane xSplit="2" topLeftCell="AB1" activePane="topRight" state="frozen"/>
      <selection pane="topRight" activeCell="AP17" sqref="AP17"/>
    </sheetView>
  </sheetViews>
  <sheetFormatPr defaultRowHeight="14.25" x14ac:dyDescent="0.45"/>
  <cols>
    <col min="1" max="1" width="11.73046875" style="7" bestFit="1" customWidth="1"/>
    <col min="2" max="2" width="25" bestFit="1" customWidth="1"/>
    <col min="3" max="3" width="16.265625" bestFit="1" customWidth="1"/>
    <col min="4" max="4" width="7.86328125" style="9" bestFit="1" customWidth="1"/>
    <col min="5" max="5" width="7.3984375" style="9" bestFit="1" customWidth="1"/>
    <col min="6" max="6" width="11.73046875" style="7" bestFit="1" customWidth="1"/>
    <col min="7" max="7" width="7.86328125" style="7" bestFit="1" customWidth="1"/>
    <col min="8" max="8" width="13" style="7" bestFit="1" customWidth="1"/>
    <col min="9" max="9" width="6" style="7" bestFit="1" customWidth="1"/>
    <col min="10" max="10" width="6" style="7" customWidth="1"/>
    <col min="11" max="11" width="6" style="7" bestFit="1" customWidth="1"/>
    <col min="12" max="12" width="6" style="7" customWidth="1"/>
    <col min="13" max="13" width="6" style="7" bestFit="1" customWidth="1"/>
    <col min="14" max="14" width="6" style="7" customWidth="1"/>
    <col min="15" max="15" width="22.73046875" bestFit="1" customWidth="1"/>
    <col min="16" max="16" width="13" bestFit="1" customWidth="1"/>
    <col min="17" max="17" width="7.86328125" style="9" bestFit="1" customWidth="1"/>
    <col min="18" max="18" width="17.73046875" bestFit="1" customWidth="1"/>
    <col min="19" max="19" width="7.3984375" bestFit="1" customWidth="1"/>
    <col min="20" max="20" width="11.73046875" bestFit="1" customWidth="1"/>
    <col min="21" max="21" width="7.86328125" bestFit="1" customWidth="1"/>
    <col min="22" max="22" width="13" bestFit="1" customWidth="1"/>
    <col min="23" max="23" width="6" bestFit="1" customWidth="1"/>
    <col min="24" max="24" width="6" customWidth="1"/>
    <col min="25" max="25" width="6" bestFit="1" customWidth="1"/>
    <col min="26" max="26" width="6" customWidth="1"/>
    <col min="27" max="27" width="5" bestFit="1" customWidth="1"/>
    <col min="28" max="28" width="5" customWidth="1"/>
    <col min="29" max="29" width="51.73046875" bestFit="1" customWidth="1"/>
    <col min="30" max="30" width="11.73046875" bestFit="1" customWidth="1"/>
    <col min="31" max="31" width="7.86328125" bestFit="1" customWidth="1"/>
    <col min="32" max="32" width="7.3984375" bestFit="1" customWidth="1"/>
    <col min="33" max="33" width="11.73046875" bestFit="1" customWidth="1"/>
    <col min="34" max="34" width="7.86328125" bestFit="1" customWidth="1"/>
    <col min="35" max="35" width="13" bestFit="1" customWidth="1"/>
    <col min="36" max="36" width="6" bestFit="1" customWidth="1"/>
    <col min="37" max="37" width="6" customWidth="1"/>
    <col min="38" max="38" width="6" bestFit="1" customWidth="1"/>
    <col min="39" max="39" width="6" customWidth="1"/>
    <col min="40" max="40" width="5" bestFit="1" customWidth="1"/>
    <col min="41" max="41" width="5" customWidth="1"/>
    <col min="42" max="42" width="16.265625" bestFit="1" customWidth="1"/>
    <col min="43" max="43" width="8" style="9" bestFit="1" customWidth="1"/>
    <col min="44" max="44" width="11.59765625" style="9" bestFit="1" customWidth="1"/>
    <col min="45" max="45" width="15.73046875" style="9" bestFit="1" customWidth="1"/>
    <col min="46" max="46" width="7.3984375" style="9" bestFit="1" customWidth="1"/>
    <col min="47" max="47" width="14.86328125" style="9" bestFit="1" customWidth="1"/>
    <col min="48" max="48" width="14.86328125" style="9" customWidth="1"/>
    <col min="49" max="49" width="10.265625" style="7" bestFit="1" customWidth="1"/>
    <col min="50" max="50" width="11.59765625" style="7" bestFit="1" customWidth="1"/>
    <col min="51" max="51" width="11.59765625" style="7" customWidth="1"/>
    <col min="52" max="52" width="10.265625" style="7" customWidth="1"/>
    <col min="53" max="53" width="8.73046875" style="7" bestFit="1" customWidth="1"/>
    <col min="54" max="54" width="12" style="7" bestFit="1" customWidth="1"/>
    <col min="55" max="55" width="12" style="7" customWidth="1"/>
    <col min="56" max="56" width="10.265625" style="7" customWidth="1"/>
    <col min="57" max="57" width="8.3984375" style="7" bestFit="1" customWidth="1"/>
    <col min="58" max="58" width="11.59765625" style="7" bestFit="1" customWidth="1"/>
    <col min="60" max="60" width="10.265625" style="7" customWidth="1"/>
  </cols>
  <sheetData>
    <row r="1" spans="1:60" s="2" customFormat="1" x14ac:dyDescent="0.45">
      <c r="A1" s="1" t="s">
        <v>0</v>
      </c>
      <c r="B1" s="2" t="s">
        <v>1</v>
      </c>
      <c r="C1" s="3" t="s">
        <v>2</v>
      </c>
      <c r="D1" s="4"/>
      <c r="E1" s="4"/>
      <c r="F1" s="5" t="s">
        <v>3</v>
      </c>
      <c r="G1" s="5"/>
      <c r="H1" s="5"/>
      <c r="I1" s="5"/>
      <c r="J1" s="5"/>
      <c r="K1" s="5"/>
      <c r="L1" s="5"/>
      <c r="M1" s="5"/>
      <c r="N1" s="5"/>
      <c r="O1" s="2" t="s">
        <v>4</v>
      </c>
      <c r="P1" s="3" t="s">
        <v>2</v>
      </c>
      <c r="Q1" s="4"/>
      <c r="R1" s="4"/>
      <c r="S1" s="4"/>
      <c r="T1" s="6" t="s">
        <v>3</v>
      </c>
      <c r="U1" s="6"/>
      <c r="V1" s="6"/>
      <c r="W1" s="6"/>
      <c r="X1" s="6"/>
      <c r="Y1" s="6"/>
      <c r="Z1" s="6"/>
      <c r="AA1" s="6"/>
      <c r="AB1" s="6"/>
      <c r="AC1" s="2" t="s">
        <v>5</v>
      </c>
      <c r="AD1" s="3" t="s">
        <v>2</v>
      </c>
      <c r="AE1" s="4"/>
      <c r="AF1" s="4"/>
      <c r="AG1" s="6" t="s">
        <v>3</v>
      </c>
      <c r="AH1" s="6"/>
      <c r="AI1" s="6"/>
      <c r="AJ1" s="6"/>
      <c r="AK1" s="6"/>
      <c r="AL1" s="6"/>
      <c r="AM1" s="6"/>
      <c r="AN1" s="6"/>
      <c r="AO1" s="6"/>
      <c r="AP1" s="3" t="s">
        <v>167</v>
      </c>
      <c r="AQ1" s="4" t="s">
        <v>6</v>
      </c>
      <c r="AR1" s="6" t="s">
        <v>219</v>
      </c>
      <c r="AS1" s="6" t="s">
        <v>7</v>
      </c>
      <c r="AT1" s="6" t="s">
        <v>8</v>
      </c>
      <c r="AU1" s="6" t="s">
        <v>189</v>
      </c>
      <c r="AV1" s="6" t="s">
        <v>221</v>
      </c>
      <c r="AW1" s="5" t="s">
        <v>168</v>
      </c>
      <c r="AX1" s="5" t="s">
        <v>184</v>
      </c>
      <c r="AY1" s="5" t="s">
        <v>192</v>
      </c>
      <c r="AZ1" s="5" t="s">
        <v>220</v>
      </c>
      <c r="BA1" s="5" t="s">
        <v>169</v>
      </c>
      <c r="BB1" s="5" t="s">
        <v>185</v>
      </c>
      <c r="BC1" s="5" t="s">
        <v>193</v>
      </c>
      <c r="BD1" s="5" t="s">
        <v>222</v>
      </c>
      <c r="BE1" s="5" t="s">
        <v>170</v>
      </c>
      <c r="BF1" s="5" t="s">
        <v>186</v>
      </c>
      <c r="BG1" s="46" t="s">
        <v>194</v>
      </c>
      <c r="BH1" s="5" t="s">
        <v>223</v>
      </c>
    </row>
    <row r="2" spans="1:60" s="34" customFormat="1" x14ac:dyDescent="0.45">
      <c r="A2" s="18"/>
      <c r="B2" s="35" t="s">
        <v>9</v>
      </c>
      <c r="C2" s="35" t="s">
        <v>10</v>
      </c>
      <c r="D2" s="36" t="s">
        <v>11</v>
      </c>
      <c r="E2" s="36" t="s">
        <v>12</v>
      </c>
      <c r="F2" s="37" t="s">
        <v>13</v>
      </c>
      <c r="G2" s="37" t="s">
        <v>11</v>
      </c>
      <c r="H2" s="37" t="s">
        <v>191</v>
      </c>
      <c r="I2" s="37" t="s">
        <v>181</v>
      </c>
      <c r="J2" s="37"/>
      <c r="K2" s="37" t="s">
        <v>182</v>
      </c>
      <c r="L2" s="37"/>
      <c r="M2" s="37" t="s">
        <v>183</v>
      </c>
      <c r="N2" s="37"/>
      <c r="O2" s="35" t="s">
        <v>9</v>
      </c>
      <c r="P2" s="35" t="s">
        <v>14</v>
      </c>
      <c r="Q2" s="36" t="s">
        <v>11</v>
      </c>
      <c r="S2" s="36" t="s">
        <v>12</v>
      </c>
      <c r="T2" s="37" t="s">
        <v>13</v>
      </c>
      <c r="U2" s="37" t="s">
        <v>11</v>
      </c>
      <c r="V2" s="37" t="s">
        <v>191</v>
      </c>
      <c r="W2" s="37" t="s">
        <v>181</v>
      </c>
      <c r="X2" s="37"/>
      <c r="Y2" s="37" t="s">
        <v>182</v>
      </c>
      <c r="Z2" s="37"/>
      <c r="AA2" s="37" t="s">
        <v>183</v>
      </c>
      <c r="AB2" s="37"/>
      <c r="AC2" s="35" t="s">
        <v>9</v>
      </c>
      <c r="AD2" s="35" t="s">
        <v>14</v>
      </c>
      <c r="AE2" s="35" t="s">
        <v>11</v>
      </c>
      <c r="AF2" s="36" t="s">
        <v>12</v>
      </c>
      <c r="AG2" s="37" t="s">
        <v>13</v>
      </c>
      <c r="AH2" s="37" t="s">
        <v>11</v>
      </c>
      <c r="AI2" s="37" t="s">
        <v>191</v>
      </c>
      <c r="AJ2" s="37" t="s">
        <v>181</v>
      </c>
      <c r="AK2" s="37"/>
      <c r="AL2" s="37" t="s">
        <v>182</v>
      </c>
      <c r="AM2" s="37"/>
      <c r="AN2" s="37" t="s">
        <v>183</v>
      </c>
      <c r="AO2" s="37"/>
      <c r="AQ2" s="17"/>
      <c r="AR2" s="17"/>
      <c r="AS2" s="17"/>
      <c r="AT2" s="17"/>
      <c r="AU2" s="17"/>
      <c r="AV2" s="17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</row>
    <row r="3" spans="1:60" s="38" customFormat="1" x14ac:dyDescent="0.45">
      <c r="A3" s="15"/>
      <c r="B3" s="38" t="s">
        <v>15</v>
      </c>
      <c r="C3" s="38">
        <f>SUM(C5:C9,C12,C14)</f>
        <v>9.7000000000000011</v>
      </c>
      <c r="D3" s="14">
        <f>C3/C$19*100</f>
        <v>11.743341404358356</v>
      </c>
      <c r="E3" s="14"/>
      <c r="F3" s="15">
        <f>SUM(F5:F10,F12,F14)</f>
        <v>1.670431630591493</v>
      </c>
      <c r="G3" s="15">
        <f>F3/F$19*100</f>
        <v>6.3227782325494797</v>
      </c>
      <c r="H3" s="15"/>
      <c r="I3" s="15"/>
      <c r="J3" s="15"/>
      <c r="K3" s="15"/>
      <c r="L3" s="15"/>
      <c r="M3" s="15"/>
      <c r="N3" s="15"/>
      <c r="O3" s="38" t="s">
        <v>15</v>
      </c>
      <c r="P3" s="38">
        <f>SUM(P5:P10,P12,P14)</f>
        <v>17.255749999999999</v>
      </c>
      <c r="Q3" s="14">
        <f>P3/P$19*100</f>
        <v>11.538005058314374</v>
      </c>
      <c r="S3" s="14"/>
      <c r="T3" s="15">
        <f>SUM(T5:T10,T12,T14)</f>
        <v>1.9477182521486802</v>
      </c>
      <c r="U3" s="15">
        <f>T3/T$19*100</f>
        <v>6.1641441346166435</v>
      </c>
      <c r="V3" s="15"/>
      <c r="W3" s="15"/>
      <c r="X3" s="15"/>
      <c r="Y3" s="15"/>
      <c r="Z3" s="15"/>
      <c r="AA3" s="15"/>
      <c r="AB3" s="15"/>
      <c r="AC3" s="38" t="s">
        <v>15</v>
      </c>
      <c r="AD3" s="38">
        <f>SUM(AD5:AD10,AD12,AD14)</f>
        <v>20.599999999999998</v>
      </c>
      <c r="AE3" s="14">
        <f>AD3/AD$19*100</f>
        <v>15.993788819875776</v>
      </c>
      <c r="AF3" s="14"/>
      <c r="AG3" s="15">
        <f>SUM(AG5:AG10,AG12,AG14)</f>
        <v>3.4672180039262721</v>
      </c>
      <c r="AH3" s="15">
        <f>AG3/AG$19*100</f>
        <v>9.1838871775371693</v>
      </c>
      <c r="AI3" s="15"/>
      <c r="AJ3" s="15"/>
      <c r="AK3" s="15"/>
      <c r="AL3" s="15"/>
      <c r="AM3" s="15"/>
      <c r="AN3" s="15"/>
      <c r="AO3" s="15"/>
      <c r="AP3" s="17">
        <f>AVERAGE(D3,Q3,AE3)</f>
        <v>13.091711760849501</v>
      </c>
      <c r="AQ3" s="17">
        <f>STDEV(D3,Q3,AE3)</f>
        <v>2.515368600453352</v>
      </c>
      <c r="AR3" s="17">
        <f>AVERAGE(F3,T3,AG3)</f>
        <v>2.3617892955554818</v>
      </c>
      <c r="AS3" s="17">
        <f>AVERAGE(G3,U3,AH3)</f>
        <v>7.2236031815677642</v>
      </c>
      <c r="AT3" s="17">
        <f>STDEV(G3,U3,AH3)</f>
        <v>1.699507635433587</v>
      </c>
      <c r="AU3" s="17"/>
      <c r="AV3" s="17"/>
      <c r="AW3" s="17">
        <f>AVERAGE(AW5:AW10,AW12,AW14)</f>
        <v>48.377493632347402</v>
      </c>
      <c r="AX3" s="18">
        <f>(AW3/100)*(AS3/100)*100</f>
        <v>3.4945981691889894</v>
      </c>
      <c r="AY3" s="18"/>
      <c r="AZ3" s="17"/>
      <c r="BA3" s="17">
        <f>AVERAGE(BA5:BA10,BA12,BA14)</f>
        <v>11.252735830642841</v>
      </c>
      <c r="BB3" s="18">
        <f>(BA3/100)*(AS3/100)*100</f>
        <v>0.81285298347573198</v>
      </c>
      <c r="BC3" s="18"/>
      <c r="BD3" s="17"/>
      <c r="BE3" s="17">
        <f>AVERAGE(BE5:BE10,BE12,BE14)</f>
        <v>0.45369376235888564</v>
      </c>
      <c r="BF3" s="18">
        <f>(BE3/100)*(AS3/100)*100</f>
        <v>3.2773037052330957E-2</v>
      </c>
      <c r="BG3" s="18"/>
      <c r="BH3" s="17"/>
    </row>
    <row r="4" spans="1:60" s="34" customFormat="1" x14ac:dyDescent="0.45">
      <c r="A4" s="18"/>
      <c r="B4" s="34" t="s">
        <v>16</v>
      </c>
      <c r="C4" s="34">
        <v>22.5</v>
      </c>
      <c r="D4" s="14">
        <f>C4/C$19*100</f>
        <v>27.239709443099276</v>
      </c>
      <c r="E4" s="14"/>
      <c r="F4" s="15"/>
      <c r="G4" s="15"/>
      <c r="H4" s="15"/>
      <c r="I4" s="15"/>
      <c r="J4" s="15"/>
      <c r="K4" s="15"/>
      <c r="L4" s="15"/>
      <c r="M4" s="15"/>
      <c r="N4" s="15"/>
      <c r="O4" s="34" t="s">
        <v>16</v>
      </c>
      <c r="P4" s="34">
        <v>43.8</v>
      </c>
      <c r="Q4" s="14">
        <f t="shared" ref="Q4:Q10" si="0">P4/P$19*100</f>
        <v>29.286737554390253</v>
      </c>
      <c r="S4" s="14"/>
      <c r="T4" s="15"/>
      <c r="U4" s="15"/>
      <c r="V4" s="15"/>
      <c r="W4" s="15"/>
      <c r="X4" s="15"/>
      <c r="Y4" s="15"/>
      <c r="Z4" s="15"/>
      <c r="AA4" s="15"/>
      <c r="AB4" s="15"/>
      <c r="AC4" s="34" t="s">
        <v>16</v>
      </c>
      <c r="AD4" s="34">
        <f>SUM(AD5:AD10,AD12,AD13)</f>
        <v>48.599999999999994</v>
      </c>
      <c r="AE4" s="14">
        <f t="shared" ref="AE4:AE17" si="1">AD4/AD$19*100</f>
        <v>37.732919254658384</v>
      </c>
      <c r="AF4" s="14"/>
      <c r="AG4" s="15"/>
      <c r="AH4" s="15"/>
      <c r="AI4" s="15"/>
      <c r="AJ4" s="15"/>
      <c r="AK4" s="15"/>
      <c r="AL4" s="15"/>
      <c r="AM4" s="15"/>
      <c r="AN4" s="15"/>
      <c r="AO4" s="15"/>
      <c r="AP4" s="17">
        <f>AVERAGE(D4,Q4,AE4)</f>
        <v>31.41978875071597</v>
      </c>
      <c r="AQ4" s="17">
        <f>STDEV(D4,Q4,AE4)</f>
        <v>5.5623100949120046</v>
      </c>
      <c r="AR4" s="17"/>
      <c r="AS4" s="17"/>
      <c r="AT4" s="17"/>
      <c r="AU4" s="17"/>
      <c r="AV4" s="17"/>
      <c r="AW4" s="17"/>
      <c r="AX4" s="18"/>
      <c r="AY4" s="18"/>
      <c r="AZ4" s="17"/>
      <c r="BA4" s="17"/>
      <c r="BB4" s="18"/>
      <c r="BC4" s="18"/>
      <c r="BD4" s="17"/>
      <c r="BE4" s="17"/>
      <c r="BF4" s="18"/>
      <c r="BG4" s="18"/>
      <c r="BH4" s="17"/>
    </row>
    <row r="5" spans="1:60" s="34" customFormat="1" x14ac:dyDescent="0.45">
      <c r="A5" s="39">
        <v>0.14819762632174693</v>
      </c>
      <c r="B5" s="34" t="s">
        <v>17</v>
      </c>
      <c r="C5" s="34">
        <v>1.4</v>
      </c>
      <c r="D5" s="14">
        <f t="shared" ref="D5:D10" si="2">C5/C$19*100</f>
        <v>1.6949152542372881</v>
      </c>
      <c r="E5" s="17">
        <f>C5/C$4*100</f>
        <v>6.2222222222222223</v>
      </c>
      <c r="F5" s="18">
        <f>C5*$A5</f>
        <v>0.20747667685044568</v>
      </c>
      <c r="G5" s="15">
        <f>F5/F$19*100</f>
        <v>0.78532338117136058</v>
      </c>
      <c r="H5" s="15">
        <f>F5/F$20*100</f>
        <v>1.4888739665221666</v>
      </c>
      <c r="I5" s="15">
        <v>47.312525857017441</v>
      </c>
      <c r="J5" s="44">
        <f>$G5/100*I5/100*100</f>
        <v>0.37155632777790359</v>
      </c>
      <c r="K5" s="15">
        <v>12.497940000748153</v>
      </c>
      <c r="L5" s="44">
        <f>$G5/100*K5/100*100</f>
        <v>9.8149244990643356E-2</v>
      </c>
      <c r="M5" s="15">
        <v>0.46365167739033158</v>
      </c>
      <c r="N5" s="44">
        <f>$G5/100*M5/100*100</f>
        <v>3.6411650297394804E-3</v>
      </c>
      <c r="O5" s="34" t="s">
        <v>17</v>
      </c>
      <c r="P5" s="34">
        <v>2.2000000000000002</v>
      </c>
      <c r="Q5" s="14">
        <f t="shared" si="0"/>
        <v>1.4710233474807892</v>
      </c>
      <c r="S5" s="17">
        <f>Q5/Q$4*100</f>
        <v>5.0228310502283113</v>
      </c>
      <c r="T5" s="18">
        <f>Q5*$A5</f>
        <v>0.2180021683605233</v>
      </c>
      <c r="U5" s="15">
        <f t="shared" ref="U5:U9" si="3">T5/T$19*100</f>
        <v>0.68993386797642953</v>
      </c>
      <c r="V5" s="15">
        <f>T5/T$20*100</f>
        <v>1.2326890348026018</v>
      </c>
      <c r="W5" s="15">
        <v>47.650617157354873</v>
      </c>
      <c r="X5" s="44">
        <f>$U5/100*W5/100*100</f>
        <v>0.3287577460683786</v>
      </c>
      <c r="Y5" s="15">
        <v>11.780064813459402</v>
      </c>
      <c r="Z5" s="44">
        <f>$U5/100*Y5/100*100</f>
        <v>8.1274656817630811E-2</v>
      </c>
      <c r="AA5" s="15">
        <v>0.48178056292403332</v>
      </c>
      <c r="AB5" s="44">
        <f>$U5/100*AA5/100*100</f>
        <v>3.3239672729403987E-3</v>
      </c>
      <c r="AC5" s="34" t="s">
        <v>17</v>
      </c>
      <c r="AD5" s="34">
        <v>2.2999999999999998</v>
      </c>
      <c r="AE5" s="14">
        <f t="shared" si="1"/>
        <v>1.785714285714286</v>
      </c>
      <c r="AF5" s="17">
        <f>AD5/AD$4*100</f>
        <v>4.7325102880658436</v>
      </c>
      <c r="AG5" s="18">
        <f>AD5*$A5</f>
        <v>0.3408545405400179</v>
      </c>
      <c r="AH5" s="15">
        <f t="shared" ref="AH5:AH9" si="4">AG5/AG$19*100</f>
        <v>0.90284765501504882</v>
      </c>
      <c r="AI5" s="15">
        <f>AG5/AG$20*100</f>
        <v>1.5030970827205541</v>
      </c>
      <c r="AJ5" s="15">
        <v>45.345587766654582</v>
      </c>
      <c r="AK5" s="44">
        <f>$AH5/100*AJ5/100*100</f>
        <v>0.40940157580403175</v>
      </c>
      <c r="AL5" s="15">
        <v>11.636764080256263</v>
      </c>
      <c r="AM5" s="44">
        <f>$AH5/100*AL5/100*100</f>
        <v>0.10506225161822719</v>
      </c>
      <c r="AN5" s="15">
        <v>0.44528650281802862</v>
      </c>
      <c r="AO5" s="44">
        <f>$AH5/100*AN5/100*100</f>
        <v>4.0202587487910904E-3</v>
      </c>
      <c r="AP5" s="17">
        <f t="shared" ref="AP5:AP10" si="5">AVERAGE(D5,Q5,AE5)</f>
        <v>1.6505509624774544</v>
      </c>
      <c r="AQ5" s="17">
        <f t="shared" ref="AQ5:AQ9" si="6">STDEV(D5,Q5,AE5)</f>
        <v>0.16196832850617235</v>
      </c>
      <c r="AR5" s="17">
        <f t="shared" ref="AR5:AR10" si="7">AVERAGE(F5,T5,AG5)</f>
        <v>0.2554444619169956</v>
      </c>
      <c r="AS5" s="17">
        <f>AVERAGE(G5,U5,AH5)</f>
        <v>0.79270163472094624</v>
      </c>
      <c r="AT5" s="17">
        <f t="shared" ref="AT5:AT10" si="8">STDEV(G5,U5,AH5)</f>
        <v>0.10664848403452884</v>
      </c>
      <c r="AU5" s="17">
        <f t="shared" ref="AU5:AU10" si="9">AVERAGE(H5,V5,AI5)</f>
        <v>1.4082200280151076</v>
      </c>
      <c r="AV5" s="17">
        <f>AR5/AR$3*100</f>
        <v>10.81571765939079</v>
      </c>
      <c r="AW5" s="17">
        <f t="shared" ref="AW5:AW10" si="10">AVERAGE(I5,W5,AJ5)</f>
        <v>46.769576927008963</v>
      </c>
      <c r="AX5" s="18">
        <f>(AW5/100)*(AS5/100)*100</f>
        <v>0.37074320085247053</v>
      </c>
      <c r="AY5" s="18">
        <f t="shared" ref="AY5:AY10" si="11">($AU5/100)*(AW5/100)*100</f>
        <v>0.65861854930407282</v>
      </c>
      <c r="AZ5" s="18">
        <f>($AV5/100)*(AW5/100)*100</f>
        <v>5.0584653909168686</v>
      </c>
      <c r="BA5" s="17">
        <f t="shared" ref="BA5:BA10" si="12">AVERAGE(K5,Y5,AL5)</f>
        <v>11.971589631487939</v>
      </c>
      <c r="BB5" s="18">
        <f t="shared" ref="BB5:BB10" si="13">(BA5/100)*(AS5/100)*100</f>
        <v>9.48989867108882E-2</v>
      </c>
      <c r="BC5" s="18">
        <f>($AU5/100)*(BA5/100)*100</f>
        <v>0.16858632286239317</v>
      </c>
      <c r="BD5" s="18">
        <f>($AV5/100)*(BA5/100)*100</f>
        <v>1.294813333882638</v>
      </c>
      <c r="BE5" s="17">
        <f t="shared" ref="BE5:BE10" si="14">AVERAGE(M5,AA5,AN5)</f>
        <v>0.46357291437746451</v>
      </c>
      <c r="BF5" s="18">
        <f t="shared" ref="BF5:BF10" si="15">(BE5/100)*(AS5/100)*100</f>
        <v>3.6747500703936935E-3</v>
      </c>
      <c r="BG5" s="18">
        <f>($AU5/100)*(BE5/100)*100</f>
        <v>6.5281266247167813E-3</v>
      </c>
      <c r="BH5" s="18">
        <f>($AV5/100)*(BE5/100)*100</f>
        <v>5.0138737564475969E-2</v>
      </c>
    </row>
    <row r="6" spans="1:60" s="34" customFormat="1" x14ac:dyDescent="0.45">
      <c r="A6" s="18">
        <v>0.20909607895840013</v>
      </c>
      <c r="B6" s="34" t="s">
        <v>18</v>
      </c>
      <c r="C6" s="34">
        <v>0.6</v>
      </c>
      <c r="D6" s="14">
        <f t="shared" si="2"/>
        <v>0.72639225181598066</v>
      </c>
      <c r="E6" s="17">
        <f t="shared" ref="E6:E10" si="16">C6/C$4*100</f>
        <v>2.6666666666666665</v>
      </c>
      <c r="F6" s="18">
        <f>C6*$A6</f>
        <v>0.12545764737504006</v>
      </c>
      <c r="G6" s="15">
        <f t="shared" ref="G6:G9" si="17">F6/F$19*100</f>
        <v>0.4748718040312061</v>
      </c>
      <c r="H6" s="15">
        <f t="shared" ref="H6:H18" si="18">F6/F$20*100</f>
        <v>0.90029697753670146</v>
      </c>
      <c r="I6" s="15">
        <v>49.938565018587809</v>
      </c>
      <c r="J6" s="44">
        <f t="shared" ref="J6" si="19">$G6/100*I6/100*100</f>
        <v>0.23714416461106474</v>
      </c>
      <c r="K6" s="15">
        <v>9.9737924048703039</v>
      </c>
      <c r="L6" s="44">
        <f t="shared" ref="L6:N9" si="20">$G6/100*K6/100*100</f>
        <v>4.7362727923335027E-2</v>
      </c>
      <c r="M6" s="15">
        <v>0.31213581127481049</v>
      </c>
      <c r="N6" s="44">
        <f t="shared" si="20"/>
        <v>1.4822449580281334E-3</v>
      </c>
      <c r="O6" s="34" t="s">
        <v>18</v>
      </c>
      <c r="P6" s="34">
        <v>1.6</v>
      </c>
      <c r="Q6" s="14">
        <f t="shared" si="0"/>
        <v>1.0698351618042101</v>
      </c>
      <c r="S6" s="17">
        <f t="shared" ref="S6:S10" si="21">Q6/Q$4*100</f>
        <v>3.6529680365296802</v>
      </c>
      <c r="T6" s="18">
        <f>Q6*$A6</f>
        <v>0.22369833746508588</v>
      </c>
      <c r="U6" s="15">
        <f t="shared" si="3"/>
        <v>0.70796111978091381</v>
      </c>
      <c r="V6" s="15">
        <f t="shared" ref="V6:V18" si="22">T6/T$20*100</f>
        <v>1.2648979125783659</v>
      </c>
      <c r="W6" s="15">
        <v>47.402304849080984</v>
      </c>
      <c r="X6" s="44">
        <f t="shared" ref="X6:Z9" si="23">$U6/100*W6/100*100</f>
        <v>0.33558988821151614</v>
      </c>
      <c r="Y6" s="15">
        <v>13.651395396902606</v>
      </c>
      <c r="Z6" s="44">
        <f t="shared" si="23"/>
        <v>9.6646571717631816E-2</v>
      </c>
      <c r="AA6" s="15">
        <v>0.26376832458914401</v>
      </c>
      <c r="AB6" s="44">
        <f t="shared" ref="AB6" si="24">$U6/100*AA6/100*100</f>
        <v>1.8673771843886594E-3</v>
      </c>
      <c r="AC6" s="34" t="s">
        <v>18</v>
      </c>
      <c r="AD6" s="34">
        <v>1</v>
      </c>
      <c r="AE6" s="14">
        <f t="shared" si="1"/>
        <v>0.77639751552795033</v>
      </c>
      <c r="AF6" s="17">
        <f t="shared" ref="AF6:AF9" si="25">AD6/AD$4*100</f>
        <v>2.0576131687242802</v>
      </c>
      <c r="AG6" s="18">
        <f>AD6*$A6</f>
        <v>0.20909607895840013</v>
      </c>
      <c r="AH6" s="15">
        <f t="shared" si="4"/>
        <v>0.55384887718187581</v>
      </c>
      <c r="AI6" s="15">
        <f t="shared" ref="AI6:AI18" si="26">AG6/AG$20*100</f>
        <v>0.92206988292643444</v>
      </c>
      <c r="AJ6" s="15">
        <v>51.223075777611506</v>
      </c>
      <c r="AK6" s="44">
        <f t="shared" ref="AK6:AM10" si="27">$AH6/100*AJ6/100*100</f>
        <v>0.28369843005232276</v>
      </c>
      <c r="AL6" s="15">
        <v>11.280011534554211</v>
      </c>
      <c r="AM6" s="44">
        <f t="shared" si="27"/>
        <v>6.2474217230114579E-2</v>
      </c>
      <c r="AN6" s="15">
        <v>0.29533036916510802</v>
      </c>
      <c r="AO6" s="44">
        <f t="shared" ref="AO6" si="28">$AH6/100*AN6/100*100</f>
        <v>1.6356839335980396E-3</v>
      </c>
      <c r="AP6" s="17">
        <f t="shared" si="5"/>
        <v>0.8575416430493803</v>
      </c>
      <c r="AQ6" s="17">
        <f t="shared" si="6"/>
        <v>0.18554389016808537</v>
      </c>
      <c r="AR6" s="17">
        <f t="shared" si="7"/>
        <v>0.18608402126617538</v>
      </c>
      <c r="AS6" s="17">
        <f>AVERAGE(G6,U6,AH6)</f>
        <v>0.57889393366466535</v>
      </c>
      <c r="AT6" s="17">
        <f t="shared" si="8"/>
        <v>0.11854576508604663</v>
      </c>
      <c r="AU6" s="17">
        <f t="shared" si="9"/>
        <v>1.0290882576805007</v>
      </c>
      <c r="AV6" s="17">
        <f t="shared" ref="AV6:AV14" si="29">AR6/AR$3*100</f>
        <v>7.8789425295624982</v>
      </c>
      <c r="AW6" s="17">
        <f t="shared" si="10"/>
        <v>49.521315215093438</v>
      </c>
      <c r="AX6" s="18">
        <f t="shared" ref="AX6:AX10" si="30">(AW6/100)*(AS6/100)*100</f>
        <v>0.28667588965113278</v>
      </c>
      <c r="AY6" s="18">
        <f t="shared" si="11"/>
        <v>0.50961803992747379</v>
      </c>
      <c r="AZ6" s="18">
        <f t="shared" ref="AZ6:AZ14" si="31">($AV6/100)*(AW6/100)*100</f>
        <v>3.9017559656807013</v>
      </c>
      <c r="BA6" s="17">
        <f t="shared" si="12"/>
        <v>11.635066445442375</v>
      </c>
      <c r="BB6" s="18">
        <f t="shared" si="13"/>
        <v>6.7354693830518911E-2</v>
      </c>
      <c r="BC6" s="18">
        <f>($AU6/100)*(BA6/100)*100</f>
        <v>0.1197351025633715</v>
      </c>
      <c r="BD6" s="18">
        <f t="shared" ref="BD6:BD14" si="32">($AV6/100)*(BA6/100)*100</f>
        <v>0.91672019851281472</v>
      </c>
      <c r="BE6" s="17">
        <f t="shared" si="14"/>
        <v>0.29041150167635416</v>
      </c>
      <c r="BF6" s="18">
        <f t="shared" si="15"/>
        <v>1.6811745658688721E-3</v>
      </c>
      <c r="BG6" s="18">
        <f>($AU6/100)*(BE6/100)*100</f>
        <v>2.9885906627049714E-3</v>
      </c>
      <c r="BH6" s="18">
        <f t="shared" ref="BH6:BH14" si="33">($AV6/100)*(BE6/100)*100</f>
        <v>2.2881355316319373E-2</v>
      </c>
    </row>
    <row r="7" spans="1:60" s="34" customFormat="1" x14ac:dyDescent="0.45">
      <c r="A7" s="18">
        <v>0.14597894454941129</v>
      </c>
      <c r="B7" s="34" t="s">
        <v>19</v>
      </c>
      <c r="C7" s="34">
        <v>0.2</v>
      </c>
      <c r="D7" s="14">
        <f t="shared" si="2"/>
        <v>0.24213075060532688</v>
      </c>
      <c r="E7" s="17">
        <f t="shared" si="16"/>
        <v>0.88888888888888884</v>
      </c>
      <c r="F7" s="18">
        <f t="shared" ref="F7:F10" si="34">C7*$A7</f>
        <v>2.919578890988226E-2</v>
      </c>
      <c r="G7" s="15">
        <f t="shared" si="17"/>
        <v>0.11050946068121774</v>
      </c>
      <c r="H7" s="15">
        <f t="shared" si="18"/>
        <v>0.20951198322563125</v>
      </c>
      <c r="I7" s="15">
        <v>46.189114821246022</v>
      </c>
      <c r="J7" s="44">
        <f t="shared" ref="J7" si="35">$G7/100*I7/100*100</f>
        <v>5.1043341682387382E-2</v>
      </c>
      <c r="K7" s="15">
        <v>11.408709422030638</v>
      </c>
      <c r="L7" s="44">
        <f t="shared" si="20"/>
        <v>1.2607703252973333E-2</v>
      </c>
      <c r="M7" s="15">
        <v>0.46035950761234207</v>
      </c>
      <c r="N7" s="44">
        <f t="shared" si="20"/>
        <v>5.0874080905710878E-4</v>
      </c>
      <c r="O7" s="34" t="s">
        <v>19</v>
      </c>
      <c r="P7" s="34">
        <v>0.4</v>
      </c>
      <c r="Q7" s="14">
        <f t="shared" si="0"/>
        <v>0.26745879045105253</v>
      </c>
      <c r="S7" s="17">
        <f t="shared" si="21"/>
        <v>0.91324200913242004</v>
      </c>
      <c r="T7" s="18">
        <f t="shared" ref="T7:T10" si="36">Q7*$A7</f>
        <v>3.9043351940506815E-2</v>
      </c>
      <c r="U7" s="15">
        <f t="shared" si="3"/>
        <v>0.1235645086728267</v>
      </c>
      <c r="V7" s="15">
        <f t="shared" si="22"/>
        <v>0.22076987665282738</v>
      </c>
      <c r="W7" s="15">
        <v>48.278423489621439</v>
      </c>
      <c r="X7" s="44">
        <f t="shared" si="23"/>
        <v>5.9654996779937283E-2</v>
      </c>
      <c r="Y7" s="15">
        <v>11.806953666465015</v>
      </c>
      <c r="Z7" s="44">
        <f t="shared" si="23"/>
        <v>1.4589204287195795E-2</v>
      </c>
      <c r="AA7" s="15">
        <v>0.50575713379492881</v>
      </c>
      <c r="AB7" s="44">
        <f t="shared" ref="AB7" si="37">$U7/100*AA7/100*100</f>
        <v>6.2493631745147459E-4</v>
      </c>
      <c r="AC7" s="34" t="s">
        <v>19</v>
      </c>
      <c r="AD7" s="34">
        <v>0.4</v>
      </c>
      <c r="AE7" s="14">
        <f t="shared" si="1"/>
        <v>0.31055900621118021</v>
      </c>
      <c r="AF7" s="17">
        <f t="shared" si="25"/>
        <v>0.82304526748971196</v>
      </c>
      <c r="AG7" s="18">
        <f t="shared" ref="AG7:AG8" si="38">AD7*$A7</f>
        <v>5.839157781976452E-2</v>
      </c>
      <c r="AH7" s="15">
        <f t="shared" si="4"/>
        <v>0.15466626621338411</v>
      </c>
      <c r="AI7" s="15">
        <f t="shared" si="26"/>
        <v>0.25749461966176701</v>
      </c>
      <c r="AJ7" s="15">
        <v>49.685205629941997</v>
      </c>
      <c r="AK7" s="44">
        <f t="shared" si="27"/>
        <v>7.6846252408273405E-2</v>
      </c>
      <c r="AL7" s="15">
        <v>11.016441941682023</v>
      </c>
      <c r="AM7" s="44">
        <f t="shared" si="27"/>
        <v>1.703871942076482E-2</v>
      </c>
      <c r="AN7" s="15">
        <v>0.51139934904151352</v>
      </c>
      <c r="AO7" s="44">
        <f t="shared" ref="AO7" si="39">$AH7/100*AN7/100*100</f>
        <v>7.9096227860206067E-4</v>
      </c>
      <c r="AP7" s="17">
        <f t="shared" si="5"/>
        <v>0.27338284908918653</v>
      </c>
      <c r="AQ7" s="17">
        <f t="shared" si="6"/>
        <v>3.4596638483760905E-2</v>
      </c>
      <c r="AR7" s="17">
        <f t="shared" si="7"/>
        <v>4.2210239556717856E-2</v>
      </c>
      <c r="AS7" s="17">
        <f t="shared" ref="AS7:AS9" si="40">AVERAGE(G7,U7,AH7)</f>
        <v>0.12958007852247619</v>
      </c>
      <c r="AT7" s="17">
        <f t="shared" si="8"/>
        <v>2.2684712454941951E-2</v>
      </c>
      <c r="AU7" s="17">
        <f t="shared" si="9"/>
        <v>0.22925882651340856</v>
      </c>
      <c r="AV7" s="17">
        <f t="shared" si="29"/>
        <v>1.787214449491787</v>
      </c>
      <c r="AW7" s="17">
        <f t="shared" si="10"/>
        <v>48.050914646936491</v>
      </c>
      <c r="AX7" s="18">
        <f t="shared" si="30"/>
        <v>6.2264412930268326E-2</v>
      </c>
      <c r="AY7" s="18">
        <f t="shared" si="11"/>
        <v>0.11016096304852616</v>
      </c>
      <c r="AZ7" s="18">
        <f t="shared" si="31"/>
        <v>0.85877288968301446</v>
      </c>
      <c r="BA7" s="17">
        <f t="shared" si="12"/>
        <v>11.410701676725893</v>
      </c>
      <c r="BB7" s="18">
        <f t="shared" si="13"/>
        <v>1.478599619266692E-2</v>
      </c>
      <c r="BC7" s="18">
        <f t="shared" ref="BC7:BC10" si="41">($AU7/100)*(BA7/100)*100</f>
        <v>2.616004076100762E-2</v>
      </c>
      <c r="BD7" s="18">
        <f t="shared" si="32"/>
        <v>0.20393370915484677</v>
      </c>
      <c r="BE7" s="17">
        <f t="shared" si="14"/>
        <v>0.49250533014959474</v>
      </c>
      <c r="BF7" s="18">
        <f t="shared" si="15"/>
        <v>6.3818879353522541E-4</v>
      </c>
      <c r="BG7" s="18">
        <f t="shared" ref="BG7:BG10" si="42">($AU7/100)*(BE7/100)*100</f>
        <v>1.1291119404169495E-3</v>
      </c>
      <c r="BH7" s="18">
        <f t="shared" si="33"/>
        <v>8.8021264249507885E-3</v>
      </c>
    </row>
    <row r="8" spans="1:60" s="34" customFormat="1" x14ac:dyDescent="0.45">
      <c r="A8" s="18">
        <v>0.19885102087935894</v>
      </c>
      <c r="B8" s="34" t="s">
        <v>20</v>
      </c>
      <c r="C8" s="34">
        <v>0.2</v>
      </c>
      <c r="D8" s="14">
        <f t="shared" si="2"/>
        <v>0.24213075060532688</v>
      </c>
      <c r="E8" s="17">
        <f t="shared" si="16"/>
        <v>0.88888888888888884</v>
      </c>
      <c r="F8" s="18">
        <f t="shared" si="34"/>
        <v>3.9770204175871793E-2</v>
      </c>
      <c r="G8" s="15">
        <f t="shared" si="17"/>
        <v>0.15053485378399489</v>
      </c>
      <c r="H8" s="15">
        <f t="shared" si="18"/>
        <v>0.28539507447099099</v>
      </c>
      <c r="I8" s="15">
        <v>45.925800448523923</v>
      </c>
      <c r="J8" s="44">
        <f t="shared" ref="J8" si="43">$G8/100*I8/100*100</f>
        <v>6.9134336554314751E-2</v>
      </c>
      <c r="K8" s="15">
        <v>13.092410117466917</v>
      </c>
      <c r="L8" s="44">
        <f t="shared" si="20"/>
        <v>1.9708640427129779E-2</v>
      </c>
      <c r="M8" s="15">
        <v>0.5382028514155992</v>
      </c>
      <c r="N8" s="44">
        <f t="shared" si="20"/>
        <v>8.1018287543976354E-4</v>
      </c>
      <c r="O8" s="34" t="s">
        <v>20</v>
      </c>
      <c r="P8" s="34">
        <v>0.6</v>
      </c>
      <c r="Q8" s="14">
        <f t="shared" si="0"/>
        <v>0.40118818567657877</v>
      </c>
      <c r="S8" s="17">
        <f t="shared" si="21"/>
        <v>1.3698630136986301</v>
      </c>
      <c r="T8" s="18">
        <f>Q8*$A8</f>
        <v>7.97766802865255E-2</v>
      </c>
      <c r="U8" s="15">
        <f t="shared" si="3"/>
        <v>0.25247745936809912</v>
      </c>
      <c r="V8" s="15">
        <f t="shared" si="22"/>
        <v>0.45109569212872402</v>
      </c>
      <c r="W8" s="15">
        <v>48.978379066073558</v>
      </c>
      <c r="X8" s="44">
        <f t="shared" si="23"/>
        <v>0.12365936710569943</v>
      </c>
      <c r="Y8" s="15">
        <v>11.702260310153759</v>
      </c>
      <c r="Z8" s="44">
        <f t="shared" si="23"/>
        <v>2.9545569519717648E-2</v>
      </c>
      <c r="AA8" s="15">
        <v>0.3533288836343082</v>
      </c>
      <c r="AB8" s="44">
        <f t="shared" ref="AB8" si="44">$U8/100*AA8/100*100</f>
        <v>8.9207578861356864E-4</v>
      </c>
      <c r="AC8" s="34" t="s">
        <v>20</v>
      </c>
      <c r="AD8" s="34">
        <v>0.4</v>
      </c>
      <c r="AE8" s="14">
        <f t="shared" si="1"/>
        <v>0.31055900621118021</v>
      </c>
      <c r="AF8" s="17">
        <f>AD8/AD$4*100</f>
        <v>0.82304526748971196</v>
      </c>
      <c r="AG8" s="18">
        <f t="shared" si="38"/>
        <v>7.9540408351743586E-2</v>
      </c>
      <c r="AH8" s="15">
        <f t="shared" si="4"/>
        <v>0.21068480133941458</v>
      </c>
      <c r="AI8" s="15">
        <f t="shared" si="26"/>
        <v>0.35075652964015852</v>
      </c>
      <c r="AJ8" s="15">
        <v>48.923610633101156</v>
      </c>
      <c r="AK8" s="44">
        <f t="shared" si="27"/>
        <v>0.10307461187041787</v>
      </c>
      <c r="AL8" s="15">
        <v>11.243742970071784</v>
      </c>
      <c r="AM8" s="44">
        <f t="shared" si="27"/>
        <v>2.3688857539610132E-2</v>
      </c>
      <c r="AN8" s="15">
        <v>0.80459454292583887</v>
      </c>
      <c r="AO8" s="44">
        <f t="shared" ref="AO8" si="45">$AH8/100*AN8/100*100</f>
        <v>1.6951584143510745E-3</v>
      </c>
      <c r="AP8" s="17">
        <f t="shared" si="5"/>
        <v>0.31795931416436196</v>
      </c>
      <c r="AQ8" s="17">
        <f t="shared" si="6"/>
        <v>7.9786529760435251E-2</v>
      </c>
      <c r="AR8" s="17">
        <f t="shared" si="7"/>
        <v>6.636243093804696E-2</v>
      </c>
      <c r="AS8" s="17">
        <f t="shared" si="40"/>
        <v>0.20456570483050288</v>
      </c>
      <c r="AT8" s="17">
        <f t="shared" si="8"/>
        <v>5.1246036089468171E-2</v>
      </c>
      <c r="AU8" s="17">
        <f t="shared" si="9"/>
        <v>0.36241576541329118</v>
      </c>
      <c r="AV8" s="17">
        <f t="shared" si="29"/>
        <v>2.809837061372523</v>
      </c>
      <c r="AW8" s="17">
        <f t="shared" si="10"/>
        <v>47.942596715899548</v>
      </c>
      <c r="AX8" s="18">
        <f t="shared" si="30"/>
        <v>9.8074110885925436E-2</v>
      </c>
      <c r="AY8" s="18">
        <f t="shared" si="11"/>
        <v>0.17375152884693473</v>
      </c>
      <c r="AZ8" s="18">
        <f t="shared" si="31"/>
        <v>1.3471088507077118</v>
      </c>
      <c r="BA8" s="17">
        <f t="shared" si="12"/>
        <v>12.012804465897487</v>
      </c>
      <c r="BB8" s="18">
        <f t="shared" si="13"/>
        <v>2.4574078125573315E-2</v>
      </c>
      <c r="BC8" s="18">
        <f t="shared" si="41"/>
        <v>4.3536297252684403E-2</v>
      </c>
      <c r="BD8" s="18">
        <f t="shared" si="32"/>
        <v>0.33754023199300115</v>
      </c>
      <c r="BE8" s="17">
        <f t="shared" si="14"/>
        <v>0.56537542599191548</v>
      </c>
      <c r="BF8" s="18">
        <f t="shared" si="15"/>
        <v>1.15656422511882E-3</v>
      </c>
      <c r="BG8" s="18">
        <f t="shared" si="42"/>
        <v>2.0490096775672558E-3</v>
      </c>
      <c r="BH8" s="18">
        <f t="shared" si="33"/>
        <v>1.5886128255413624E-2</v>
      </c>
    </row>
    <row r="9" spans="1:60" s="34" customFormat="1" x14ac:dyDescent="0.45">
      <c r="A9" s="18">
        <v>0.24254539700206126</v>
      </c>
      <c r="B9" s="34" t="s">
        <v>21</v>
      </c>
      <c r="C9" s="34">
        <v>1.4</v>
      </c>
      <c r="D9" s="14">
        <f t="shared" si="2"/>
        <v>1.6949152542372881</v>
      </c>
      <c r="E9" s="17">
        <f t="shared" si="16"/>
        <v>6.2222222222222223</v>
      </c>
      <c r="F9" s="18">
        <f t="shared" si="34"/>
        <v>0.33956355580288577</v>
      </c>
      <c r="G9" s="15">
        <f t="shared" si="17"/>
        <v>1.2852875986533778</v>
      </c>
      <c r="H9" s="15">
        <f t="shared" si="18"/>
        <v>2.4367429914979746</v>
      </c>
      <c r="I9" s="15">
        <v>48.006948052886571</v>
      </c>
      <c r="J9" s="44">
        <f t="shared" ref="J9" si="46">$G9/100*I9/100*100</f>
        <v>0.61702734981572027</v>
      </c>
      <c r="K9" s="15">
        <v>10.8662076695419</v>
      </c>
      <c r="L9" s="44">
        <f t="shared" si="20"/>
        <v>0.13966201962054425</v>
      </c>
      <c r="M9" s="15">
        <v>0.45661109542427836</v>
      </c>
      <c r="N9" s="44">
        <f t="shared" si="20"/>
        <v>5.8687657835635905E-3</v>
      </c>
      <c r="O9" s="34" t="s">
        <v>21</v>
      </c>
      <c r="P9" s="34">
        <v>1.5</v>
      </c>
      <c r="Q9" s="14">
        <f t="shared" si="0"/>
        <v>1.002970464191447</v>
      </c>
      <c r="S9" s="17">
        <f t="shared" si="21"/>
        <v>3.4246575342465753</v>
      </c>
      <c r="T9" s="18">
        <f t="shared" si="36"/>
        <v>0.24326586941865619</v>
      </c>
      <c r="U9" s="15">
        <f t="shared" si="3"/>
        <v>0.76988849926070357</v>
      </c>
      <c r="V9" s="15">
        <f t="shared" si="22"/>
        <v>1.3755421426734806</v>
      </c>
      <c r="W9" s="15">
        <v>51.60905866044174</v>
      </c>
      <c r="X9" s="44">
        <f t="shared" si="23"/>
        <v>0.39733220720345108</v>
      </c>
      <c r="Y9" s="15">
        <v>10.915929502792887</v>
      </c>
      <c r="Z9" s="44">
        <f t="shared" si="23"/>
        <v>8.404048582940854E-2</v>
      </c>
      <c r="AA9" s="15">
        <v>0.40730773890305855</v>
      </c>
      <c r="AB9" s="44">
        <f t="shared" ref="AB9" si="47">$U9/100*AA9/100*100</f>
        <v>3.1358154384134619E-3</v>
      </c>
      <c r="AC9" s="34" t="s">
        <v>21</v>
      </c>
      <c r="AD9" s="34">
        <v>1.5</v>
      </c>
      <c r="AE9" s="14">
        <f t="shared" si="1"/>
        <v>1.1645962732919255</v>
      </c>
      <c r="AF9" s="17">
        <f t="shared" si="25"/>
        <v>3.0864197530864201</v>
      </c>
      <c r="AG9" s="18">
        <f>AD9*$A9</f>
        <v>0.36381809550309191</v>
      </c>
      <c r="AH9" s="15">
        <f t="shared" si="4"/>
        <v>0.96367299040994725</v>
      </c>
      <c r="AI9" s="15">
        <f t="shared" si="26"/>
        <v>1.6043615470847519</v>
      </c>
      <c r="AJ9" s="15">
        <v>50.197229864450783</v>
      </c>
      <c r="AK9" s="44">
        <f t="shared" si="27"/>
        <v>0.48373714613770796</v>
      </c>
      <c r="AL9" s="15">
        <v>11.605986567480093</v>
      </c>
      <c r="AM9" s="44">
        <f t="shared" si="27"/>
        <v>0.1118437578214122</v>
      </c>
      <c r="AN9" s="15">
        <v>0.38057273350725579</v>
      </c>
      <c r="AO9" s="44">
        <f t="shared" ref="AO9" si="48">$AH9/100*AN9/100*100</f>
        <v>3.6674766416742513E-3</v>
      </c>
      <c r="AP9" s="17">
        <f t="shared" si="5"/>
        <v>1.2874939972402202</v>
      </c>
      <c r="AQ9" s="17">
        <f t="shared" si="6"/>
        <v>0.36197346039682127</v>
      </c>
      <c r="AR9" s="17">
        <f t="shared" si="7"/>
        <v>0.31554917357487794</v>
      </c>
      <c r="AS9" s="17">
        <f t="shared" si="40"/>
        <v>1.006283029441343</v>
      </c>
      <c r="AT9" s="17">
        <f t="shared" si="8"/>
        <v>0.26032819571338706</v>
      </c>
      <c r="AU9" s="17">
        <f t="shared" si="9"/>
        <v>1.805548893752069</v>
      </c>
      <c r="AV9" s="17">
        <f t="shared" si="29"/>
        <v>13.360598007988781</v>
      </c>
      <c r="AW9" s="17">
        <f t="shared" si="10"/>
        <v>49.937745525926367</v>
      </c>
      <c r="AX9" s="18">
        <f t="shared" si="30"/>
        <v>0.5025150585130006</v>
      </c>
      <c r="AY9" s="18">
        <f t="shared" si="11"/>
        <v>0.90165041190808703</v>
      </c>
      <c r="AZ9" s="18">
        <f t="shared" si="31"/>
        <v>6.6719814339714247</v>
      </c>
      <c r="BA9" s="17">
        <f t="shared" si="12"/>
        <v>11.129374579938293</v>
      </c>
      <c r="BB9" s="18">
        <f t="shared" si="13"/>
        <v>0.1119930076808778</v>
      </c>
      <c r="BC9" s="18">
        <f t="shared" si="41"/>
        <v>0.20094629960959984</v>
      </c>
      <c r="BD9" s="18">
        <f t="shared" si="32"/>
        <v>1.4869509984288454</v>
      </c>
      <c r="BE9" s="17">
        <f t="shared" si="14"/>
        <v>0.41483052261153092</v>
      </c>
      <c r="BF9" s="18">
        <f t="shared" si="15"/>
        <v>4.1743691499826685E-3</v>
      </c>
      <c r="BG9" s="18">
        <f t="shared" si="42"/>
        <v>7.489967911958423E-3</v>
      </c>
      <c r="BH9" s="18">
        <f t="shared" si="33"/>
        <v>5.5423838540565651E-2</v>
      </c>
    </row>
    <row r="10" spans="1:60" s="34" customFormat="1" x14ac:dyDescent="0.45">
      <c r="A10" s="18">
        <v>0.18</v>
      </c>
      <c r="B10" s="34" t="s">
        <v>173</v>
      </c>
      <c r="C10" s="34">
        <v>0</v>
      </c>
      <c r="D10" s="17">
        <f t="shared" si="2"/>
        <v>0</v>
      </c>
      <c r="E10" s="17">
        <f t="shared" si="16"/>
        <v>0</v>
      </c>
      <c r="F10" s="18">
        <f t="shared" si="34"/>
        <v>0</v>
      </c>
      <c r="G10" s="18">
        <v>0</v>
      </c>
      <c r="H10" s="15">
        <f t="shared" si="18"/>
        <v>0</v>
      </c>
      <c r="I10" s="18"/>
      <c r="J10" s="18"/>
      <c r="K10" s="18"/>
      <c r="L10" s="18"/>
      <c r="M10" s="18"/>
      <c r="N10" s="18"/>
      <c r="P10" s="34">
        <v>0</v>
      </c>
      <c r="Q10" s="17">
        <f t="shared" si="0"/>
        <v>0</v>
      </c>
      <c r="S10" s="17">
        <f t="shared" si="21"/>
        <v>0</v>
      </c>
      <c r="T10" s="18">
        <f t="shared" si="36"/>
        <v>0</v>
      </c>
      <c r="U10" s="18">
        <v>0</v>
      </c>
      <c r="V10" s="15">
        <f t="shared" si="22"/>
        <v>0</v>
      </c>
      <c r="W10" s="18"/>
      <c r="X10" s="18"/>
      <c r="Y10" s="18"/>
      <c r="Z10" s="18"/>
      <c r="AA10" s="18"/>
      <c r="AB10" s="18"/>
      <c r="AC10" s="34" t="s">
        <v>171</v>
      </c>
      <c r="AD10" s="34">
        <f>1.6+0.7</f>
        <v>2.2999999999999998</v>
      </c>
      <c r="AE10" s="14">
        <f t="shared" si="1"/>
        <v>1.785714285714286</v>
      </c>
      <c r="AF10" s="17"/>
      <c r="AG10" s="18">
        <f>AD10*$A10</f>
        <v>0.41399999999999998</v>
      </c>
      <c r="AH10" s="15">
        <f>AG10/AG$19*100</f>
        <v>1.0965936630447992</v>
      </c>
      <c r="AI10" s="15">
        <f t="shared" si="26"/>
        <v>1.8256532280908566</v>
      </c>
      <c r="AJ10" s="15">
        <v>49.213764707009851</v>
      </c>
      <c r="AK10" s="44">
        <f t="shared" si="27"/>
        <v>0.53967502512284793</v>
      </c>
      <c r="AL10" s="15">
        <v>11.876791024260575</v>
      </c>
      <c r="AM10" s="44">
        <f t="shared" si="27"/>
        <v>0.13024013774511495</v>
      </c>
      <c r="AN10" s="15">
        <v>0.47281532453225733</v>
      </c>
      <c r="AO10" s="44">
        <f t="shared" ref="AO10" si="49">$AH10/100*AN10/100*100</f>
        <v>5.1848628867254354E-3</v>
      </c>
      <c r="AP10" s="17">
        <f t="shared" si="5"/>
        <v>0.59523809523809534</v>
      </c>
      <c r="AQ10" s="17">
        <f>STDEV(D10,Q10,AE10)</f>
        <v>1.0309826235529034</v>
      </c>
      <c r="AR10" s="17">
        <f t="shared" si="7"/>
        <v>0.13799999999999998</v>
      </c>
      <c r="AS10" s="17">
        <f>AVERAGE(G10,U10,AH10)</f>
        <v>0.36553122101493307</v>
      </c>
      <c r="AT10" s="17">
        <f t="shared" si="8"/>
        <v>0.63311864655055261</v>
      </c>
      <c r="AU10" s="17">
        <f t="shared" si="9"/>
        <v>0.60855107603028558</v>
      </c>
      <c r="AV10" s="17">
        <f t="shared" si="29"/>
        <v>5.8430275833536216</v>
      </c>
      <c r="AW10" s="17">
        <f t="shared" si="10"/>
        <v>49.213764707009851</v>
      </c>
      <c r="AX10" s="18">
        <f t="shared" si="30"/>
        <v>0.1798916750409493</v>
      </c>
      <c r="AY10" s="18">
        <f t="shared" si="11"/>
        <v>0.29949089467952134</v>
      </c>
      <c r="AZ10" s="18">
        <f t="shared" si="31"/>
        <v>2.8755738466373351</v>
      </c>
      <c r="BA10" s="17">
        <f t="shared" si="12"/>
        <v>11.876791024260575</v>
      </c>
      <c r="BB10" s="18">
        <f t="shared" si="13"/>
        <v>4.3413379248371652E-2</v>
      </c>
      <c r="BC10" s="18">
        <f t="shared" si="41"/>
        <v>7.2276339576006113E-2</v>
      </c>
      <c r="BD10" s="18">
        <f t="shared" si="32"/>
        <v>0.69396417556481249</v>
      </c>
      <c r="BE10" s="17">
        <f t="shared" si="14"/>
        <v>0.47281532453225733</v>
      </c>
      <c r="BF10" s="18">
        <f t="shared" si="15"/>
        <v>1.7282876289084787E-3</v>
      </c>
      <c r="BG10" s="18">
        <f t="shared" si="42"/>
        <v>2.8773227450771392E-3</v>
      </c>
      <c r="BH10" s="18">
        <f t="shared" si="33"/>
        <v>2.7626729830742738E-2</v>
      </c>
    </row>
    <row r="11" spans="1:60" s="34" customFormat="1" x14ac:dyDescent="0.45">
      <c r="A11" s="18"/>
      <c r="D11" s="17"/>
      <c r="E11" s="17"/>
      <c r="F11" s="18"/>
      <c r="G11" s="18"/>
      <c r="H11" s="18"/>
      <c r="I11" s="18"/>
      <c r="J11" s="18"/>
      <c r="K11" s="18"/>
      <c r="L11" s="18"/>
      <c r="M11" s="18"/>
      <c r="N11" s="18"/>
      <c r="O11" s="34" t="s">
        <v>23</v>
      </c>
      <c r="P11" s="34">
        <v>1.4</v>
      </c>
      <c r="Q11" s="17"/>
      <c r="S11" s="17"/>
      <c r="T11" s="18"/>
      <c r="U11" s="18"/>
      <c r="V11" s="18"/>
      <c r="W11" s="18"/>
      <c r="X11" s="18"/>
      <c r="Y11" s="18"/>
      <c r="Z11" s="18"/>
      <c r="AA11" s="18"/>
      <c r="AB11" s="18"/>
      <c r="AE11" s="17"/>
      <c r="AF11" s="17"/>
      <c r="AG11" s="18"/>
      <c r="AH11" s="18"/>
      <c r="AI11" s="18"/>
      <c r="AJ11" s="18"/>
      <c r="AK11" s="18"/>
      <c r="AL11" s="18"/>
      <c r="AM11" s="18"/>
      <c r="AN11" s="18"/>
      <c r="AO11" s="18"/>
      <c r="AQ11" s="17"/>
      <c r="AR11" s="17"/>
      <c r="AS11" s="17"/>
      <c r="AT11" s="17"/>
      <c r="AU11" s="17"/>
      <c r="AV11" s="17"/>
      <c r="AW11" s="17"/>
      <c r="AX11" s="18"/>
      <c r="AY11" s="18"/>
      <c r="AZ11" s="17"/>
      <c r="BA11" s="17"/>
      <c r="BB11" s="18"/>
      <c r="BC11" s="18"/>
      <c r="BD11" s="17"/>
      <c r="BE11" s="17"/>
      <c r="BF11" s="18"/>
      <c r="BG11" s="18"/>
      <c r="BH11" s="17"/>
    </row>
    <row r="12" spans="1:60" s="34" customFormat="1" x14ac:dyDescent="0.45">
      <c r="A12" s="18">
        <v>0.13495406137249566</v>
      </c>
      <c r="B12" s="34" t="s">
        <v>24</v>
      </c>
      <c r="C12" s="34">
        <v>3.5</v>
      </c>
      <c r="D12" s="14">
        <f t="shared" ref="D12:D18" si="50">C12/C$19*100</f>
        <v>4.2372881355932206</v>
      </c>
      <c r="E12" s="17">
        <f t="shared" ref="E12" si="51">C12/C$4*100</f>
        <v>15.555555555555555</v>
      </c>
      <c r="F12" s="18">
        <f t="shared" ref="F12" si="52">C12*$A12</f>
        <v>0.47233921480373481</v>
      </c>
      <c r="G12" s="15">
        <f>F12/F$19*100</f>
        <v>1.7878589288225228</v>
      </c>
      <c r="H12" s="15">
        <f t="shared" si="18"/>
        <v>3.3895547729238258</v>
      </c>
      <c r="I12" s="15">
        <v>50.625638230627715</v>
      </c>
      <c r="J12" s="44">
        <f t="shared" ref="J12" si="53">$G12/100*I12/100*100</f>
        <v>0.90511499337966628</v>
      </c>
      <c r="K12" s="15">
        <v>8.3721001054637636</v>
      </c>
      <c r="L12" s="44">
        <f t="shared" ref="L12:N12" si="54">$G12/100*K12/100*100</f>
        <v>0.14968133926549376</v>
      </c>
      <c r="M12" s="15">
        <v>0.48831674942287656</v>
      </c>
      <c r="N12" s="44">
        <f t="shared" si="54"/>
        <v>8.730414605492804E-3</v>
      </c>
      <c r="O12" s="34" t="s">
        <v>25</v>
      </c>
      <c r="P12" s="17">
        <v>6.7557499999999999</v>
      </c>
      <c r="Q12" s="14">
        <f>P12/P$19*100</f>
        <v>4.5172118089742455</v>
      </c>
      <c r="R12" s="34" t="s">
        <v>26</v>
      </c>
      <c r="S12" s="17">
        <f t="shared" ref="S12" si="55">Q12/Q$4*100</f>
        <v>15.424086757990867</v>
      </c>
      <c r="T12" s="18">
        <f t="shared" ref="T12" si="56">Q12*$A12</f>
        <v>0.6096160797008725</v>
      </c>
      <c r="U12" s="15">
        <f>T12/T$19*100</f>
        <v>1.9293146623802726</v>
      </c>
      <c r="V12" s="15">
        <f t="shared" si="22"/>
        <v>3.4470623046458337</v>
      </c>
      <c r="W12" s="15">
        <v>49.965501370840862</v>
      </c>
      <c r="X12" s="44">
        <f t="shared" ref="X12:Z12" si="57">$U12/100*W12/100*100</f>
        <v>0.96399174407944876</v>
      </c>
      <c r="Y12" s="15">
        <v>6.6852916086460477</v>
      </c>
      <c r="Z12" s="44">
        <f t="shared" si="57"/>
        <v>0.12898031122848619</v>
      </c>
      <c r="AA12" s="15">
        <v>0.41558602164141795</v>
      </c>
      <c r="AB12" s="44">
        <f t="shared" ref="AB12" si="58">$U12/100*AA12/100*100</f>
        <v>8.0179620503307292E-3</v>
      </c>
      <c r="AC12" s="34" t="s">
        <v>24</v>
      </c>
      <c r="AD12" s="34">
        <f>8.7-1.2</f>
        <v>7.4999999999999991</v>
      </c>
      <c r="AE12" s="14">
        <f t="shared" si="1"/>
        <v>5.8229813664596275</v>
      </c>
      <c r="AF12" s="17">
        <f>AD12/AD$4*100</f>
        <v>15.432098765432098</v>
      </c>
      <c r="AG12" s="18">
        <f t="shared" ref="AG12" si="59">AD12*$A12</f>
        <v>1.0121554602937173</v>
      </c>
      <c r="AH12" s="15">
        <f>AG12/AG$19*100</f>
        <v>2.6809740670876381</v>
      </c>
      <c r="AI12" s="15">
        <f t="shared" si="26"/>
        <v>4.4633934382005114</v>
      </c>
      <c r="AJ12" s="15">
        <v>46.908564712963432</v>
      </c>
      <c r="AK12" s="44">
        <f t="shared" ref="AK12:AM12" si="60">$AH12/100*AJ12/100*100</f>
        <v>1.2576064551975723</v>
      </c>
      <c r="AL12" s="15">
        <v>8.2086729329891917</v>
      </c>
      <c r="AM12" s="44">
        <f t="shared" si="60"/>
        <v>0.22007239258548245</v>
      </c>
      <c r="AN12" s="15">
        <v>0.46597639856032091</v>
      </c>
      <c r="AO12" s="44">
        <f t="shared" ref="AO12" si="61">$AH12/100*AN12/100*100</f>
        <v>1.2492706404151137E-2</v>
      </c>
      <c r="AP12" s="17">
        <f>AVERAGE(D12,Q12,AE12)</f>
        <v>4.8591604370090318</v>
      </c>
      <c r="AQ12" s="17">
        <f t="shared" ref="AQ12:AQ18" si="62">STDEV(D12,Q12,AE12)</f>
        <v>0.84634650336906014</v>
      </c>
      <c r="AR12" s="17">
        <f>AVERAGE(F12,T12,AG12)</f>
        <v>0.69803691826610825</v>
      </c>
      <c r="AS12" s="17">
        <f>AVERAGE(G12,U12,AH12)</f>
        <v>2.1327158860968112</v>
      </c>
      <c r="AT12" s="17">
        <f>STDEV(G12,U12,AH12)</f>
        <v>0.48004448325818572</v>
      </c>
      <c r="AU12" s="17">
        <f>AVERAGE(H12,V12,AI12)</f>
        <v>3.7666701719233906</v>
      </c>
      <c r="AV12" s="17">
        <f t="shared" si="29"/>
        <v>29.555427301652376</v>
      </c>
      <c r="AW12" s="17">
        <f>AVERAGE(I12,W12,AJ12)</f>
        <v>49.166568104810665</v>
      </c>
      <c r="AX12" s="18">
        <f>(AW12/100)*(AS12/100)*100</f>
        <v>1.0485832086199047</v>
      </c>
      <c r="AY12" s="18">
        <f>($AU12/100)*(AW12/100)*100</f>
        <v>1.851942455362303</v>
      </c>
      <c r="AZ12" s="18">
        <f t="shared" si="31"/>
        <v>14.531389292934721</v>
      </c>
      <c r="BA12" s="17">
        <f>AVERAGE(K12,Y12,AL12)</f>
        <v>7.7553548823663343</v>
      </c>
      <c r="BB12" s="18">
        <f>(BA12/100)*(AS12/100)*100</f>
        <v>0.16539968559941148</v>
      </c>
      <c r="BC12" s="18">
        <f>($AU12/100)*(BA12/100)*100</f>
        <v>0.29211863908089708</v>
      </c>
      <c r="BD12" s="18">
        <f t="shared" si="32"/>
        <v>2.2921282742429305</v>
      </c>
      <c r="BE12" s="17">
        <f>AVERAGE(M12,AA12,AN12)</f>
        <v>0.45662638987487175</v>
      </c>
      <c r="BF12" s="18">
        <f>(BE12/100)*(AS12/100)*100</f>
        <v>9.7385435569717523E-3</v>
      </c>
      <c r="BG12" s="18">
        <f>($AU12/100)*(BE12/100)*100</f>
        <v>1.7199610024547406E-2</v>
      </c>
      <c r="BH12" s="18">
        <f t="shared" si="33"/>
        <v>0.1349578806996275</v>
      </c>
    </row>
    <row r="13" spans="1:60" s="34" customFormat="1" x14ac:dyDescent="0.45">
      <c r="A13" s="18"/>
      <c r="B13" s="34" t="s">
        <v>27</v>
      </c>
      <c r="C13" s="34">
        <v>15</v>
      </c>
      <c r="D13" s="14">
        <f t="shared" si="50"/>
        <v>18.159806295399516</v>
      </c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34" t="s">
        <v>27</v>
      </c>
      <c r="P13" s="34">
        <v>30</v>
      </c>
      <c r="Q13" s="14">
        <f t="shared" ref="Q13:Q18" si="63">P13/P$19*100</f>
        <v>20.059409283828941</v>
      </c>
      <c r="S13" s="17"/>
      <c r="T13" s="18"/>
      <c r="U13" s="18"/>
      <c r="V13" s="18"/>
      <c r="W13" s="18"/>
      <c r="X13" s="18"/>
      <c r="Y13" s="18"/>
      <c r="Z13" s="18"/>
      <c r="AA13" s="18"/>
      <c r="AB13" s="18"/>
      <c r="AC13" s="34" t="s">
        <v>27</v>
      </c>
      <c r="AD13" s="34">
        <f>34.4-1.2</f>
        <v>33.199999999999996</v>
      </c>
      <c r="AE13" s="14">
        <f t="shared" si="1"/>
        <v>25.77639751552795</v>
      </c>
      <c r="AF13" s="17"/>
      <c r="AG13" s="18"/>
      <c r="AH13" s="18"/>
      <c r="AI13" s="18"/>
      <c r="AJ13" s="18"/>
      <c r="AK13" s="18"/>
      <c r="AL13" s="18"/>
      <c r="AM13" s="18"/>
      <c r="AN13" s="18"/>
      <c r="AO13" s="18"/>
      <c r="AP13" s="17">
        <f t="shared" ref="AP13:AP18" si="64">AVERAGE(D13,Q13,AE13)</f>
        <v>21.331871031585468</v>
      </c>
      <c r="AQ13" s="17">
        <f t="shared" si="62"/>
        <v>3.9645282983303485</v>
      </c>
      <c r="AR13" s="17"/>
      <c r="AS13" s="17"/>
      <c r="AT13" s="17"/>
      <c r="AU13" s="17"/>
      <c r="AV13" s="17"/>
      <c r="AW13" s="17"/>
      <c r="AX13" s="18"/>
      <c r="AY13" s="18"/>
      <c r="AZ13" s="17"/>
      <c r="BA13" s="17"/>
      <c r="BB13" s="18"/>
      <c r="BC13" s="18"/>
      <c r="BD13" s="17"/>
      <c r="BE13" s="17"/>
      <c r="BF13" s="18"/>
      <c r="BG13" s="18"/>
      <c r="BH13" s="17"/>
    </row>
    <row r="14" spans="1:60" s="34" customFormat="1" x14ac:dyDescent="0.45">
      <c r="A14" s="18">
        <v>0.19026189278068018</v>
      </c>
      <c r="B14" s="34" t="s">
        <v>28</v>
      </c>
      <c r="C14" s="34">
        <v>2.4</v>
      </c>
      <c r="D14" s="14">
        <f t="shared" si="50"/>
        <v>2.9055690072639226</v>
      </c>
      <c r="E14" s="17">
        <f t="shared" ref="E14" si="65">C14/C$4*100</f>
        <v>10.666666666666666</v>
      </c>
      <c r="F14" s="18">
        <f t="shared" ref="F14:F18" si="66">C14*$A14</f>
        <v>0.4566285426736324</v>
      </c>
      <c r="G14" s="15">
        <f t="shared" ref="G14:G18" si="67">F14/F$19*100</f>
        <v>1.7283922054057976</v>
      </c>
      <c r="H14" s="15">
        <f t="shared" si="18"/>
        <v>3.2768133742945431</v>
      </c>
      <c r="I14" s="15">
        <v>44.737505384388577</v>
      </c>
      <c r="J14" s="44">
        <f t="shared" ref="J14" si="68">$G14/100*I14/100*100</f>
        <v>0.77323955595677119</v>
      </c>
      <c r="K14" s="15">
        <v>13.083112724776996</v>
      </c>
      <c r="L14" s="44">
        <f t="shared" ref="L14:N18" si="69">$G14/100*K14/100*100</f>
        <v>0.22612750055949968</v>
      </c>
      <c r="M14" s="15">
        <v>0.50972684383387901</v>
      </c>
      <c r="N14" s="44">
        <f t="shared" si="69"/>
        <v>8.8100790376857471E-3</v>
      </c>
      <c r="O14" s="34" t="s">
        <v>28</v>
      </c>
      <c r="P14" s="34">
        <v>4.2</v>
      </c>
      <c r="Q14" s="14">
        <f t="shared" si="63"/>
        <v>2.8083172997360522</v>
      </c>
      <c r="S14" s="17">
        <f t="shared" ref="S14" si="70">Q14/Q$4*100</f>
        <v>9.5890410958904138</v>
      </c>
      <c r="T14" s="18">
        <f t="shared" ref="T14" si="71">Q14*$A14</f>
        <v>0.53431576497651001</v>
      </c>
      <c r="U14" s="15">
        <f t="shared" ref="U14:U18" si="72">T14/T$19*100</f>
        <v>1.6910040171773986</v>
      </c>
      <c r="V14" s="15">
        <f t="shared" si="22"/>
        <v>3.0212781348094979</v>
      </c>
      <c r="W14" s="15">
        <v>47.091606811403885</v>
      </c>
      <c r="X14" s="44">
        <f t="shared" ref="X14:Z18" si="73">$U14/100*W14/100*100</f>
        <v>0.79632096293422505</v>
      </c>
      <c r="Y14" s="15">
        <v>12.475424768999771</v>
      </c>
      <c r="Z14" s="44">
        <f t="shared" si="73"/>
        <v>0.21095993400373031</v>
      </c>
      <c r="AA14" s="15">
        <v>0.40004514025941518</v>
      </c>
      <c r="AB14" s="44">
        <f t="shared" ref="AB14" si="74">$U14/100*AA14/100*100</f>
        <v>6.7647793923096694E-3</v>
      </c>
      <c r="AC14" s="34" t="s">
        <v>28</v>
      </c>
      <c r="AD14" s="34">
        <f>6.4-1.2</f>
        <v>5.2</v>
      </c>
      <c r="AE14" s="14">
        <f t="shared" si="1"/>
        <v>4.0372670807453419</v>
      </c>
      <c r="AF14" s="17">
        <f t="shared" ref="AF14" si="75">AD14/AD$4*100</f>
        <v>10.699588477366257</v>
      </c>
      <c r="AG14" s="18">
        <f t="shared" ref="AG14" si="76">AD14*$A14</f>
        <v>0.98936184245953696</v>
      </c>
      <c r="AH14" s="15">
        <f t="shared" ref="AH14:AH18" si="77">AG14/AG$19*100</f>
        <v>2.6205988572450609</v>
      </c>
      <c r="AI14" s="15">
        <f t="shared" si="26"/>
        <v>4.3628783609569348</v>
      </c>
      <c r="AJ14" s="15">
        <v>47.423289452489172</v>
      </c>
      <c r="AK14" s="44">
        <f t="shared" ref="AK14:AM18" si="78">$AH14/100*AJ14/100*100</f>
        <v>1.2427741814599489</v>
      </c>
      <c r="AL14" s="15">
        <v>11.132074323294752</v>
      </c>
      <c r="AM14" s="44">
        <f t="shared" si="78"/>
        <v>0.29172701250393313</v>
      </c>
      <c r="AN14" s="15">
        <v>0.51046608487799394</v>
      </c>
      <c r="AO14" s="44">
        <f t="shared" ref="AO14" si="79">$AH14/100*AN14/100*100</f>
        <v>1.3377268386936312E-2</v>
      </c>
      <c r="AP14" s="17">
        <f t="shared" si="64"/>
        <v>3.2503844625817719</v>
      </c>
      <c r="AQ14" s="17">
        <f t="shared" si="62"/>
        <v>0.68319299230176678</v>
      </c>
      <c r="AR14" s="17">
        <f t="shared" ref="AR14:AR18" si="80">AVERAGE(F14,T14,AG14)</f>
        <v>0.66010205003655986</v>
      </c>
      <c r="AS14" s="17">
        <f t="shared" ref="AS14:AS17" si="81">AVERAGE(G14,U14,AH14)</f>
        <v>2.0133316932760859</v>
      </c>
      <c r="AT14" s="17">
        <f>STDEV(G14,U14,AH14)</f>
        <v>0.52624093862122057</v>
      </c>
      <c r="AU14" s="17">
        <f>AVERAGE(H14,V14,AI14)</f>
        <v>3.5536566233536586</v>
      </c>
      <c r="AV14" s="17">
        <f t="shared" si="29"/>
        <v>27.949235407187622</v>
      </c>
      <c r="AW14" s="17">
        <f>AVERAGE(I14,W14,AJ14)</f>
        <v>46.417467216093883</v>
      </c>
      <c r="AX14" s="18">
        <f>(AW14/100)*(AS14/100)*100</f>
        <v>0.93453757867765519</v>
      </c>
      <c r="AY14" s="18">
        <f>($AU14/100)*(AW14/100)*100</f>
        <v>1.6495173981177331</v>
      </c>
      <c r="AZ14" s="18">
        <f t="shared" si="31"/>
        <v>12.973327182280217</v>
      </c>
      <c r="BA14" s="17">
        <f>AVERAGE(K14,Y14,AL14)</f>
        <v>12.23020393902384</v>
      </c>
      <c r="BB14" s="18">
        <f>(BA14/100)*(AS14/100)*100</f>
        <v>0.24623457205666727</v>
      </c>
      <c r="BC14" s="18">
        <f t="shared" ref="BC14:BC15" si="82">($AU14/100)*(BA14/100)*100</f>
        <v>0.43461945232878074</v>
      </c>
      <c r="BD14" s="18">
        <f t="shared" si="32"/>
        <v>3.4182484896969059</v>
      </c>
      <c r="BE14" s="17">
        <f>AVERAGE(M14,AA14,AN14)</f>
        <v>0.47341268965709604</v>
      </c>
      <c r="BF14" s="18">
        <f>(BE14/100)*(AS14/100)*100</f>
        <v>9.5313677208570743E-3</v>
      </c>
      <c r="BG14" s="18">
        <f t="shared" ref="BG14:BG15" si="83">($AU14/100)*(BE14/100)*100</f>
        <v>1.6823461401796094E-2</v>
      </c>
      <c r="BH14" s="18">
        <f t="shared" si="33"/>
        <v>0.13231522707976034</v>
      </c>
    </row>
    <row r="15" spans="1:60" s="34" customFormat="1" x14ac:dyDescent="0.45">
      <c r="A15" s="18">
        <v>0.21130129449898372</v>
      </c>
      <c r="B15" s="34" t="s">
        <v>29</v>
      </c>
      <c r="C15" s="34">
        <f>C13-C14</f>
        <v>12.6</v>
      </c>
      <c r="D15" s="14">
        <f t="shared" si="50"/>
        <v>15.254237288135593</v>
      </c>
      <c r="E15" s="17">
        <f>C15/C$4*100</f>
        <v>55.999999999999993</v>
      </c>
      <c r="F15" s="18">
        <f>C15*$A15</f>
        <v>2.6623963106871948</v>
      </c>
      <c r="G15" s="15">
        <f t="shared" si="67"/>
        <v>10.077480054464891</v>
      </c>
      <c r="H15" s="15">
        <f t="shared" si="18"/>
        <v>19.105629681952905</v>
      </c>
      <c r="I15" s="15">
        <v>42.149157312456254</v>
      </c>
      <c r="J15" s="44">
        <f t="shared" ref="J15" si="84">$G15/100*I15/100*100</f>
        <v>4.2475729212878086</v>
      </c>
      <c r="K15" s="15">
        <v>2.0754896350697956</v>
      </c>
      <c r="L15" s="44">
        <f t="shared" si="69"/>
        <v>0.20915705400664483</v>
      </c>
      <c r="M15" s="15">
        <v>0.6266531800091889</v>
      </c>
      <c r="N15" s="44">
        <f t="shared" si="69"/>
        <v>6.3150849226095984E-2</v>
      </c>
      <c r="O15" s="34" t="s">
        <v>29</v>
      </c>
      <c r="P15" s="34">
        <v>25.8</v>
      </c>
      <c r="Q15" s="14">
        <f t="shared" si="63"/>
        <v>17.251091984092888</v>
      </c>
      <c r="S15" s="17">
        <f>Q15/Q$4*100</f>
        <v>58.904109589041084</v>
      </c>
      <c r="T15" s="18">
        <f>Q15*$A15</f>
        <v>3.6451780677598684</v>
      </c>
      <c r="U15" s="15">
        <f t="shared" si="72"/>
        <v>11.536269674131496</v>
      </c>
      <c r="V15" s="15">
        <f t="shared" si="22"/>
        <v>20.611588718693692</v>
      </c>
      <c r="W15" s="15">
        <v>42.255426455294817</v>
      </c>
      <c r="X15" s="44">
        <f t="shared" si="73"/>
        <v>4.8746999478371134</v>
      </c>
      <c r="Y15" s="15">
        <v>2.1087921251788413</v>
      </c>
      <c r="Z15" s="44">
        <f t="shared" si="73"/>
        <v>0.24327594642747979</v>
      </c>
      <c r="AA15" s="15">
        <v>0.49840261891851528</v>
      </c>
      <c r="AB15" s="44">
        <f t="shared" ref="AB15" si="85">$U15/100*AA15/100*100</f>
        <v>5.7497070181373851E-2</v>
      </c>
      <c r="AC15" s="34" t="s">
        <v>29</v>
      </c>
      <c r="AD15" s="34">
        <f>AD13-AD14</f>
        <v>27.999999999999996</v>
      </c>
      <c r="AE15" s="14">
        <f t="shared" si="1"/>
        <v>21.739130434782609</v>
      </c>
      <c r="AF15" s="17">
        <f>AD15/AD$4*100</f>
        <v>57.613168724279838</v>
      </c>
      <c r="AG15" s="18">
        <f>AD15*$A15</f>
        <v>5.9164362459715436</v>
      </c>
      <c r="AH15" s="15">
        <f t="shared" si="77"/>
        <v>15.671320036572356</v>
      </c>
      <c r="AI15" s="15">
        <f t="shared" si="26"/>
        <v>26.090243795293954</v>
      </c>
      <c r="AJ15" s="15">
        <v>40.087137338033813</v>
      </c>
      <c r="AK15" s="44">
        <f t="shared" si="78"/>
        <v>6.2821835857435708</v>
      </c>
      <c r="AL15" s="15">
        <v>1.8039361016016897</v>
      </c>
      <c r="AM15" s="44">
        <f t="shared" si="78"/>
        <v>0.28270059973726785</v>
      </c>
      <c r="AN15" s="15">
        <v>0.53124374389845885</v>
      </c>
      <c r="AO15" s="44">
        <f t="shared" ref="AO15" si="86">$AH15/100*AN15/100*100</f>
        <v>8.3252907280596311E-2</v>
      </c>
      <c r="AP15" s="17">
        <f>AVERAGE(D15,Q15,AE15)</f>
        <v>18.081486569003697</v>
      </c>
      <c r="AQ15" s="17">
        <f>STDEV(D15,Q15,AE15)</f>
        <v>3.321238647830699</v>
      </c>
      <c r="AR15" s="17">
        <f t="shared" si="80"/>
        <v>4.0746702081395361</v>
      </c>
      <c r="AS15" s="17">
        <f t="shared" si="81"/>
        <v>12.428356588389581</v>
      </c>
      <c r="AT15" s="17">
        <f>STDEV(G15,U15,AH15)</f>
        <v>2.9016591345812635</v>
      </c>
      <c r="AU15" s="17">
        <f>AVERAGE(H15,V15,AI15)</f>
        <v>21.935820731980186</v>
      </c>
      <c r="AV15" s="17"/>
      <c r="AW15" s="17">
        <f>AVERAGE(I15,W15,AJ15)</f>
        <v>41.497240368594959</v>
      </c>
      <c r="AX15" s="18">
        <f>(AW15/100)*(AS15/100)*100</f>
        <v>5.1574250073501329</v>
      </c>
      <c r="AY15" s="18">
        <f>($AU15/100)*(AW15/100)*100</f>
        <v>9.1027602559739034</v>
      </c>
      <c r="AZ15" s="17"/>
      <c r="BA15" s="17">
        <f>AVERAGE(K15,Y15,AL15)</f>
        <v>1.9960726206167756</v>
      </c>
      <c r="BB15" s="18">
        <f>(BA15/100)*(AS15/100)*100</f>
        <v>0.2480790230534656</v>
      </c>
      <c r="BC15" s="18">
        <f t="shared" si="82"/>
        <v>0.43785491173863478</v>
      </c>
      <c r="BD15" s="17"/>
      <c r="BE15" s="17">
        <f>AVERAGE(M15,AA15,AN15)</f>
        <v>0.55209984760872099</v>
      </c>
      <c r="BF15" s="18">
        <f>(BE15/100)*(AS15/100)*100</f>
        <v>6.861693778476731E-2</v>
      </c>
      <c r="BG15" s="18">
        <f t="shared" si="83"/>
        <v>0.12110763283298483</v>
      </c>
      <c r="BH15" s="17"/>
    </row>
    <row r="16" spans="1:60" s="41" customFormat="1" x14ac:dyDescent="0.45">
      <c r="A16" s="40">
        <v>0.68219268511051612</v>
      </c>
      <c r="B16" s="41" t="s">
        <v>30</v>
      </c>
      <c r="C16" s="41">
        <v>18.3</v>
      </c>
      <c r="D16" s="42">
        <f>C16/C$19*100</f>
        <v>22.154963680387414</v>
      </c>
      <c r="E16" s="43"/>
      <c r="F16" s="40">
        <f t="shared" si="66"/>
        <v>12.484126137522445</v>
      </c>
      <c r="G16" s="44">
        <f t="shared" si="67"/>
        <v>47.253871124781433</v>
      </c>
      <c r="H16" s="44"/>
      <c r="I16" s="44">
        <v>18.112868301154965</v>
      </c>
      <c r="J16" s="44">
        <f t="shared" ref="J16" si="87">$G16/100*I16/100*100</f>
        <v>8.5590314440291557</v>
      </c>
      <c r="K16" s="44">
        <v>4.9337856369644779</v>
      </c>
      <c r="L16" s="44">
        <f t="shared" si="69"/>
        <v>2.3314047064641712</v>
      </c>
      <c r="M16" s="44">
        <v>10.583521762256986</v>
      </c>
      <c r="N16" s="44">
        <f t="shared" si="69"/>
        <v>5.0011237340001129</v>
      </c>
      <c r="O16" s="41" t="s">
        <v>30</v>
      </c>
      <c r="P16" s="41">
        <v>30.5</v>
      </c>
      <c r="Q16" s="42">
        <f t="shared" si="63"/>
        <v>20.393732771892758</v>
      </c>
      <c r="S16" s="43"/>
      <c r="T16" s="40">
        <f t="shared" ref="T16:T18" si="88">Q16*$A16</f>
        <v>13.912455319083849</v>
      </c>
      <c r="U16" s="44">
        <f>T16/T$19*100</f>
        <v>44.030177238745935</v>
      </c>
      <c r="V16" s="44"/>
      <c r="W16" s="45">
        <v>27.882880157257159</v>
      </c>
      <c r="X16" s="44">
        <f t="shared" si="73"/>
        <v>12.276881552507449</v>
      </c>
      <c r="Y16" s="45">
        <v>4.037327222331605</v>
      </c>
      <c r="Z16" s="44">
        <f t="shared" si="73"/>
        <v>1.7776423317007441</v>
      </c>
      <c r="AA16" s="45">
        <v>8.4569849633029079</v>
      </c>
      <c r="AB16" s="44">
        <f t="shared" ref="AB16" si="89">$U16/100*AA16/100*100</f>
        <v>3.7236254683963641</v>
      </c>
      <c r="AC16" s="41" t="s">
        <v>30</v>
      </c>
      <c r="AD16" s="41">
        <f>12.6+9.5</f>
        <v>22.1</v>
      </c>
      <c r="AE16" s="42">
        <f t="shared" si="1"/>
        <v>17.158385093167706</v>
      </c>
      <c r="AF16" s="43"/>
      <c r="AG16" s="40">
        <f t="shared" ref="AG16:AG18" si="90">AD16*$A16</f>
        <v>15.076458340942407</v>
      </c>
      <c r="AH16" s="44">
        <f>AG16/AG$19*100</f>
        <v>39.93417555032935</v>
      </c>
      <c r="AI16" s="44"/>
      <c r="AJ16" s="44">
        <v>26.095937469494739</v>
      </c>
      <c r="AK16" s="44">
        <f t="shared" si="78"/>
        <v>10.421197480572204</v>
      </c>
      <c r="AL16" s="44">
        <v>5.3940731875556436</v>
      </c>
      <c r="AM16" s="44">
        <f t="shared" si="78"/>
        <v>2.1540786560317167</v>
      </c>
      <c r="AN16" s="44">
        <v>8.3635306799564813</v>
      </c>
      <c r="AO16" s="44">
        <f t="shared" ref="AO16" si="91">$AH16/100*AN16/100*100</f>
        <v>3.339907023939475</v>
      </c>
      <c r="AP16" s="43">
        <f t="shared" si="64"/>
        <v>19.902360515149294</v>
      </c>
      <c r="AQ16" s="43">
        <f t="shared" si="62"/>
        <v>2.5342719695384965</v>
      </c>
      <c r="AR16" s="43">
        <f t="shared" si="80"/>
        <v>13.824346599182901</v>
      </c>
      <c r="AS16" s="43">
        <f>AVERAGE(G16,U16,AH16)</f>
        <v>43.739407971285573</v>
      </c>
      <c r="AT16" s="43">
        <f>STDEV(G16,U16,AH16)</f>
        <v>3.668500497592706</v>
      </c>
      <c r="AU16" s="43"/>
      <c r="AV16" s="43"/>
      <c r="AW16" s="43">
        <f>AVERAGE(I16,W16,AJ16)</f>
        <v>24.030561975968954</v>
      </c>
      <c r="AX16" s="40">
        <f>(AW16/100)*(AS16/100)*100</f>
        <v>10.510825540461683</v>
      </c>
      <c r="AY16" s="40"/>
      <c r="AZ16" s="43"/>
      <c r="BA16" s="43">
        <f>AVERAGE(K16,Y16,AL16)</f>
        <v>4.7883953489505755</v>
      </c>
      <c r="BB16" s="40">
        <f>(BA16/100)*(AS16/100)*100</f>
        <v>2.0944157769555556</v>
      </c>
      <c r="BC16" s="40"/>
      <c r="BD16" s="43"/>
      <c r="BE16" s="43">
        <f>AVERAGE(M16,AA16,AN16)</f>
        <v>9.1346791351721262</v>
      </c>
      <c r="BF16" s="40">
        <f>(BE16/100)*(AS16/100)*100</f>
        <v>3.9954545738008371</v>
      </c>
      <c r="BG16" s="40"/>
      <c r="BH16" s="43"/>
    </row>
    <row r="17" spans="1:60" s="34" customFormat="1" x14ac:dyDescent="0.45">
      <c r="A17" s="18">
        <v>0.37999169223890972</v>
      </c>
      <c r="B17" s="34" t="s">
        <v>31</v>
      </c>
      <c r="C17" s="34">
        <v>6.9</v>
      </c>
      <c r="D17" s="14">
        <f t="shared" si="50"/>
        <v>8.3535108958837778</v>
      </c>
      <c r="E17" s="17"/>
      <c r="F17" s="18">
        <f t="shared" si="66"/>
        <v>2.621942676448477</v>
      </c>
      <c r="G17" s="15">
        <f t="shared" si="67"/>
        <v>9.9243583383120928</v>
      </c>
      <c r="H17" s="15">
        <f t="shared" si="18"/>
        <v>18.815330243078378</v>
      </c>
      <c r="I17" s="15">
        <v>42.387094941134073</v>
      </c>
      <c r="J17" s="44">
        <f t="shared" ref="J17" si="92">$G17/100*I17/100*100</f>
        <v>4.2066471911587033</v>
      </c>
      <c r="K17" s="15">
        <v>15.067097869504757</v>
      </c>
      <c r="L17" s="44">
        <f t="shared" si="69"/>
        <v>1.4953127837538391</v>
      </c>
      <c r="M17" s="15">
        <v>0.1579491097368462</v>
      </c>
      <c r="N17" s="44">
        <f t="shared" si="69"/>
        <v>1.5675435642458414E-2</v>
      </c>
      <c r="O17" s="34" t="s">
        <v>31</v>
      </c>
      <c r="P17" s="34">
        <v>16.399999999999999</v>
      </c>
      <c r="Q17" s="14">
        <f t="shared" si="63"/>
        <v>10.965810408493153</v>
      </c>
      <c r="S17" s="17"/>
      <c r="T17" s="18">
        <f t="shared" si="88"/>
        <v>4.1669168538943628</v>
      </c>
      <c r="U17" s="15">
        <f t="shared" si="72"/>
        <v>13.187470033734355</v>
      </c>
      <c r="V17" s="15">
        <f t="shared" si="22"/>
        <v>23.561750570458436</v>
      </c>
      <c r="W17" s="15">
        <v>43.281296503667335</v>
      </c>
      <c r="X17" s="44">
        <f t="shared" si="73"/>
        <v>5.7077080066328447</v>
      </c>
      <c r="Y17" s="15">
        <v>14.211536903030131</v>
      </c>
      <c r="Z17" s="44">
        <f t="shared" si="73"/>
        <v>1.8741421704201979</v>
      </c>
      <c r="AA17" s="15">
        <v>0.17326893538315077</v>
      </c>
      <c r="AB17" s="44">
        <f t="shared" ref="AB17" si="93">$U17/100*AA17/100*100</f>
        <v>2.2849788931423552E-2</v>
      </c>
      <c r="AC17" s="34" t="s">
        <v>31</v>
      </c>
      <c r="AD17" s="34">
        <v>9.6</v>
      </c>
      <c r="AE17" s="14">
        <f t="shared" si="1"/>
        <v>7.4534161490683228</v>
      </c>
      <c r="AF17" s="17"/>
      <c r="AG17" s="18">
        <f t="shared" si="90"/>
        <v>3.6479202454935331</v>
      </c>
      <c r="AH17" s="15">
        <f t="shared" si="77"/>
        <v>9.6625271123213441</v>
      </c>
      <c r="AI17" s="15">
        <f t="shared" si="26"/>
        <v>16.086563700490963</v>
      </c>
      <c r="AJ17" s="15">
        <v>43.510072532964443</v>
      </c>
      <c r="AK17" s="44">
        <f t="shared" si="78"/>
        <v>4.2041725550883715</v>
      </c>
      <c r="AL17" s="15">
        <v>14.273897757963825</v>
      </c>
      <c r="AM17" s="44">
        <f t="shared" si="78"/>
        <v>1.3792192408482831</v>
      </c>
      <c r="AN17" s="15">
        <v>0.16842134523904004</v>
      </c>
      <c r="AO17" s="44">
        <f t="shared" ref="AO17" si="94">$AH17/100*AN17/100*100</f>
        <v>1.6273758146658577E-2</v>
      </c>
      <c r="AP17" s="17">
        <f t="shared" si="64"/>
        <v>8.9242458178150841</v>
      </c>
      <c r="AQ17" s="17">
        <f t="shared" si="62"/>
        <v>1.8244265185926518</v>
      </c>
      <c r="AR17" s="17">
        <f t="shared" si="80"/>
        <v>3.4789265919454579</v>
      </c>
      <c r="AS17" s="17">
        <f t="shared" si="81"/>
        <v>10.924785161455929</v>
      </c>
      <c r="AT17" s="17">
        <f>STDEV(G17,U17,AH17)</f>
        <v>1.9639108994947412</v>
      </c>
      <c r="AU17" s="17">
        <f>AVERAGE(H17,V17,AI17)</f>
        <v>19.487881504675926</v>
      </c>
      <c r="AV17" s="17"/>
      <c r="AW17" s="17">
        <f>AVERAGE(I17,W17,AJ17)</f>
        <v>43.059487992588622</v>
      </c>
      <c r="AX17" s="18">
        <f>(AW17/100)*(AS17/100)*100</f>
        <v>4.7041565548132196</v>
      </c>
      <c r="AY17" s="18">
        <f>($AU17/100)*(AW17/100)*100</f>
        <v>8.3913819965158289</v>
      </c>
      <c r="AZ17" s="17"/>
      <c r="BA17" s="17">
        <f>AVERAGE(K17,Y17,AL17)</f>
        <v>14.51751084349957</v>
      </c>
      <c r="BB17" s="18">
        <f>(BA17/100)*(AS17/100)*100</f>
        <v>1.5860068704433967</v>
      </c>
      <c r="BC17" s="18">
        <f t="shared" ref="BC17:BC18" si="95">($AU17/100)*(BA17/100)*100</f>
        <v>2.8291553106096745</v>
      </c>
      <c r="BD17" s="17"/>
      <c r="BE17" s="17">
        <f>AVERAGE(M17,AA17,AN17)</f>
        <v>0.16654646345301236</v>
      </c>
      <c r="BF17" s="18">
        <f>(BE17/100)*(AS17/100)*100</f>
        <v>1.8194843326244318E-2</v>
      </c>
      <c r="BG17" s="18">
        <f t="shared" ref="BG17:BG18" si="96">($AU17/100)*(BE17/100)*100</f>
        <v>3.2456377447951441E-2</v>
      </c>
      <c r="BH17" s="17"/>
    </row>
    <row r="18" spans="1:60" s="34" customFormat="1" x14ac:dyDescent="0.45">
      <c r="A18" s="18">
        <v>0.19887093250697066</v>
      </c>
      <c r="B18" s="34" t="s">
        <v>32</v>
      </c>
      <c r="C18" s="34">
        <v>35.1</v>
      </c>
      <c r="D18" s="14">
        <f t="shared" si="50"/>
        <v>42.493946731234871</v>
      </c>
      <c r="E18" s="17"/>
      <c r="F18" s="18">
        <f t="shared" si="66"/>
        <v>6.9803697309946706</v>
      </c>
      <c r="G18" s="15">
        <f t="shared" si="67"/>
        <v>26.4215122498921</v>
      </c>
      <c r="H18" s="15">
        <f t="shared" si="18"/>
        <v>50.091850934496883</v>
      </c>
      <c r="I18" s="15">
        <v>45.618711186384509</v>
      </c>
      <c r="J18" s="44">
        <f t="shared" ref="J18" si="97">$G18/100*I18/100*100</f>
        <v>12.053153364353481</v>
      </c>
      <c r="K18" s="15">
        <v>13.939008551022079</v>
      </c>
      <c r="L18" s="44">
        <f t="shared" si="69"/>
        <v>3.6828968518218055</v>
      </c>
      <c r="M18" s="15">
        <v>0.3477024442970868</v>
      </c>
      <c r="N18" s="44">
        <f t="shared" si="69"/>
        <v>9.1868243913129033E-2</v>
      </c>
      <c r="O18" s="34" t="s">
        <v>32</v>
      </c>
      <c r="P18" s="34">
        <v>59.6</v>
      </c>
      <c r="Q18" s="14">
        <f t="shared" si="63"/>
        <v>39.851359777206831</v>
      </c>
      <c r="S18" s="17"/>
      <c r="T18" s="18">
        <f t="shared" si="88"/>
        <v>7.9252770805639052</v>
      </c>
      <c r="U18" s="15">
        <f t="shared" si="72"/>
        <v>25.081938918771566</v>
      </c>
      <c r="V18" s="15">
        <f t="shared" si="22"/>
        <v>44.81332561255654</v>
      </c>
      <c r="W18" s="15">
        <v>43.890890672811395</v>
      </c>
      <c r="X18" s="44">
        <f t="shared" si="73"/>
        <v>11.008686389459362</v>
      </c>
      <c r="Y18" s="15">
        <v>12.860652099117338</v>
      </c>
      <c r="Z18" s="44">
        <f t="shared" si="73"/>
        <v>3.2257009040563243</v>
      </c>
      <c r="AA18" s="15">
        <v>0.26006521927882448</v>
      </c>
      <c r="AB18" s="44">
        <f t="shared" ref="AB18" si="98">$U18/100*AA18/100*100</f>
        <v>6.5229399448484091E-2</v>
      </c>
      <c r="AC18" s="34" t="s">
        <v>32</v>
      </c>
      <c r="AD18" s="34">
        <f>24.6+23.9</f>
        <v>48.5</v>
      </c>
      <c r="AE18" s="14">
        <f>AD18/AD$19*100</f>
        <v>37.655279503105596</v>
      </c>
      <c r="AF18" s="17"/>
      <c r="AG18" s="18">
        <f t="shared" si="90"/>
        <v>9.6452402265880774</v>
      </c>
      <c r="AH18" s="15">
        <f t="shared" si="77"/>
        <v>25.548090123239781</v>
      </c>
      <c r="AI18" s="15">
        <f t="shared" si="26"/>
        <v>42.53348781493311</v>
      </c>
      <c r="AJ18" s="15">
        <v>47.330693464830169</v>
      </c>
      <c r="AK18" s="44">
        <f t="shared" si="78"/>
        <v>12.092088222349172</v>
      </c>
      <c r="AL18" s="15">
        <v>14.181404904006484</v>
      </c>
      <c r="AM18" s="44">
        <f t="shared" si="78"/>
        <v>3.6230781056171226</v>
      </c>
      <c r="AN18" s="15">
        <v>0.30538061022391244</v>
      </c>
      <c r="AO18" s="44">
        <f t="shared" ref="AO18" si="99">$AH18/100*AN18/100*100</f>
        <v>7.8018913518904748E-2</v>
      </c>
      <c r="AP18" s="17">
        <f t="shared" si="64"/>
        <v>40.000195337182426</v>
      </c>
      <c r="AQ18" s="17">
        <f t="shared" si="62"/>
        <v>2.4227647748136834</v>
      </c>
      <c r="AR18" s="17">
        <f t="shared" si="80"/>
        <v>8.1836290127155511</v>
      </c>
      <c r="AS18" s="17">
        <f>AVERAGE(G18,U18,AH18)</f>
        <v>25.68384709730115</v>
      </c>
      <c r="AT18" s="17">
        <f>STDEV(G18,U18,AH18)</f>
        <v>0.68002694385374518</v>
      </c>
      <c r="AU18" s="17">
        <f>AVERAGE(H18,V18,AI18)</f>
        <v>45.812888120662173</v>
      </c>
      <c r="AV18" s="17"/>
      <c r="AW18" s="17">
        <f>AVERAGE(I18,W18,AJ18)</f>
        <v>45.613431774675355</v>
      </c>
      <c r="AX18" s="18">
        <f>(AW18/100)*(AS18/100)*100</f>
        <v>11.715284072839397</v>
      </c>
      <c r="AY18" s="18">
        <f>($AU18/100)*(AW18/100)*100</f>
        <v>20.896830466926591</v>
      </c>
      <c r="AZ18" s="17"/>
      <c r="BA18" s="17">
        <f>AVERAGE(K18,Y18,AL18)</f>
        <v>13.6603551847153</v>
      </c>
      <c r="BB18" s="18">
        <f>(BA18/100)*(AS18/100)*100</f>
        <v>3.5085047385905272</v>
      </c>
      <c r="BC18" s="18">
        <f t="shared" si="95"/>
        <v>6.2582032376586954</v>
      </c>
      <c r="BD18" s="17"/>
      <c r="BE18" s="17">
        <f>AVERAGE(M18,AA18,AN18)</f>
        <v>0.30438275793327457</v>
      </c>
      <c r="BF18" s="18">
        <f>(BE18/100)*(AS18/100)*100</f>
        <v>7.8177202138130522E-2</v>
      </c>
      <c r="BG18" s="18">
        <f t="shared" si="96"/>
        <v>0.13944653235055704</v>
      </c>
      <c r="BH18" s="17"/>
    </row>
    <row r="19" spans="1:60" s="34" customFormat="1" x14ac:dyDescent="0.45">
      <c r="A19" s="18">
        <f>AVERAGE(C22,P22,AD22)</f>
        <v>0.27474578277875344</v>
      </c>
      <c r="B19" s="34" t="s">
        <v>33</v>
      </c>
      <c r="C19" s="34">
        <f>SUM(C5:C9,C12,C14:C18)</f>
        <v>82.6</v>
      </c>
      <c r="D19" s="17">
        <f>SUM(D5:D9,D12,D14:D18)</f>
        <v>100</v>
      </c>
      <c r="E19" s="17">
        <f>SUM(E4:E18)</f>
        <v>99.1111111111111</v>
      </c>
      <c r="F19" s="18">
        <f>SUM(F14:F18,F12,F5:F9)</f>
        <v>26.419266486244283</v>
      </c>
      <c r="G19" s="15">
        <f>SUM(G14:G18,G12,G5:G9)</f>
        <v>100</v>
      </c>
      <c r="H19" s="15">
        <f>SUM(H14:H18,H12,H5:H10)</f>
        <v>100</v>
      </c>
      <c r="I19" s="15"/>
      <c r="J19" s="15"/>
      <c r="K19" s="15"/>
      <c r="L19" s="15"/>
      <c r="M19" s="15"/>
      <c r="N19" s="15"/>
      <c r="O19" s="34" t="s">
        <v>33</v>
      </c>
      <c r="P19" s="34">
        <f>SUM(P5:P9,P12,P14:P18)</f>
        <v>149.55574999999999</v>
      </c>
      <c r="Q19" s="17">
        <f>SUM(Q5:Q9,Q12,Q14:Q18)</f>
        <v>100</v>
      </c>
      <c r="S19" s="17">
        <f>SUM(S4:S18)</f>
        <v>98.300799086757991</v>
      </c>
      <c r="T19" s="18">
        <f>SUM(T14:T18,T12,T5:T9)</f>
        <v>31.597545573450667</v>
      </c>
      <c r="U19" s="15">
        <f>SUM(U14:U18,U12,U5:U9)</f>
        <v>100.00000000000001</v>
      </c>
      <c r="V19" s="15">
        <f>SUM(V14:V18,V12,V5:V10)</f>
        <v>100</v>
      </c>
      <c r="W19" s="15"/>
      <c r="X19" s="15"/>
      <c r="Y19" s="15"/>
      <c r="Z19" s="15"/>
      <c r="AA19" s="15"/>
      <c r="AB19" s="15"/>
      <c r="AC19" s="34" t="s">
        <v>33</v>
      </c>
      <c r="AD19" s="34">
        <f>SUM(AD5:AD10,AD12,AD14:AD18)</f>
        <v>128.79999999999998</v>
      </c>
      <c r="AE19" s="17">
        <f>SUM(AE5:AE10,AE12,AE14:AE18)</f>
        <v>100.00000000000001</v>
      </c>
      <c r="AF19" s="17">
        <f>SUM(AF4:AF18)</f>
        <v>95.267489711934161</v>
      </c>
      <c r="AG19" s="18">
        <f>SUM(AG14:AG18,AG12,AG5:AG10)</f>
        <v>37.753273062921835</v>
      </c>
      <c r="AH19" s="15">
        <f>SUM(AH14:AH18,AH12,AH5:AH10)</f>
        <v>99.999999999999986</v>
      </c>
      <c r="AI19" s="15">
        <f>SUM(AI14:AI18,AI12,AI5:AI10)</f>
        <v>100.00000000000001</v>
      </c>
      <c r="AJ19" s="15"/>
      <c r="AK19" s="15"/>
      <c r="AL19" s="15"/>
      <c r="AM19" s="15"/>
      <c r="AN19" s="15"/>
      <c r="AO19" s="15"/>
      <c r="AP19" s="17">
        <f>SUM(AP5:AP10,AP12,AP14:AP18)</f>
        <v>100</v>
      </c>
      <c r="AQ19" s="17"/>
      <c r="AR19" s="17">
        <f>SUM(AR5:AR18)</f>
        <v>31.92336170753893</v>
      </c>
      <c r="AS19" s="17">
        <f>SUM(AS5:AS10,AS12,AS14:AS18)</f>
        <v>100</v>
      </c>
      <c r="AT19" s="17"/>
      <c r="AU19" s="17">
        <f>SUM(AU5:AU10,AU12,AU14:AU18)</f>
        <v>100</v>
      </c>
      <c r="AV19" s="17">
        <f>SUM(AV5:AV18)</f>
        <v>100</v>
      </c>
      <c r="AW19" s="18"/>
      <c r="AX19" s="47">
        <f>SUM(AX5:AX18)</f>
        <v>35.570976310635743</v>
      </c>
      <c r="AY19" s="48">
        <f>SUM(AY5:AY18)</f>
        <v>44.545722960610973</v>
      </c>
      <c r="AZ19" s="56">
        <f>SUM(AZ5:AZ18)</f>
        <v>48.218374852811991</v>
      </c>
      <c r="BA19" s="18"/>
      <c r="BB19" s="47">
        <f>SUM(BB5:BB18)</f>
        <v>8.2056608084879201</v>
      </c>
      <c r="BC19" s="48">
        <f>SUM(BC5:BC18)</f>
        <v>10.883191954041745</v>
      </c>
      <c r="BD19" s="56">
        <f>SUM(BD5:BD18)</f>
        <v>10.644299411476794</v>
      </c>
      <c r="BE19" s="18"/>
      <c r="BF19" s="47">
        <f>SUM(BF5:BF18)</f>
        <v>4.1927668027616161</v>
      </c>
      <c r="BG19" s="48">
        <f>SUM(BG5:BG18)</f>
        <v>0.35009574362027829</v>
      </c>
      <c r="BH19" s="56">
        <f>SUM(BH5:BH18)</f>
        <v>0.44803202371185596</v>
      </c>
    </row>
    <row r="20" spans="1:60" s="34" customFormat="1" x14ac:dyDescent="0.45">
      <c r="A20" s="18">
        <f>AVERAGE(C23,P23,AD23)</f>
        <v>0.19259800834935512</v>
      </c>
      <c r="B20" s="34" t="s">
        <v>190</v>
      </c>
      <c r="C20" s="18">
        <f>SUM(C5:C10,C12,C14:C15,C17:C18)</f>
        <v>64.300000000000011</v>
      </c>
      <c r="D20" s="17"/>
      <c r="E20" s="17"/>
      <c r="F20" s="18">
        <f>SUM(F5:F10,F12,F14:F15,F17:F18)</f>
        <v>13.935140348721836</v>
      </c>
      <c r="G20" s="15">
        <f>F20/F$19*100</f>
        <v>52.746128875218567</v>
      </c>
      <c r="H20" s="18"/>
      <c r="I20" s="18"/>
      <c r="J20" s="18"/>
      <c r="K20" s="18"/>
      <c r="L20" s="18"/>
      <c r="M20" s="18"/>
      <c r="N20" s="18"/>
      <c r="P20" s="18">
        <f>SUM(P5:P10,P12,P14:P15,P17:P18)</f>
        <v>119.05575</v>
      </c>
      <c r="Q20" s="17"/>
      <c r="T20" s="18">
        <f>SUM(T5:T10,T12,T14:T15,T17:T18)</f>
        <v>17.685090254366816</v>
      </c>
      <c r="U20" s="15">
        <f>T20/T$19*100</f>
        <v>55.969822761254065</v>
      </c>
      <c r="X20" s="18"/>
      <c r="Z20" s="18"/>
      <c r="AB20" s="18"/>
      <c r="AD20" s="18">
        <f>SUM(AD5:AD10,AD12,AD14:AD15,AD17:AD18)</f>
        <v>106.69999999999999</v>
      </c>
      <c r="AG20" s="18">
        <f>SUM(AG5:AG10,AG12,AG14:AG15,AG17:AG18)</f>
        <v>22.676814721979426</v>
      </c>
      <c r="AH20" s="15">
        <f>AG20/AG$19*100</f>
        <v>60.065824449670643</v>
      </c>
      <c r="AK20" s="18"/>
      <c r="AM20" s="18"/>
      <c r="AO20" s="18"/>
      <c r="AQ20" s="17"/>
      <c r="AR20" s="17"/>
      <c r="AS20" s="17">
        <f>AVERAGE(G20,U20,AH20)</f>
        <v>56.260592028714427</v>
      </c>
      <c r="AT20" s="17">
        <f>STDEV(G20,U20,AH20)</f>
        <v>3.6685004975927025</v>
      </c>
      <c r="AU20" s="17"/>
      <c r="AV20" s="17"/>
      <c r="AW20" s="18"/>
      <c r="AX20" s="18">
        <f>AX19/BF19</f>
        <v>8.4838909445682731</v>
      </c>
      <c r="AY20" s="18">
        <f>AY19/BG19</f>
        <v>127.23868762290999</v>
      </c>
      <c r="AZ20" s="18"/>
      <c r="BA20" s="18"/>
      <c r="BB20" s="18">
        <f>BB19/BF19</f>
        <v>1.9570992603459756</v>
      </c>
      <c r="BC20" s="18">
        <f>BC19/BG19</f>
        <v>31.086330389226038</v>
      </c>
      <c r="BD20" s="18"/>
      <c r="BE20" s="18"/>
      <c r="BF20" s="18">
        <f>BF19/BF19</f>
        <v>1</v>
      </c>
      <c r="BG20" s="34">
        <f>BG19/BG19</f>
        <v>1</v>
      </c>
      <c r="BH20" s="18"/>
    </row>
    <row r="21" spans="1:60" x14ac:dyDescent="0.45">
      <c r="B21" s="34" t="s">
        <v>195</v>
      </c>
      <c r="X21" s="7"/>
      <c r="Z21" s="7"/>
      <c r="AB21" s="7"/>
      <c r="AK21" s="7"/>
      <c r="AM21" s="7"/>
      <c r="AO21" s="7"/>
      <c r="AS21" s="17">
        <f>SUM(AS18,AS14:AS15,AS12,AS5:AS10)</f>
        <v>45.335806867258491</v>
      </c>
      <c r="AW21" s="7">
        <f>AVERAGE(AW5:AW10,AW12,AW14,AW18)</f>
        <v>48.070375648161615</v>
      </c>
      <c r="BA21" s="7">
        <f>AVERAGE(BA5:BA10,BA12,BA14,BA18)</f>
        <v>11.520249092206448</v>
      </c>
      <c r="BE21" s="7">
        <f>AVERAGE(BE5:BE10,BE12,BE14,BE18)</f>
        <v>0.43710365075603996</v>
      </c>
      <c r="BG21" s="7"/>
    </row>
    <row r="22" spans="1:60" x14ac:dyDescent="0.45">
      <c r="B22" s="34" t="s">
        <v>202</v>
      </c>
      <c r="C22">
        <f>F19/C19</f>
        <v>0.31984584123782428</v>
      </c>
      <c r="D22" s="57">
        <f t="shared" ref="D22:D23" si="100">AVERAGE(C22,P22,AD22)</f>
        <v>0.27474578277875344</v>
      </c>
      <c r="J22" s="7">
        <f>SUM(J5:J18)</f>
        <v>32.090664990606982</v>
      </c>
      <c r="L22" s="7">
        <f>SUM(L5:L18)</f>
        <v>8.4120705720860798</v>
      </c>
      <c r="N22" s="7">
        <f>SUM(N5:N18)</f>
        <v>5.2016698558808026</v>
      </c>
      <c r="P22">
        <f>T19/P19</f>
        <v>0.21127603300742812</v>
      </c>
      <c r="X22" s="7">
        <f>SUM(X5:X18)</f>
        <v>36.873282808819425</v>
      </c>
      <c r="Z22" s="7">
        <f>SUM(Z5:Z18)</f>
        <v>7.7667980860085475</v>
      </c>
      <c r="AB22" s="7">
        <f>SUM(AB5:AB18)</f>
        <v>3.8938286404020936</v>
      </c>
      <c r="AD22">
        <f>AG19/AD19</f>
        <v>0.29311547409100808</v>
      </c>
      <c r="AK22" s="7">
        <f>SUM(AK5:AK18)</f>
        <v>37.396455521806445</v>
      </c>
      <c r="AM22" s="7">
        <f>SUM(AM5:AM18)</f>
        <v>8.4012239486990481</v>
      </c>
      <c r="AO22" s="7">
        <f>SUM(AO5:AO18)</f>
        <v>3.5603169805804642</v>
      </c>
      <c r="AW22" s="7">
        <f>AW16/BE16</f>
        <v>2.6306957935108843</v>
      </c>
      <c r="BA22" s="7">
        <f>BA16/BE16</f>
        <v>0.52419962191264724</v>
      </c>
      <c r="BE22" s="7">
        <f>BE16/BE16</f>
        <v>1</v>
      </c>
    </row>
    <row r="23" spans="1:60" x14ac:dyDescent="0.45">
      <c r="B23" s="34" t="s">
        <v>203</v>
      </c>
      <c r="C23">
        <f>F20/C20</f>
        <v>0.21672068971573613</v>
      </c>
      <c r="D23" s="57">
        <f t="shared" si="100"/>
        <v>0.19259800834935512</v>
      </c>
      <c r="P23">
        <f>T20/P20</f>
        <v>0.14854461253964479</v>
      </c>
      <c r="X23" s="7"/>
      <c r="Z23" s="7"/>
      <c r="AB23" s="7"/>
      <c r="AD23">
        <f>AG20/AD20</f>
        <v>0.21252872279268442</v>
      </c>
      <c r="AK23" s="7"/>
      <c r="AM23" s="7"/>
      <c r="AO23" s="7"/>
      <c r="AW23" s="7">
        <f>6900*175*0.44*0.24*0.83</f>
        <v>105834.95999999999</v>
      </c>
    </row>
    <row r="24" spans="1:60" x14ac:dyDescent="0.45">
      <c r="B24" s="34" t="s">
        <v>225</v>
      </c>
      <c r="C24">
        <f>C20/C19</f>
        <v>0.77845036319612615</v>
      </c>
      <c r="D24" s="57">
        <f>AVERAGE(C24,P24,AD24)</f>
        <v>0.80097639484850713</v>
      </c>
      <c r="P24">
        <f>P20/P19</f>
        <v>0.79606267228107253</v>
      </c>
      <c r="Q24"/>
      <c r="X24" s="7"/>
      <c r="Z24" s="7"/>
      <c r="AB24" s="7"/>
      <c r="AD24">
        <f>AD20/AD19</f>
        <v>0.82841614906832295</v>
      </c>
      <c r="AK24" s="7"/>
      <c r="AM24" s="7"/>
      <c r="AO24" s="7"/>
      <c r="AW24" s="9"/>
      <c r="AZ24" s="9"/>
      <c r="BD24" s="9"/>
      <c r="BF24" s="7">
        <f>BF16/BF19</f>
        <v>0.9529398513576246</v>
      </c>
      <c r="BH24" s="9"/>
    </row>
    <row r="25" spans="1:60" x14ac:dyDescent="0.45">
      <c r="B25" s="34" t="s">
        <v>226</v>
      </c>
      <c r="J25" s="7">
        <f>J16/J22</f>
        <v>0.26671405676804782</v>
      </c>
      <c r="L25" s="7">
        <f>L16/L22</f>
        <v>0.27714992242225261</v>
      </c>
      <c r="N25" s="7">
        <f>N16/N22</f>
        <v>0.96144581885488944</v>
      </c>
      <c r="Q25"/>
      <c r="X25" s="7">
        <f>X16/X22</f>
        <v>0.33294788576760626</v>
      </c>
      <c r="Z25" s="7">
        <f>Z16/Z22</f>
        <v>0.22887711409712935</v>
      </c>
      <c r="AB25" s="7">
        <f>AB16/AB22</f>
        <v>0.95628899273077572</v>
      </c>
      <c r="AK25" s="7">
        <f>AK16/AK22</f>
        <v>0.2786680538345524</v>
      </c>
      <c r="AM25" s="7">
        <f>AM16/AM22</f>
        <v>0.25640057558104751</v>
      </c>
      <c r="AO25" s="7">
        <f>AO16/AO22</f>
        <v>0.93809260303416742</v>
      </c>
      <c r="AW25" s="23"/>
      <c r="AX25" s="7">
        <f>AVERAGE(J25,X25,AK25)</f>
        <v>0.29277666545673547</v>
      </c>
      <c r="BB25" s="7">
        <f>AVERAGE(L25,Z25,AM25)</f>
        <v>0.25414253736680981</v>
      </c>
      <c r="BD25" s="23"/>
      <c r="BF25" s="7">
        <f>AVERAGE(N25,AB25,AO25)</f>
        <v>0.95194247153994416</v>
      </c>
      <c r="BH25" s="23"/>
    </row>
    <row r="26" spans="1:60" x14ac:dyDescent="0.45">
      <c r="Q26"/>
      <c r="AW26" s="9"/>
      <c r="AZ26" s="9"/>
      <c r="BD26" s="9"/>
      <c r="BH26" s="9"/>
    </row>
    <row r="27" spans="1:60" x14ac:dyDescent="0.45">
      <c r="Q27"/>
      <c r="AW27" s="9"/>
      <c r="AZ27" s="9"/>
      <c r="BD27" s="9"/>
      <c r="BH27" s="9"/>
    </row>
    <row r="28" spans="1:60" x14ac:dyDescent="0.45">
      <c r="Q28"/>
      <c r="AW28" s="9"/>
      <c r="AZ28" s="9"/>
      <c r="BA28" s="7">
        <f>30*BA18/100</f>
        <v>4.0981065554145903</v>
      </c>
      <c r="BD28" s="9"/>
      <c r="BE28" s="7">
        <f>30*BE18/100</f>
        <v>9.1314827379982366E-2</v>
      </c>
      <c r="BH28" s="9"/>
    </row>
    <row r="29" spans="1:60" x14ac:dyDescent="0.45">
      <c r="Q29"/>
      <c r="AW29" s="9"/>
      <c r="AZ29" s="9"/>
      <c r="BA29" s="7">
        <f>BA28/16</f>
        <v>0.2561316597134119</v>
      </c>
      <c r="BD29" s="9"/>
      <c r="BE29" s="7">
        <f>BE28/16</f>
        <v>5.7071767112488979E-3</v>
      </c>
      <c r="BH29" s="9"/>
    </row>
    <row r="30" spans="1:60" x14ac:dyDescent="0.45">
      <c r="AW30" s="17"/>
      <c r="AZ30" s="17"/>
      <c r="BD30" s="17"/>
      <c r="BH30" s="17"/>
    </row>
    <row r="31" spans="1:60" x14ac:dyDescent="0.45">
      <c r="AW31" s="17"/>
      <c r="AZ31" s="17"/>
      <c r="BD31" s="17"/>
      <c r="BH31" s="17"/>
    </row>
    <row r="32" spans="1:60" x14ac:dyDescent="0.45">
      <c r="AW32" s="17"/>
      <c r="AZ32" s="17"/>
      <c r="BD32" s="17"/>
      <c r="BH32" s="17"/>
    </row>
    <row r="33" spans="49:60" x14ac:dyDescent="0.45">
      <c r="AW33" s="17"/>
      <c r="AZ33" s="17"/>
      <c r="BD33" s="17"/>
      <c r="BH33" s="17"/>
    </row>
    <row r="34" spans="49:60" x14ac:dyDescent="0.45">
      <c r="AW34" s="17"/>
      <c r="AZ34" s="17"/>
      <c r="BD34" s="17"/>
      <c r="BH34" s="17"/>
    </row>
    <row r="35" spans="49:60" x14ac:dyDescent="0.45">
      <c r="AW35" s="17"/>
      <c r="AZ35" s="17"/>
      <c r="BD35" s="17"/>
      <c r="BH35" s="17"/>
    </row>
    <row r="36" spans="49:60" x14ac:dyDescent="0.45">
      <c r="AW36" s="17"/>
      <c r="AZ36" s="17"/>
      <c r="BD36" s="17"/>
      <c r="BH36" s="17"/>
    </row>
    <row r="37" spans="49:60" x14ac:dyDescent="0.45">
      <c r="AW37" s="17"/>
      <c r="AZ37" s="17"/>
      <c r="BD37" s="17"/>
      <c r="BH37" s="17"/>
    </row>
    <row r="38" spans="49:60" x14ac:dyDescent="0.45">
      <c r="AW38" s="18"/>
      <c r="AZ38" s="18"/>
      <c r="BD38" s="18"/>
      <c r="BH38" s="18"/>
    </row>
    <row r="39" spans="49:60" x14ac:dyDescent="0.45">
      <c r="AW39" s="18"/>
      <c r="AZ39" s="18"/>
      <c r="BD39" s="18"/>
      <c r="BH39" s="18"/>
    </row>
    <row r="40" spans="49:60" x14ac:dyDescent="0.45">
      <c r="AW40" s="18"/>
      <c r="AZ40" s="18"/>
      <c r="BD40" s="18"/>
      <c r="BH40" s="18"/>
    </row>
    <row r="41" spans="49:60" x14ac:dyDescent="0.45">
      <c r="AW41" s="18"/>
      <c r="AZ41" s="18"/>
      <c r="BD41" s="18"/>
      <c r="BH41" s="18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57F1-04D8-4865-80CA-3666A9079F63}">
  <dimension ref="A1:E5"/>
  <sheetViews>
    <sheetView workbookViewId="0">
      <selection activeCell="E6" sqref="E6"/>
    </sheetView>
  </sheetViews>
  <sheetFormatPr defaultRowHeight="14.25" x14ac:dyDescent="0.45"/>
  <cols>
    <col min="1" max="1" width="12.59765625" bestFit="1" customWidth="1"/>
    <col min="2" max="2" width="11.73046875" bestFit="1" customWidth="1"/>
    <col min="3" max="3" width="11.73046875" customWidth="1"/>
    <col min="4" max="4" width="14.265625" bestFit="1" customWidth="1"/>
  </cols>
  <sheetData>
    <row r="1" spans="1:5" x14ac:dyDescent="0.45">
      <c r="A1" t="s">
        <v>230</v>
      </c>
      <c r="B1" t="s">
        <v>233</v>
      </c>
      <c r="C1" t="s">
        <v>234</v>
      </c>
      <c r="D1" t="s">
        <v>231</v>
      </c>
    </row>
    <row r="2" spans="1:5" x14ac:dyDescent="0.45">
      <c r="A2" t="s">
        <v>113</v>
      </c>
      <c r="B2">
        <v>40.000195337182426</v>
      </c>
      <c r="C2">
        <f>B2/B$5</f>
        <v>0.49786021204166031</v>
      </c>
      <c r="D2">
        <v>16</v>
      </c>
      <c r="E2">
        <f>C2*D2</f>
        <v>7.965763392666565</v>
      </c>
    </row>
    <row r="3" spans="1:5" x14ac:dyDescent="0.45">
      <c r="A3" t="s">
        <v>232</v>
      </c>
      <c r="B3">
        <v>31.41978875071597</v>
      </c>
      <c r="C3">
        <f t="shared" ref="C3:C4" si="0">B3/B$5</f>
        <v>0.39106465750668207</v>
      </c>
      <c r="D3">
        <v>44</v>
      </c>
      <c r="E3">
        <f t="shared" ref="E3:E4" si="1">C3*D3</f>
        <v>17.206844930294011</v>
      </c>
    </row>
    <row r="4" spans="1:5" x14ac:dyDescent="0.45">
      <c r="A4" t="s">
        <v>131</v>
      </c>
      <c r="B4">
        <v>8.9242458178150841</v>
      </c>
      <c r="C4">
        <f t="shared" si="0"/>
        <v>0.11107513045165746</v>
      </c>
      <c r="D4">
        <v>70</v>
      </c>
      <c r="E4">
        <f t="shared" si="1"/>
        <v>7.7752591316160222</v>
      </c>
    </row>
    <row r="5" spans="1:5" x14ac:dyDescent="0.45">
      <c r="B5">
        <f>SUM(B2:B4)</f>
        <v>80.34422990571349</v>
      </c>
      <c r="E5">
        <f>SUM(E2:E4)</f>
        <v>32.947867454576603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zoomScaleNormal="100" workbookViewId="0">
      <selection activeCell="A9" sqref="A9:XFD9"/>
    </sheetView>
  </sheetViews>
  <sheetFormatPr defaultRowHeight="14.25" x14ac:dyDescent="0.45"/>
  <cols>
    <col min="1" max="1" width="15.265625" bestFit="1" customWidth="1"/>
    <col min="2" max="2" width="7.59765625" bestFit="1" customWidth="1"/>
    <col min="3" max="3" width="11" bestFit="1" customWidth="1"/>
    <col min="4" max="4" width="15.59765625" bestFit="1" customWidth="1"/>
    <col min="5" max="5" width="14.86328125" bestFit="1" customWidth="1"/>
    <col min="6" max="6" width="6" bestFit="1" customWidth="1"/>
    <col min="7" max="7" width="6.265625" bestFit="1" customWidth="1"/>
    <col min="8" max="8" width="6" bestFit="1" customWidth="1"/>
  </cols>
  <sheetData>
    <row r="1" spans="1:11" x14ac:dyDescent="0.45">
      <c r="C1" t="s">
        <v>188</v>
      </c>
      <c r="D1" t="s">
        <v>10</v>
      </c>
      <c r="E1" t="s">
        <v>197</v>
      </c>
      <c r="F1" t="s">
        <v>198</v>
      </c>
      <c r="G1" t="s">
        <v>199</v>
      </c>
      <c r="H1" t="s">
        <v>200</v>
      </c>
      <c r="I1" t="s">
        <v>227</v>
      </c>
      <c r="J1" t="s">
        <v>228</v>
      </c>
      <c r="K1" t="s">
        <v>229</v>
      </c>
    </row>
    <row r="2" spans="1:11" x14ac:dyDescent="0.45">
      <c r="A2" t="s">
        <v>187</v>
      </c>
      <c r="B2" t="s">
        <v>45</v>
      </c>
      <c r="C2">
        <v>351</v>
      </c>
      <c r="D2">
        <f>CONVERT(C2,"lbm", "kg")</f>
        <v>159.21092187000002</v>
      </c>
    </row>
    <row r="3" spans="1:11" x14ac:dyDescent="0.45">
      <c r="A3" t="s">
        <v>187</v>
      </c>
      <c r="B3" t="s">
        <v>53</v>
      </c>
      <c r="C3">
        <v>318.8</v>
      </c>
      <c r="D3">
        <f t="shared" ref="D3:D5" si="0">CONVERT(C3,"lbm", "kg")</f>
        <v>144.60524755600002</v>
      </c>
    </row>
    <row r="4" spans="1:11" x14ac:dyDescent="0.45">
      <c r="A4" t="s">
        <v>44</v>
      </c>
      <c r="B4" t="s">
        <v>45</v>
      </c>
      <c r="C4">
        <v>462</v>
      </c>
      <c r="D4">
        <f t="shared" si="0"/>
        <v>209.55967494000001</v>
      </c>
    </row>
    <row r="5" spans="1:11" x14ac:dyDescent="0.45">
      <c r="A5" t="s">
        <v>44</v>
      </c>
      <c r="B5" t="s">
        <v>53</v>
      </c>
      <c r="C5">
        <v>362.8</v>
      </c>
      <c r="D5">
        <f t="shared" si="0"/>
        <v>164.56331183600003</v>
      </c>
    </row>
    <row r="6" spans="1:11" x14ac:dyDescent="0.45">
      <c r="A6" t="s">
        <v>196</v>
      </c>
      <c r="D6">
        <f>(1/6)*D2+(1/6)*D3+(1/3)*D4+(1/3)*D5</f>
        <v>175.34369049633332</v>
      </c>
      <c r="E6">
        <f>D6*Stoichiometry!A19</f>
        <v>48.174939500730567</v>
      </c>
      <c r="F6">
        <f>E6*Stoichiometry!AX19/100</f>
        <v>17.13629631746797</v>
      </c>
      <c r="G6">
        <f>E6*Stoichiometry!BB19/100</f>
        <v>3.9530721301242142</v>
      </c>
      <c r="H6">
        <f>E6*Stoichiometry!BF19/100</f>
        <v>2.019862870637124</v>
      </c>
      <c r="I6">
        <f>F6/$E6</f>
        <v>0.35570976310635744</v>
      </c>
      <c r="J6">
        <f>G6/$E6</f>
        <v>8.2056608084879204E-2</v>
      </c>
      <c r="K6">
        <f t="shared" ref="K6" si="1">H6/$E6</f>
        <v>4.1927668027616168E-2</v>
      </c>
    </row>
    <row r="7" spans="1:11" x14ac:dyDescent="0.45">
      <c r="D7">
        <f>STDEV(D2:D5)</f>
        <v>28.016431778799657</v>
      </c>
      <c r="I7">
        <f>I6/K6</f>
        <v>8.4838909445682713</v>
      </c>
      <c r="J7">
        <f>J6/K6</f>
        <v>1.9570992603459754</v>
      </c>
      <c r="K7">
        <f>K6/K6</f>
        <v>1</v>
      </c>
    </row>
    <row r="8" spans="1:11" x14ac:dyDescent="0.45">
      <c r="A8" t="s">
        <v>204</v>
      </c>
      <c r="E8">
        <f>E6*Stoichiometry!AS16/100</f>
        <v>21.071433328144551</v>
      </c>
      <c r="F8">
        <f>E8*Stoichiometry!AW16/100</f>
        <v>5.0635838451447537</v>
      </c>
      <c r="G8">
        <f>E8*Stoichiometry!BA16/100</f>
        <v>1.0089835334420951</v>
      </c>
      <c r="H8">
        <f>E8*Stoichiometry!BE16/100</f>
        <v>1.9248078237077257</v>
      </c>
    </row>
    <row r="9" spans="1:11" x14ac:dyDescent="0.45">
      <c r="A9" t="s">
        <v>201</v>
      </c>
      <c r="E9">
        <f>E6-E8</f>
        <v>27.103506172586016</v>
      </c>
      <c r="F9">
        <f t="shared" ref="F9:H9" si="2">F6-F8</f>
        <v>12.072712472323216</v>
      </c>
      <c r="G9">
        <f t="shared" si="2"/>
        <v>2.9440885966821191</v>
      </c>
      <c r="H9">
        <f t="shared" si="2"/>
        <v>9.5055046929398257E-2</v>
      </c>
    </row>
    <row r="10" spans="1:11" x14ac:dyDescent="0.45">
      <c r="A10" t="s">
        <v>217</v>
      </c>
      <c r="E10">
        <f>Stoichiometry!AS21/100*'WB Carcass'!E6</f>
        <v>21.840497530469829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activeCell="F6" sqref="F6"/>
    </sheetView>
  </sheetViews>
  <sheetFormatPr defaultColWidth="9.1328125" defaultRowHeight="14.25" x14ac:dyDescent="0.45"/>
  <cols>
    <col min="1" max="1" width="17.265625" style="49" bestFit="1" customWidth="1"/>
    <col min="2" max="2" width="12.73046875" style="49" bestFit="1" customWidth="1"/>
    <col min="3" max="4" width="9.06640625"/>
    <col min="5" max="5" width="10.1328125" bestFit="1" customWidth="1"/>
    <col min="6" max="8" width="9.1328125" style="54"/>
    <col min="9" max="16384" width="9.1328125" style="49"/>
  </cols>
  <sheetData>
    <row r="1" spans="1:11" x14ac:dyDescent="0.45">
      <c r="A1" s="49" t="s">
        <v>212</v>
      </c>
      <c r="B1" s="49" t="s">
        <v>213</v>
      </c>
      <c r="C1" s="49" t="s">
        <v>214</v>
      </c>
      <c r="D1" s="49" t="s">
        <v>215</v>
      </c>
      <c r="E1" s="49" t="s">
        <v>216</v>
      </c>
      <c r="F1" s="54" t="s">
        <v>164</v>
      </c>
      <c r="G1" s="54" t="s">
        <v>165</v>
      </c>
      <c r="H1" s="54" t="s">
        <v>166</v>
      </c>
    </row>
    <row r="2" spans="1:11" ht="14.65" thickBot="1" x14ac:dyDescent="0.5">
      <c r="C2" s="49"/>
      <c r="D2" s="49"/>
      <c r="E2" s="49"/>
      <c r="F2" s="54">
        <v>12.0107</v>
      </c>
      <c r="G2" s="54">
        <v>14.0067</v>
      </c>
      <c r="H2" s="54">
        <v>30.973762000000001</v>
      </c>
      <c r="J2" s="53"/>
      <c r="K2" s="53"/>
    </row>
    <row r="3" spans="1:11" x14ac:dyDescent="0.45">
      <c r="A3" s="50" t="s">
        <v>29</v>
      </c>
      <c r="B3" s="50" t="s">
        <v>208</v>
      </c>
      <c r="C3" s="49">
        <v>41.5</v>
      </c>
      <c r="D3" s="49">
        <v>2</v>
      </c>
      <c r="E3" s="49">
        <v>0.6</v>
      </c>
      <c r="F3" s="55">
        <f>C3/$E3</f>
        <v>69.166666666666671</v>
      </c>
      <c r="G3" s="55">
        <f t="shared" ref="G3:H4" si="0">D3/$E3</f>
        <v>3.3333333333333335</v>
      </c>
      <c r="H3" s="55">
        <f t="shared" si="0"/>
        <v>1</v>
      </c>
    </row>
    <row r="4" spans="1:11" x14ac:dyDescent="0.45">
      <c r="A4" s="51" t="s">
        <v>32</v>
      </c>
      <c r="B4" s="51" t="s">
        <v>209</v>
      </c>
      <c r="C4" s="49">
        <v>45.6</v>
      </c>
      <c r="D4" s="49">
        <v>13.7</v>
      </c>
      <c r="E4" s="49">
        <v>0.3</v>
      </c>
      <c r="F4" s="55">
        <f>C4/$E4</f>
        <v>152</v>
      </c>
      <c r="G4" s="55">
        <f t="shared" si="0"/>
        <v>45.666666666666664</v>
      </c>
      <c r="H4" s="55">
        <f t="shared" si="0"/>
        <v>1</v>
      </c>
    </row>
    <row r="5" spans="1:11" ht="15.75" x14ac:dyDescent="0.45">
      <c r="A5" s="51" t="s">
        <v>205</v>
      </c>
      <c r="B5" s="51" t="s">
        <v>224</v>
      </c>
      <c r="C5" s="49">
        <v>48.2</v>
      </c>
      <c r="D5" s="49">
        <v>10.6</v>
      </c>
      <c r="E5" s="49">
        <v>0.5</v>
      </c>
      <c r="F5" s="55">
        <f>C5/$E5</f>
        <v>96.4</v>
      </c>
      <c r="G5" s="55">
        <f t="shared" ref="G5:G8" si="1">D5/$E5</f>
        <v>21.2</v>
      </c>
      <c r="H5" s="55">
        <f t="shared" ref="H5:H8" si="2">E5/$E5</f>
        <v>1</v>
      </c>
    </row>
    <row r="6" spans="1:11" x14ac:dyDescent="0.45">
      <c r="A6" s="51" t="s">
        <v>31</v>
      </c>
      <c r="B6" s="51" t="s">
        <v>210</v>
      </c>
      <c r="C6" s="49">
        <v>43.1</v>
      </c>
      <c r="D6" s="49">
        <v>14.5</v>
      </c>
      <c r="E6" s="49">
        <v>0.2</v>
      </c>
      <c r="F6" s="55">
        <f t="shared" ref="F6:F7" si="3">C6/$E6</f>
        <v>215.5</v>
      </c>
      <c r="G6" s="55">
        <f t="shared" si="1"/>
        <v>72.5</v>
      </c>
      <c r="H6" s="55">
        <f t="shared" si="2"/>
        <v>1</v>
      </c>
    </row>
    <row r="7" spans="1:11" x14ac:dyDescent="0.45">
      <c r="A7" s="51" t="s">
        <v>206</v>
      </c>
      <c r="B7" s="51" t="s">
        <v>211</v>
      </c>
      <c r="C7" s="49">
        <v>24</v>
      </c>
      <c r="D7" s="49">
        <v>4.8</v>
      </c>
      <c r="E7" s="49">
        <v>9.1</v>
      </c>
      <c r="F7" s="55">
        <f t="shared" si="3"/>
        <v>2.6373626373626373</v>
      </c>
      <c r="G7" s="55">
        <f t="shared" si="1"/>
        <v>0.52747252747252749</v>
      </c>
      <c r="H7" s="55">
        <f t="shared" si="2"/>
        <v>1</v>
      </c>
    </row>
    <row r="8" spans="1:11" ht="14.65" thickBot="1" x14ac:dyDescent="0.5">
      <c r="A8" s="52" t="s">
        <v>207</v>
      </c>
      <c r="B8" s="52" t="s">
        <v>218</v>
      </c>
      <c r="C8" s="49">
        <v>35.6</v>
      </c>
      <c r="D8" s="49">
        <v>8.1999999999999993</v>
      </c>
      <c r="E8" s="49">
        <v>4.2</v>
      </c>
      <c r="F8" s="55">
        <f>C8/$E8</f>
        <v>8.4761904761904763</v>
      </c>
      <c r="G8" s="55">
        <f t="shared" si="1"/>
        <v>1.9523809523809521</v>
      </c>
      <c r="H8" s="55">
        <f t="shared" si="2"/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Composition</vt:lpstr>
      <vt:lpstr>CNP Data</vt:lpstr>
      <vt:lpstr>Stoichiometry</vt:lpstr>
      <vt:lpstr>Decay rate</vt:lpstr>
      <vt:lpstr>WB Carcass</vt:lpstr>
      <vt:lpstr>Atomic ratios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Subalusky</dc:creator>
  <cp:lastModifiedBy>Amanda Subalusky</cp:lastModifiedBy>
  <dcterms:created xsi:type="dcterms:W3CDTF">2015-03-30T16:41:33Z</dcterms:created>
  <dcterms:modified xsi:type="dcterms:W3CDTF">2018-07-12T21:03:01Z</dcterms:modified>
</cp:coreProperties>
</file>