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315" yWindow="-135" windowWidth="19440" windowHeight="4275"/>
  </bookViews>
  <sheets>
    <sheet name="EDC" sheetId="1" r:id="rId1"/>
    <sheet name="TAB" sheetId="2" r:id="rId2"/>
    <sheet name="Feuil1" sheetId="4" r:id="rId3"/>
    <sheet name="Feuil2" sheetId="5" r:id="rId4"/>
  </sheets>
  <externalReferences>
    <externalReference r:id="rId5"/>
    <externalReference r:id="rId6"/>
  </externalReferences>
  <definedNames>
    <definedName name="_xlnm._FilterDatabase" localSheetId="0" hidden="1">EDC!$B$1:$BM$57</definedName>
    <definedName name="L_COMPAGNIE">TAB!$A$54:$A$84</definedName>
    <definedName name="L_SURF_COM">TAB!$A$30:$A$35</definedName>
    <definedName name="L_TOITURE">TAB!$A$38:$A$41</definedName>
    <definedName name="L_type_de_risque">TAB!$A$13:$A$25</definedName>
    <definedName name="L_USAGE">TAB!$A$3:$A$11</definedName>
    <definedName name="SDCH">TAB!$A$14:$A$25</definedName>
    <definedName name="TAB_COMPAGNIE">TAB!$A$53:$E$84</definedName>
    <definedName name="TYPEDERISQUE" localSheetId="1">TAB!$A$14:$A$25</definedName>
    <definedName name="_xlnm.Print_Area" localSheetId="0">EDC!$C$1:$AT$22</definedName>
  </definedNames>
  <calcPr calcId="145621"/>
</workbook>
</file>

<file path=xl/calcChain.xml><?xml version="1.0" encoding="utf-8"?>
<calcChain xmlns="http://schemas.openxmlformats.org/spreadsheetml/2006/main">
  <c r="BM8" i="1" l="1"/>
  <c r="BP2" i="1" l="1"/>
  <c r="BJ50" i="1" l="1"/>
  <c r="BS58" i="1" l="1"/>
  <c r="BR58" i="1"/>
  <c r="BM25" i="1" l="1"/>
  <c r="BV46" i="1" l="1"/>
  <c r="BV47" i="1"/>
  <c r="BV48" i="1"/>
  <c r="BV49" i="1"/>
  <c r="BU47" i="1"/>
  <c r="BU48" i="1"/>
  <c r="BU49" i="1"/>
  <c r="BU50" i="1"/>
  <c r="BU51" i="1"/>
  <c r="BU52" i="1"/>
  <c r="BU53" i="1"/>
  <c r="BU54" i="1"/>
  <c r="BU55" i="1"/>
  <c r="BU56" i="1"/>
  <c r="BT46" i="1"/>
  <c r="BT47" i="1"/>
  <c r="BT48" i="1"/>
  <c r="BT49" i="1"/>
  <c r="BT50" i="1"/>
  <c r="BT51" i="1"/>
  <c r="BT52" i="1"/>
  <c r="BT53" i="1"/>
  <c r="BT54" i="1"/>
  <c r="BT55" i="1"/>
  <c r="BT56" i="1"/>
  <c r="BW47" i="1" l="1"/>
  <c r="BW49" i="1"/>
  <c r="BW48" i="1"/>
  <c r="BM10" i="1"/>
  <c r="AX46" i="1"/>
  <c r="AX47" i="1"/>
  <c r="AX48" i="1"/>
  <c r="AX49" i="1"/>
  <c r="N46" i="1"/>
  <c r="N47" i="1"/>
  <c r="N48" i="1"/>
  <c r="N49" i="1"/>
  <c r="N50" i="1"/>
  <c r="N51" i="1"/>
  <c r="BM45" i="1" l="1"/>
  <c r="BJ45" i="1"/>
  <c r="AZ46" i="1" l="1"/>
  <c r="AZ47" i="1"/>
  <c r="AZ48" i="1"/>
  <c r="AZ49" i="1"/>
  <c r="BV45" i="1"/>
  <c r="BU45" i="1"/>
  <c r="AW49" i="1"/>
  <c r="AW48" i="1"/>
  <c r="AW47" i="1"/>
  <c r="BM46" i="1"/>
  <c r="BU46" i="1" s="1"/>
  <c r="BW46" i="1" s="1"/>
  <c r="AW46" i="1"/>
  <c r="BJ44" i="1" l="1"/>
  <c r="BG44" i="1"/>
  <c r="BJ43" i="1" l="1"/>
  <c r="AW43" i="1"/>
  <c r="AW44" i="1"/>
  <c r="AW45" i="1"/>
  <c r="BP35" i="1" l="1"/>
  <c r="N34" i="1" l="1"/>
  <c r="N35" i="1"/>
  <c r="N36" i="1"/>
  <c r="N37" i="1"/>
  <c r="N38" i="1"/>
  <c r="N39" i="1"/>
  <c r="N40" i="1"/>
  <c r="N41" i="1"/>
  <c r="N42" i="1"/>
  <c r="N43" i="1"/>
  <c r="N44" i="1"/>
  <c r="N45" i="1"/>
  <c r="A1" i="5" l="1"/>
  <c r="BP26" i="1"/>
  <c r="BP42" i="1" l="1"/>
  <c r="BM42" i="1"/>
  <c r="BJ42" i="1"/>
  <c r="AW41" i="1" l="1"/>
  <c r="AW42" i="1"/>
  <c r="AW50" i="1"/>
  <c r="AW51" i="1"/>
  <c r="AW52" i="1"/>
  <c r="AW53" i="1"/>
  <c r="AW54" i="1"/>
  <c r="AW55" i="1"/>
  <c r="AW56" i="1"/>
  <c r="AW57" i="1"/>
  <c r="AX41" i="1"/>
  <c r="AZ41" i="1"/>
  <c r="BP41" i="1"/>
  <c r="BM41" i="1"/>
  <c r="BJ41" i="1"/>
  <c r="AZ42" i="1"/>
  <c r="AX43" i="1"/>
  <c r="AX44" i="1"/>
  <c r="AX45" i="1"/>
  <c r="BV51" i="1"/>
  <c r="BW51" i="1" s="1"/>
  <c r="AV52" i="1"/>
  <c r="AV53" i="1"/>
  <c r="AV54" i="1"/>
  <c r="AV55" i="1"/>
  <c r="AV56" i="1"/>
  <c r="AV57" i="1"/>
  <c r="AX57" i="1" s="1"/>
  <c r="AX50" i="1" l="1"/>
  <c r="BV50" i="1"/>
  <c r="BW50" i="1" s="1"/>
  <c r="AX53" i="1"/>
  <c r="BV53" i="1"/>
  <c r="BW53" i="1" s="1"/>
  <c r="AX54" i="1"/>
  <c r="BV54" i="1"/>
  <c r="BW54" i="1" s="1"/>
  <c r="AX56" i="1"/>
  <c r="BV56" i="1"/>
  <c r="BW56" i="1" s="1"/>
  <c r="AX52" i="1"/>
  <c r="BV52" i="1"/>
  <c r="BW52" i="1" s="1"/>
  <c r="AX55" i="1"/>
  <c r="BV55" i="1"/>
  <c r="BW55" i="1" s="1"/>
  <c r="BU41" i="1"/>
  <c r="AX51" i="1"/>
  <c r="AZ51" i="1"/>
  <c r="AZ50" i="1"/>
  <c r="AZ54" i="1"/>
  <c r="AZ57" i="1"/>
  <c r="AZ53" i="1"/>
  <c r="AZ45" i="1"/>
  <c r="AZ56" i="1"/>
  <c r="AZ52" i="1"/>
  <c r="AZ44" i="1"/>
  <c r="AZ55" i="1"/>
  <c r="AZ43" i="1"/>
  <c r="AX42" i="1"/>
  <c r="BT57" i="1"/>
  <c r="BT45" i="1"/>
  <c r="BT44" i="1"/>
  <c r="BT43" i="1"/>
  <c r="BT42" i="1"/>
  <c r="BU57" i="1"/>
  <c r="BU44" i="1"/>
  <c r="BU43" i="1"/>
  <c r="BU42" i="1"/>
  <c r="N52" i="1"/>
  <c r="N53" i="1"/>
  <c r="N54" i="1"/>
  <c r="N55" i="1"/>
  <c r="N56" i="1"/>
  <c r="N57" i="1"/>
  <c r="BV42" i="1"/>
  <c r="BV43" i="1"/>
  <c r="BV44" i="1"/>
  <c r="BV57" i="1"/>
  <c r="AY58" i="1"/>
  <c r="BT41" i="1"/>
  <c r="BT40" i="1"/>
  <c r="BT39" i="1"/>
  <c r="BT38" i="1"/>
  <c r="BT37" i="1"/>
  <c r="BT36" i="1"/>
  <c r="BT35" i="1"/>
  <c r="BT34" i="1"/>
  <c r="BF58" i="1"/>
  <c r="BI58" i="1"/>
  <c r="BL58" i="1"/>
  <c r="BO58" i="1"/>
  <c r="BV41" i="1"/>
  <c r="AT58" i="1"/>
  <c r="K58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2" i="1"/>
  <c r="BW43" i="1" l="1"/>
  <c r="BW44" i="1"/>
  <c r="BW42" i="1"/>
  <c r="BW45" i="1"/>
  <c r="BW57" i="1"/>
  <c r="BW41" i="1"/>
  <c r="BU32" i="1" l="1"/>
  <c r="BU33" i="1"/>
  <c r="BU35" i="1"/>
  <c r="BU36" i="1"/>
  <c r="BU39" i="1"/>
  <c r="BU40" i="1"/>
  <c r="BG34" i="1" l="1"/>
  <c r="BU34" i="1" s="1"/>
  <c r="BP37" i="1"/>
  <c r="BG37" i="1"/>
  <c r="AZ32" i="1"/>
  <c r="AZ33" i="1"/>
  <c r="AZ34" i="1"/>
  <c r="AZ35" i="1"/>
  <c r="AZ36" i="1"/>
  <c r="AZ37" i="1"/>
  <c r="AZ38" i="1"/>
  <c r="AZ39" i="1"/>
  <c r="AZ40" i="1"/>
  <c r="AX32" i="1"/>
  <c r="AX33" i="1"/>
  <c r="AX34" i="1"/>
  <c r="AX35" i="1"/>
  <c r="AX36" i="1"/>
  <c r="AX37" i="1"/>
  <c r="AX38" i="1"/>
  <c r="AX39" i="1"/>
  <c r="AX40" i="1"/>
  <c r="AW32" i="1"/>
  <c r="AW33" i="1"/>
  <c r="AW34" i="1"/>
  <c r="AW35" i="1"/>
  <c r="AW36" i="1"/>
  <c r="AW37" i="1"/>
  <c r="AW38" i="1"/>
  <c r="AW39" i="1"/>
  <c r="AW40" i="1"/>
  <c r="BW36" i="1"/>
  <c r="BW39" i="1"/>
  <c r="BW40" i="1"/>
  <c r="BW35" i="1"/>
  <c r="BW34" i="1"/>
  <c r="BG38" i="1"/>
  <c r="BU38" i="1" s="1"/>
  <c r="BW38" i="1" s="1"/>
  <c r="BU37" i="1" l="1"/>
  <c r="BW37" i="1" s="1"/>
  <c r="AZ31" i="1"/>
  <c r="BU31" i="1"/>
  <c r="AX31" i="1" l="1"/>
  <c r="AW31" i="1"/>
  <c r="AW2" i="1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Z2" i="1"/>
  <c r="AZ3" i="1"/>
  <c r="AZ4" i="1"/>
  <c r="AZ5" i="1"/>
  <c r="AZ6" i="1"/>
  <c r="AZ7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W30" i="1"/>
  <c r="BU3" i="1"/>
  <c r="BU4" i="1"/>
  <c r="BU5" i="1"/>
  <c r="BU6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3" i="1"/>
  <c r="BU24" i="1"/>
  <c r="BU26" i="1"/>
  <c r="BU27" i="1"/>
  <c r="BU28" i="1"/>
  <c r="BM30" i="1"/>
  <c r="BU30" i="1" s="1"/>
  <c r="AX30" i="1" l="1"/>
  <c r="AZ30" i="1"/>
  <c r="AZ58" i="1" s="1"/>
  <c r="BJ29" i="1"/>
  <c r="BU29" i="1" s="1"/>
  <c r="BU25" i="1" l="1"/>
  <c r="N15" i="1" l="1"/>
  <c r="N16" i="1"/>
  <c r="N17" i="1"/>
  <c r="N18" i="1"/>
  <c r="N20" i="1"/>
  <c r="N21" i="1"/>
  <c r="N22" i="1"/>
  <c r="BM22" i="1"/>
  <c r="BU22" i="1" s="1"/>
  <c r="N8" i="1"/>
  <c r="N9" i="1"/>
  <c r="N10" i="1"/>
  <c r="N11" i="1"/>
  <c r="N12" i="1"/>
  <c r="N13" i="1"/>
  <c r="N14" i="1"/>
  <c r="BT21" i="1" l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3" i="1"/>
  <c r="BT4" i="1"/>
  <c r="BT5" i="1"/>
  <c r="BT6" i="1"/>
  <c r="BT7" i="1"/>
  <c r="BT2" i="1"/>
  <c r="BW20" i="1" l="1"/>
  <c r="BW19" i="1"/>
  <c r="BW18" i="1"/>
  <c r="BW17" i="1"/>
  <c r="BW16" i="1"/>
  <c r="BW14" i="1"/>
  <c r="BW9" i="1"/>
  <c r="BW8" i="1"/>
  <c r="BW11" i="1" l="1"/>
  <c r="BW13" i="1"/>
  <c r="BW21" i="1"/>
  <c r="BW15" i="1"/>
  <c r="BW10" i="1"/>
  <c r="BW12" i="1"/>
  <c r="BM7" i="1" l="1"/>
  <c r="BU7" i="1" s="1"/>
  <c r="L4" i="1" l="1"/>
  <c r="BJ2" i="1" l="1"/>
  <c r="BU2" i="1" s="1"/>
  <c r="N3" i="1" l="1"/>
  <c r="L3" i="1" s="1"/>
  <c r="N5" i="1"/>
  <c r="N6" i="1"/>
  <c r="N7" i="1"/>
  <c r="N23" i="1"/>
  <c r="N24" i="1"/>
  <c r="N25" i="1"/>
  <c r="N26" i="1"/>
  <c r="N27" i="1"/>
  <c r="N28" i="1"/>
  <c r="N29" i="1"/>
  <c r="N30" i="1"/>
  <c r="N31" i="1"/>
  <c r="N32" i="1"/>
  <c r="N33" i="1"/>
  <c r="BW22" i="1" l="1"/>
  <c r="BW23" i="1"/>
  <c r="BW24" i="1"/>
  <c r="BW25" i="1"/>
  <c r="BW26" i="1"/>
  <c r="BW27" i="1"/>
  <c r="BW28" i="1"/>
  <c r="BW29" i="1"/>
  <c r="BW30" i="1"/>
  <c r="BW31" i="1"/>
  <c r="BW32" i="1"/>
  <c r="BW33" i="1"/>
  <c r="BW6" i="1" l="1"/>
  <c r="BW3" i="1"/>
  <c r="BW2" i="1"/>
  <c r="BW5" i="1"/>
  <c r="BW7" i="1"/>
  <c r="BW4" i="1"/>
  <c r="BG58" i="1" l="1"/>
  <c r="BM58" i="1"/>
  <c r="BJ58" i="1"/>
  <c r="BP58" i="1"/>
  <c r="AV58" i="1"/>
  <c r="AX58" i="1" s="1"/>
  <c r="BV58" i="1" l="1"/>
  <c r="BU58" i="1"/>
  <c r="AW58" i="1"/>
  <c r="BW58" i="1" l="1"/>
</calcChain>
</file>

<file path=xl/sharedStrings.xml><?xml version="1.0" encoding="utf-8"?>
<sst xmlns="http://schemas.openxmlformats.org/spreadsheetml/2006/main" count="1501" uniqueCount="514">
  <si>
    <t>NOM DE LA COPROPRIETE</t>
  </si>
  <si>
    <t>COMPAGNIE</t>
  </si>
  <si>
    <t>VILLE</t>
  </si>
  <si>
    <t>COURTIER AGENT</t>
  </si>
  <si>
    <t xml:space="preserve"> </t>
  </si>
  <si>
    <t>Code Postal</t>
  </si>
  <si>
    <t>BP</t>
  </si>
  <si>
    <t>CP CIE OU AGENT</t>
  </si>
  <si>
    <t>VILLE CIE OU AGENT</t>
  </si>
  <si>
    <t>ADRESSE CIE OU AGENT</t>
  </si>
  <si>
    <t>travaux effectué sur toiture &lt; à 10 ans</t>
  </si>
  <si>
    <t>Nature SIN 2012</t>
  </si>
  <si>
    <t>NBRE     SIN 2012</t>
  </si>
  <si>
    <t xml:space="preserve"> Montant SIN 2012</t>
  </si>
  <si>
    <t>REF INTERNE SYNDIC</t>
  </si>
  <si>
    <t>année construction</t>
  </si>
  <si>
    <t>Sinistres</t>
  </si>
  <si>
    <t>Nb de nivaux y compris RDC</t>
  </si>
  <si>
    <t>COMMENTAIRES DU CHARGE DE COPRO</t>
  </si>
  <si>
    <t>Réfection Colonnes montantes et descendantes</t>
  </si>
  <si>
    <t>Nature SIN 2013</t>
  </si>
  <si>
    <t>NBRE     SIN 2013</t>
  </si>
  <si>
    <t xml:space="preserve"> Montant SIN 2013</t>
  </si>
  <si>
    <t>S/P sur primes HT</t>
  </si>
  <si>
    <t>BUREAUX</t>
  </si>
  <si>
    <t>COMMERCES</t>
  </si>
  <si>
    <t>ASL</t>
  </si>
  <si>
    <t>AFUL</t>
  </si>
  <si>
    <t>GARAGES</t>
  </si>
  <si>
    <t xml:space="preserve">Nb de bâtiments séparés </t>
  </si>
  <si>
    <t>NBRE DE LOTS PRINCIPAUX</t>
  </si>
  <si>
    <t>SURFACE TOTALE (SHOB)</t>
  </si>
  <si>
    <t>Observations sur les garanties actuelles (LCI, exclusions spécifiques)</t>
  </si>
  <si>
    <t>Franchises actuelles spécifiques</t>
  </si>
  <si>
    <t>Liste Usage</t>
  </si>
  <si>
    <t>L_USAGE</t>
  </si>
  <si>
    <t>Habitation</t>
  </si>
  <si>
    <t>ASL/AFUL</t>
  </si>
  <si>
    <t>RES.SERVICE</t>
  </si>
  <si>
    <t>HAB-COM</t>
  </si>
  <si>
    <t>100%</t>
  </si>
  <si>
    <t>&lt;25%</t>
  </si>
  <si>
    <t>&lt;50%</t>
  </si>
  <si>
    <t>&gt;50%</t>
  </si>
  <si>
    <t>Liste Surface commerciale</t>
  </si>
  <si>
    <t>L_SURF_COM</t>
  </si>
  <si>
    <t>ADRESSE 1</t>
  </si>
  <si>
    <t>CP</t>
  </si>
  <si>
    <t>PARIS</t>
  </si>
  <si>
    <t>Choisir</t>
  </si>
  <si>
    <t>AVIVA ASSURANCES</t>
  </si>
  <si>
    <t>BOIS COLOMBES</t>
  </si>
  <si>
    <t>GAN ASSURANCE</t>
  </si>
  <si>
    <t>8-10 rue d'Astorg</t>
  </si>
  <si>
    <t>PARIS CEDEX 08</t>
  </si>
  <si>
    <t xml:space="preserve">SADA Assurance </t>
  </si>
  <si>
    <t>4 RUE SCATISSE</t>
  </si>
  <si>
    <t>NIMES CEDEX 09</t>
  </si>
  <si>
    <t>GENERALI France IARD</t>
  </si>
  <si>
    <t>7 / 9 BLD HAUSSMANN</t>
  </si>
  <si>
    <t>75456  </t>
  </si>
  <si>
    <t>PARIS CEDEX 09  </t>
  </si>
  <si>
    <t>AREAS DOMMAGES</t>
  </si>
  <si>
    <t>47 - 49 rue de Miromesnil</t>
  </si>
  <si>
    <t>M.G.A</t>
  </si>
  <si>
    <t xml:space="preserve">1 avenue des Citées Unies d'Europe </t>
  </si>
  <si>
    <t xml:space="preserve"> BP 10217</t>
  </si>
  <si>
    <t>Vendome Cedex</t>
  </si>
  <si>
    <t xml:space="preserve">GAN EUROCOURTAGE </t>
  </si>
  <si>
    <t>PARIS LA DEFENSE CEDEX</t>
  </si>
  <si>
    <t>MATMUT</t>
  </si>
  <si>
    <t>Département Entreprises et Collectivités 13 rue des Petits Hotels</t>
  </si>
  <si>
    <t xml:space="preserve"> PARIS CEDEX 10</t>
  </si>
  <si>
    <t>CFDP</t>
  </si>
  <si>
    <t>1 Place Francisque Regaud</t>
  </si>
  <si>
    <t>LYON</t>
  </si>
  <si>
    <t>GROUPAMA</t>
  </si>
  <si>
    <t xml:space="preserve">50 Rue de Saint-Cyr </t>
  </si>
  <si>
    <t xml:space="preserve">LYON CEDEX 09 </t>
  </si>
  <si>
    <t>SWISS LIFE</t>
  </si>
  <si>
    <t>7 rue Belgrand</t>
  </si>
  <si>
    <t>LEVALLOIS PERRET CEDEX</t>
  </si>
  <si>
    <t>SOLLY AZAR ASSURANCE</t>
  </si>
  <si>
    <t>60 Rue de la Chaussée d'Antin</t>
  </si>
  <si>
    <t xml:space="preserve"> PARIS</t>
  </si>
  <si>
    <t>MACIF</t>
  </si>
  <si>
    <t>2 Rue Du Pied De Fond</t>
  </si>
  <si>
    <t>Niort</t>
  </si>
  <si>
    <t>Immeuble Coeur Défense</t>
  </si>
  <si>
    <t>Bâtiment 3 - 82 Esplanade du Général de Gaulle</t>
  </si>
  <si>
    <t>COURBEVOIE</t>
  </si>
  <si>
    <t>80 avenue de l europe</t>
  </si>
  <si>
    <t>JURASSURANCE</t>
  </si>
  <si>
    <t>14 bis rue ROGET de Lisle</t>
  </si>
  <si>
    <t>BP 90005</t>
  </si>
  <si>
    <t>LONS LE SAUNIER Cedex</t>
  </si>
  <si>
    <t>LA BRESSE ASSURANCE</t>
  </si>
  <si>
    <t>8 avenue Louis Jourdan</t>
  </si>
  <si>
    <t>BP 158</t>
  </si>
  <si>
    <t>01004</t>
  </si>
  <si>
    <t xml:space="preserve"> BOURG EN BRESSE</t>
  </si>
  <si>
    <t>MMA</t>
  </si>
  <si>
    <t>14 Bd Marie et Alexandre Oyon</t>
  </si>
  <si>
    <t>LE MANS CEDEX 9</t>
  </si>
  <si>
    <t>COVEA RISK</t>
  </si>
  <si>
    <t>19 Allée de l'Europe</t>
  </si>
  <si>
    <t>CLICHY</t>
  </si>
  <si>
    <t>313 Terrasses de L Arche</t>
  </si>
  <si>
    <t>NANTERRE CEDEX</t>
  </si>
  <si>
    <t>AXA France IARD</t>
  </si>
  <si>
    <t>APRIL ENTREPRISE IMMOBILIER</t>
  </si>
  <si>
    <t>1 Place Verrazzano</t>
  </si>
  <si>
    <t>CS 40622</t>
  </si>
  <si>
    <t>LYON Cedex 09</t>
  </si>
  <si>
    <t>THEMIS</t>
  </si>
  <si>
    <t>50 Allée des Dauphins</t>
  </si>
  <si>
    <t>ST ISMIER</t>
  </si>
  <si>
    <t xml:space="preserve">25 RUE DE LIEGE </t>
  </si>
  <si>
    <t>GROUPE CAMACTE</t>
  </si>
  <si>
    <t>14 avenue de l'Europe</t>
  </si>
  <si>
    <t>CS 70016</t>
  </si>
  <si>
    <t>STRASBOURG CEDEX</t>
  </si>
  <si>
    <t>DAS</t>
  </si>
  <si>
    <t>33 rue de Sydney</t>
  </si>
  <si>
    <t>LE MANS Cédex 2</t>
  </si>
  <si>
    <t>AXERIA IARD</t>
  </si>
  <si>
    <t>27 Rue Maurice Flandin</t>
  </si>
  <si>
    <t>LYON CEDEX 03</t>
  </si>
  <si>
    <t>LLOYD'S</t>
  </si>
  <si>
    <t xml:space="preserve"> 4 rue des Petits Pères </t>
  </si>
  <si>
    <t>Lieu dit Bois du Fief Clairet</t>
  </si>
  <si>
    <t>Mutuelle de Poitiers</t>
  </si>
  <si>
    <t>LIGUGÉ</t>
  </si>
  <si>
    <t>choisir</t>
  </si>
  <si>
    <t>Surface Commerciale</t>
  </si>
  <si>
    <t>P  = Prime HT N + (Primes HT N-1/N-2/N-3)*0,85)</t>
  </si>
  <si>
    <t>ALBINGIA</t>
  </si>
  <si>
    <t>109-111 RUE VICTOR HUGO</t>
  </si>
  <si>
    <t>LEVALLOIS PERRET</t>
  </si>
  <si>
    <t>Espace Européen de l'Entreprise</t>
  </si>
  <si>
    <t>SCHILTIGHEIM</t>
  </si>
  <si>
    <t>ACTE IARD / groupe CAMACTE</t>
  </si>
  <si>
    <t xml:space="preserve"> TSA 59876</t>
  </si>
  <si>
    <t xml:space="preserve">IMMEUBLE ELYSEES LA DEFENSE / 7 PLACE DU DOME </t>
  </si>
  <si>
    <t>AMLIN</t>
  </si>
  <si>
    <t>Ech. Actuelle</t>
  </si>
  <si>
    <t>Ech. Souhaitée</t>
  </si>
  <si>
    <t>Commentaire technique (négo primes, franchises, etc…)</t>
  </si>
  <si>
    <t>Risques spécifiques :              
- Châteaux,                                                    - Immeubles totalement ou partiellement inscrit inventaire ou MH                    - Surf Ciale Sup 50 %,                                  - Discothèque, C</t>
  </si>
  <si>
    <t>HAB-BUR</t>
  </si>
  <si>
    <t>NEANT</t>
  </si>
  <si>
    <t>ALLIANZ (Agents)</t>
  </si>
  <si>
    <t>Nom Gestionnaire</t>
  </si>
  <si>
    <t>Allianz Eurocourtage</t>
  </si>
  <si>
    <t>MIXTE</t>
  </si>
  <si>
    <t>Précisions gros sinistres</t>
  </si>
  <si>
    <t>Nature SIN 2014</t>
  </si>
  <si>
    <t>NBRE     SIN 2014</t>
  </si>
  <si>
    <t xml:space="preserve"> Montant SIN 2014</t>
  </si>
  <si>
    <t>N° DE CONTRAT MRI</t>
  </si>
  <si>
    <t>N° DE CONTRAT PJ</t>
  </si>
  <si>
    <t>TYPE DE RISQUE</t>
  </si>
  <si>
    <t>SDCH</t>
  </si>
  <si>
    <t>SDCV</t>
  </si>
  <si>
    <t>L_type de risque</t>
  </si>
  <si>
    <t>TR</t>
  </si>
  <si>
    <t>MI</t>
  </si>
  <si>
    <t>TE</t>
  </si>
  <si>
    <t>TOITURE</t>
  </si>
  <si>
    <t>VE</t>
  </si>
  <si>
    <t>TERRASSE</t>
  </si>
  <si>
    <t>TRADITIONNELLE</t>
  </si>
  <si>
    <t>VEGETALE</t>
  </si>
  <si>
    <t>ravalement de façade &lt; 10 ans (O ou N) (total ou partiel)</t>
  </si>
  <si>
    <t>Nbre de niveaux de sous-sol (1s / parkings)</t>
  </si>
  <si>
    <t>Toiture :           TE = TErrasse      TR = Traditionnelle   MI = Mixte   VE = Vegétale</t>
  </si>
  <si>
    <t>BURE</t>
  </si>
  <si>
    <t>COMM</t>
  </si>
  <si>
    <t>CENTRE COMMERCIAL</t>
  </si>
  <si>
    <t>GGE</t>
  </si>
  <si>
    <t>RESS</t>
  </si>
  <si>
    <t>RESIDENCE SERVICE</t>
  </si>
  <si>
    <t>SDC HORIZONTALE 100% HAB</t>
  </si>
  <si>
    <t>SDC VERTICALE 100% HAB</t>
  </si>
  <si>
    <t>HABU</t>
  </si>
  <si>
    <t>HABITATION ET BUREAUX</t>
  </si>
  <si>
    <t>HABITATION ET COMMERCES</t>
  </si>
  <si>
    <t>HACO</t>
  </si>
  <si>
    <t>Taux au m2 sur prime actuelle</t>
  </si>
  <si>
    <t>FG</t>
  </si>
  <si>
    <t>REF CLIENT</t>
  </si>
  <si>
    <t>SIGLE OBI</t>
  </si>
  <si>
    <t>SURFACE HABITATION</t>
  </si>
  <si>
    <t>SURFACE BUREAUX</t>
  </si>
  <si>
    <t>SURFACE COMMERCES</t>
  </si>
  <si>
    <t>SURFACE LOCAUX ARTISANATS</t>
  </si>
  <si>
    <t>SURFACE LOCAUX INDUSTRIELS</t>
  </si>
  <si>
    <t>SURFACE SOUS-SOLS</t>
  </si>
  <si>
    <t xml:space="preserve"> Nbre sinistres sur 3 ans + exercice en cours</t>
  </si>
  <si>
    <t>TRAVAUX</t>
  </si>
  <si>
    <t>O</t>
  </si>
  <si>
    <t>OUI</t>
  </si>
  <si>
    <t>N</t>
  </si>
  <si>
    <t>NON</t>
  </si>
  <si>
    <t>ALTITUDE</t>
  </si>
  <si>
    <t>MODE RESIL</t>
  </si>
  <si>
    <t>SY</t>
  </si>
  <si>
    <t>SYNDIC</t>
  </si>
  <si>
    <t>CS</t>
  </si>
  <si>
    <t>AG</t>
  </si>
  <si>
    <t>CONSEIL SYNDICAL</t>
  </si>
  <si>
    <t>ASSEMBLEE GENERALE</t>
  </si>
  <si>
    <t>IMP</t>
  </si>
  <si>
    <t>IMPOSSIBLE</t>
  </si>
  <si>
    <r>
      <t xml:space="preserve">ADRESSE DE L'IMMEUBLE                                </t>
    </r>
    <r>
      <rPr>
        <b/>
        <sz val="10"/>
        <color rgb="FFFF0000"/>
        <rFont val="Verdana"/>
        <family val="2"/>
      </rPr>
      <t>(sans point virgule)</t>
    </r>
  </si>
  <si>
    <r>
      <t xml:space="preserve">COMPLEMENT ADRESSE                              </t>
    </r>
    <r>
      <rPr>
        <b/>
        <sz val="10"/>
        <color rgb="FFFF0000"/>
        <rFont val="Verdana"/>
        <family val="2"/>
      </rPr>
      <t>(sans point virgule)</t>
    </r>
  </si>
  <si>
    <r>
      <t xml:space="preserve">Nature des commerces                                                  </t>
    </r>
    <r>
      <rPr>
        <b/>
        <sz val="10"/>
        <color rgb="FFFF0000"/>
        <rFont val="Verdana"/>
        <family val="2"/>
      </rPr>
      <t>(sans point virgule)</t>
    </r>
  </si>
  <si>
    <t>PNO</t>
  </si>
  <si>
    <t>SDC</t>
  </si>
  <si>
    <t>Nature du contrat  MRI / PJ / VTM / RC …</t>
  </si>
  <si>
    <t>Nature SIN 2015</t>
  </si>
  <si>
    <t>NBRE     SIN 2015</t>
  </si>
  <si>
    <t xml:space="preserve"> Montant SIN 2015</t>
  </si>
  <si>
    <t>STEIN</t>
  </si>
  <si>
    <t>DA</t>
  </si>
  <si>
    <t>7 BD JULES FERRY</t>
  </si>
  <si>
    <t>cf. mail + carnet d entretien</t>
  </si>
  <si>
    <t>néant</t>
  </si>
  <si>
    <t>ASSURANCES ET CONSEILS</t>
  </si>
  <si>
    <t>GENERALI</t>
  </si>
  <si>
    <t>7 BD HAUSSMANN</t>
  </si>
  <si>
    <t>PARIS CEDEX 09</t>
  </si>
  <si>
    <t>AM165530</t>
  </si>
  <si>
    <t>MRI</t>
  </si>
  <si>
    <t>DDE</t>
  </si>
  <si>
    <t>RECOURS en cours 5629,37</t>
  </si>
  <si>
    <t>VACANT</t>
  </si>
  <si>
    <t>11 RUE DE JOINVILLE</t>
  </si>
  <si>
    <t>AVIVA</t>
  </si>
  <si>
    <t>MR LARADI MALEK AGENT GAL</t>
  </si>
  <si>
    <t>26 RUE DE LA PASSERELLE</t>
  </si>
  <si>
    <t>CHILY MAZARIN</t>
  </si>
  <si>
    <t>INFILTRATIONS FACADE SUITE TVX RAVALEMENT MALFACONS RECOURS EN COURS 5629 € POUR LE DDE 2013</t>
  </si>
  <si>
    <t>COIFFEUR BIJOUTIER RESTAURANT</t>
  </si>
  <si>
    <t>imm récent nouveau mandat gestion</t>
  </si>
  <si>
    <t>3 RUE ROCHEBRUNE</t>
  </si>
  <si>
    <t>&lt;1948</t>
  </si>
  <si>
    <t>BESSE</t>
  </si>
  <si>
    <t>AXA</t>
  </si>
  <si>
    <t>0.5 fois l'ind FFB</t>
  </si>
  <si>
    <t>BDG</t>
  </si>
  <si>
    <t xml:space="preserve"> 7 JULES FERRY</t>
  </si>
  <si>
    <t>4 RUE DU GENERAL GUILHEM</t>
  </si>
  <si>
    <t>DDE 3000 €</t>
  </si>
  <si>
    <t>DATE ENVOI RESIL POUR MAJO</t>
  </si>
  <si>
    <t>DATE ENVOI RESIL ECHEANCE</t>
  </si>
  <si>
    <t>DATE D'EFFET  CONTRAT VERSPIEREN</t>
  </si>
  <si>
    <t>N° LRAR</t>
  </si>
  <si>
    <t>2 RUE DU YVES TOUDIC</t>
  </si>
  <si>
    <t>9 FBG DU TEMPLE</t>
  </si>
  <si>
    <t>DDE 1,5* l'ind FFB</t>
  </si>
  <si>
    <t xml:space="preserve">MRI </t>
  </si>
  <si>
    <t>4 GENERAL GUILHEM</t>
  </si>
  <si>
    <t>2 YVES TOUDIC - 9 FBG DU TEMPLE</t>
  </si>
  <si>
    <t>3 ROCHEBRUNE</t>
  </si>
  <si>
    <t xml:space="preserve">TRAITEUR BOULANGERIE </t>
  </si>
  <si>
    <r>
      <t xml:space="preserve">Tx à </t>
    </r>
    <r>
      <rPr>
        <b/>
        <sz val="11"/>
        <color theme="1"/>
        <rFont val="Calibri"/>
        <family val="2"/>
        <scheme val="minor"/>
      </rPr>
      <t>6,60 €/m2</t>
    </r>
    <r>
      <rPr>
        <sz val="11"/>
        <color theme="1"/>
        <rFont val="Calibri"/>
        <family val="2"/>
        <scheme val="minor"/>
      </rPr>
      <t xml:space="preserve"> avec </t>
    </r>
    <r>
      <rPr>
        <b/>
        <sz val="11"/>
        <color theme="1"/>
        <rFont val="Calibri"/>
        <family val="2"/>
        <scheme val="minor"/>
      </rPr>
      <t>FSE DDE 1700 € SOIT 5694€ FG INCLUS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OU</t>
    </r>
    <r>
      <rPr>
        <sz val="11"/>
        <rFont val="Calibri"/>
        <family val="2"/>
        <scheme val="minor"/>
      </rPr>
      <t xml:space="preserve"> Tx</t>
    </r>
    <r>
      <rPr>
        <sz val="11"/>
        <color theme="1"/>
        <rFont val="Calibri"/>
        <family val="2"/>
        <scheme val="minor"/>
      </rPr>
      <t xml:space="preserve"> à </t>
    </r>
    <r>
      <rPr>
        <b/>
        <sz val="11"/>
        <color theme="1"/>
        <rFont val="Calibri"/>
        <family val="2"/>
        <scheme val="minor"/>
      </rPr>
      <t xml:space="preserve">8€/m2 </t>
    </r>
    <r>
      <rPr>
        <sz val="11"/>
        <color theme="1"/>
        <rFont val="Calibri"/>
        <family val="2"/>
        <scheme val="minor"/>
      </rPr>
      <t xml:space="preserve">avec suppression de la franchise DDE  </t>
    </r>
    <r>
      <rPr>
        <b/>
        <sz val="11"/>
        <color theme="1"/>
        <rFont val="Calibri"/>
        <family val="2"/>
        <scheme val="minor"/>
      </rPr>
      <t>SOIT 6970€ FG INCLUS</t>
    </r>
  </si>
  <si>
    <t>7 ROCHEBRUNE</t>
  </si>
  <si>
    <t>7 RUE ROCHEBRUNE</t>
  </si>
  <si>
    <t>DDE+BDG</t>
  </si>
  <si>
    <t>PLOMBIER</t>
  </si>
  <si>
    <t>CHOIX FSE 1700 € PRIME 5694 €</t>
  </si>
  <si>
    <t>SOUSCRIT</t>
  </si>
  <si>
    <t>Ok CS sur propo à 3307 € ( mail 06/07)</t>
  </si>
  <si>
    <r>
      <t xml:space="preserve">Tx à </t>
    </r>
    <r>
      <rPr>
        <b/>
        <sz val="11"/>
        <color theme="1"/>
        <rFont val="Calibri"/>
        <family val="2"/>
        <scheme val="minor"/>
      </rPr>
      <t>3,80 €/m2</t>
    </r>
    <r>
      <rPr>
        <sz val="11"/>
        <color theme="1"/>
        <rFont val="Calibri"/>
        <family val="2"/>
        <scheme val="minor"/>
      </rPr>
      <t xml:space="preserve">  soit 7180 € avec </t>
    </r>
    <r>
      <rPr>
        <b/>
        <sz val="11"/>
        <color theme="1"/>
        <rFont val="Calibri"/>
        <family val="2"/>
        <scheme val="minor"/>
      </rPr>
      <t>FSE DDE 1700 €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ou</t>
    </r>
    <r>
      <rPr>
        <sz val="11"/>
        <color theme="1"/>
        <rFont val="Calibri"/>
        <family val="2"/>
        <scheme val="minor"/>
      </rPr>
      <t xml:space="preserve"> Tx à </t>
    </r>
    <r>
      <rPr>
        <b/>
        <sz val="11"/>
        <color theme="1"/>
        <rFont val="Calibri"/>
        <family val="2"/>
        <scheme val="minor"/>
      </rPr>
      <t>4,70 €/m2</t>
    </r>
    <r>
      <rPr>
        <sz val="11"/>
        <color theme="1"/>
        <rFont val="Calibri"/>
        <family val="2"/>
        <scheme val="minor"/>
      </rPr>
      <t xml:space="preserve"> soit  8845 € avec suppression de la fse DDE</t>
    </r>
  </si>
  <si>
    <r>
      <rPr>
        <b/>
        <sz val="11"/>
        <rFont val="Calibri"/>
        <family val="2"/>
        <scheme val="minor"/>
      </rPr>
      <t>AREAS</t>
    </r>
    <r>
      <rPr>
        <sz val="11"/>
        <color theme="1"/>
        <rFont val="Calibri"/>
        <family val="2"/>
        <scheme val="minor"/>
      </rPr>
      <t xml:space="preserve"> 2626 € AVEC FSE 0,5* L'indice </t>
    </r>
    <r>
      <rPr>
        <b/>
        <sz val="11"/>
        <color rgb="FFFF0000"/>
        <rFont val="Calibri"/>
        <family val="2"/>
        <scheme val="minor"/>
      </rPr>
      <t xml:space="preserve">OU </t>
    </r>
    <r>
      <rPr>
        <sz val="11"/>
        <rFont val="Calibri"/>
        <family val="2"/>
        <scheme val="minor"/>
      </rPr>
      <t>ALLIANZ 3180 € sans franchise</t>
    </r>
  </si>
  <si>
    <t>72 BD VOLTAIRE</t>
  </si>
  <si>
    <t>VETEMENTS</t>
  </si>
  <si>
    <t>67 SEDAINE</t>
  </si>
  <si>
    <t>24 LEBRUN</t>
  </si>
  <si>
    <t>47 AVENUE DE LA REPUBLIQUE</t>
  </si>
  <si>
    <t>FS TS 2 FOIS L IND</t>
  </si>
  <si>
    <t>8 ST AMBROISE</t>
  </si>
  <si>
    <t>10 ROCHEBRUNE</t>
  </si>
  <si>
    <t>3 PROVENCE</t>
  </si>
  <si>
    <t>FS DDE 1.7 FOIS IND</t>
  </si>
  <si>
    <t>29 BD ST MARTIN</t>
  </si>
  <si>
    <t>15 CITE DUPONT</t>
  </si>
  <si>
    <t>0,4 FOIS IND DDE</t>
  </si>
  <si>
    <t>221 VOLTAIRE</t>
  </si>
  <si>
    <t>COIFFEUR</t>
  </si>
  <si>
    <t>16 CAMILLE DESMOULINS</t>
  </si>
  <si>
    <t>73 LEON FROT</t>
  </si>
  <si>
    <t>RESTAURANT</t>
  </si>
  <si>
    <t>14 DEGUERRY</t>
  </si>
  <si>
    <t>2 RUE TOUSSAINT FERON</t>
  </si>
  <si>
    <t>5, 8, 8bis, 10 PASSAGE LISA</t>
  </si>
  <si>
    <t>6 IMP DES TROIS SŒURS</t>
  </si>
  <si>
    <t>FSE TS 2500 €</t>
  </si>
  <si>
    <t>SUPP FSE</t>
  </si>
  <si>
    <t>141 / 143 AV DE CHOISY</t>
  </si>
  <si>
    <t>HOTEL "Hotel des Beaux Arts" BAT B</t>
  </si>
  <si>
    <t>4 BAT dont 1 Hotel + 1 hab + 2 remises</t>
  </si>
  <si>
    <t>Hotel</t>
  </si>
  <si>
    <t>14 RUE DEGUERRY</t>
  </si>
  <si>
    <t>141 / 143 CHOISY</t>
  </si>
  <si>
    <t>15AL810029/39</t>
  </si>
  <si>
    <t>73 RUE LEON FROT</t>
  </si>
  <si>
    <t>16 RUE CAMILLE DESMOULINS</t>
  </si>
  <si>
    <t>221 BD VOLTAIRE</t>
  </si>
  <si>
    <t>15AL810029/38</t>
  </si>
  <si>
    <t>3 RUE DE PROVENCE</t>
  </si>
  <si>
    <t>PASSAGE LISA</t>
  </si>
  <si>
    <t>8 RUE ST AMBROISE</t>
  </si>
  <si>
    <t>809AA304832/5</t>
  </si>
  <si>
    <t>15AL810029/2</t>
  </si>
  <si>
    <t>72 VOLTAIRE</t>
  </si>
  <si>
    <t>15AL810029/21</t>
  </si>
  <si>
    <t>VAND</t>
  </si>
  <si>
    <t>PREVOIR OPTION SUPP FSE</t>
  </si>
  <si>
    <t>BAT A R+2 BAT B RDC BAT D R+1 BAT E RDC</t>
  </si>
  <si>
    <t>MISE EN COPRO OCT 2013</t>
  </si>
  <si>
    <t>DDE 2000 €</t>
  </si>
  <si>
    <t xml:space="preserve">PREVOIR OPTION AVEC ET SANS F SE  </t>
  </si>
  <si>
    <t>RESTAURATION RAPIDE GALERIE D ART</t>
  </si>
  <si>
    <t>IMMEUBLE GS</t>
  </si>
  <si>
    <t>MERCERIE</t>
  </si>
  <si>
    <t>13 CRESPIN DU GAST</t>
  </si>
  <si>
    <t>13 RUE CRESPIN DU GAST</t>
  </si>
  <si>
    <t>SHOW ROOM</t>
  </si>
  <si>
    <t>809AA304832/3</t>
  </si>
  <si>
    <t>FSE DDE 1500 €</t>
  </si>
  <si>
    <t>INC</t>
  </si>
  <si>
    <t>PREVOIR OPTION AVEC ET SANS FSE</t>
  </si>
  <si>
    <t xml:space="preserve">prime 3840 € (2,4 €/m2) // FT 350 € </t>
  </si>
  <si>
    <t>option 1 prime à  8402 € (2,90€/m2) avec  f se DDE  1600 € OU option 2 supp fse dde 10081 € (3,45 €/m2) // FG 300 €</t>
  </si>
  <si>
    <t>prime à 6421 € (2€ / m2)+ 200 € FG</t>
  </si>
  <si>
    <t>DDE + VAND</t>
  </si>
  <si>
    <t>DDE + DEF REC + BDG</t>
  </si>
  <si>
    <t>prime 2725 € (1,90 €/m2) // FG 200 €</t>
  </si>
  <si>
    <t>prime 4180 € (2,20 €/m2) // FG 300 €</t>
  </si>
  <si>
    <t>prime 3094 € (4,40 €/m2) // FG 200 €</t>
  </si>
  <si>
    <t xml:space="preserve">option 1 5325 € (2,80 €/m2) avec maintien f se DDE 2000 € FG 300 € OU option 2 prime 6840 € (3,60 €/m2) avec supp f se et FG 110 € </t>
  </si>
  <si>
    <t>cabinet médical - bureau import export</t>
  </si>
  <si>
    <t>PREVOIR OPTION AVEC ET SANS F SE</t>
  </si>
  <si>
    <t>prime  4 960 € (2,60 €/m2) // FG 200 €</t>
  </si>
  <si>
    <t>sans suite 18/09</t>
  </si>
  <si>
    <t>31 BOINOD</t>
  </si>
  <si>
    <t>31 RUE BOINOD</t>
  </si>
  <si>
    <t>R+8</t>
  </si>
  <si>
    <t>15AL810029/20</t>
  </si>
  <si>
    <t>prime 2800 € (3,50 €/m2) + FG 155</t>
  </si>
  <si>
    <t>1 prime 6220 € (6,22 €/m2) avec maintien f se DDE 0,4 * ind // FG 300 €</t>
  </si>
  <si>
    <t xml:space="preserve">prime 2550 €  (1,7 €/m2) avec maintien f se TS 2500 €  // FG 300 </t>
  </si>
  <si>
    <t>choix option 1 Franchise 1700 € DDE avec prime 7180 €</t>
  </si>
  <si>
    <t>DDE + BDG</t>
  </si>
  <si>
    <t>prime 3995 € + FG 300</t>
  </si>
  <si>
    <t>AUTO ECOLE PLOMBIER LIBRAIRIE</t>
  </si>
  <si>
    <t>?</t>
  </si>
  <si>
    <t>KH</t>
  </si>
  <si>
    <t>12/14 GUILLAUME BERTRAND</t>
  </si>
  <si>
    <t>12/14 RUE GUILLAUME BERTRAND</t>
  </si>
  <si>
    <t>SALON DE THE</t>
  </si>
  <si>
    <t>R+6</t>
  </si>
  <si>
    <t>32AL810029/2</t>
  </si>
  <si>
    <t>MANQUE STATS</t>
  </si>
  <si>
    <t>14 PIERRE SEMARD</t>
  </si>
  <si>
    <t>14 RUE PIERRE SEMARD</t>
  </si>
  <si>
    <t>CROIX ROUGE FRANCAISE</t>
  </si>
  <si>
    <t>809AA304832/1</t>
  </si>
  <si>
    <t>DDE 1,5* l'ind FFB au 1/1/2015</t>
  </si>
  <si>
    <t>4 RUE NEUVE POPINCOURT</t>
  </si>
  <si>
    <t>14 FOLIE MERICOURT</t>
  </si>
  <si>
    <t>14 RUE FOLIE MERICOURT</t>
  </si>
  <si>
    <t>1/2/3 Cité Popincourt</t>
  </si>
  <si>
    <t>DDE 0,5 * ind ffb</t>
  </si>
  <si>
    <t>R+3</t>
  </si>
  <si>
    <t xml:space="preserve">104 RUE ST MAUR </t>
  </si>
  <si>
    <t>104 RUE ST MAUR</t>
  </si>
  <si>
    <t>RESTAURATION RAPIDE  BAR CAVE A VINS</t>
  </si>
  <si>
    <t>R+5</t>
  </si>
  <si>
    <t>prime 4195 € (1,85 €/m2) + FG 200 €</t>
  </si>
  <si>
    <t>39 RUE N.D. DE NAZARETH</t>
  </si>
  <si>
    <t xml:space="preserve"> option 2 prime 6220 € (3,70 €/m2) sans fse // FG 300 €</t>
  </si>
  <si>
    <t xml:space="preserve">SOUSCRIT </t>
  </si>
  <si>
    <t>39 NOTRE DAME DE NAZARETH</t>
  </si>
  <si>
    <t>56 bis/58 RUE OBERKAMPF</t>
  </si>
  <si>
    <t>15AL810029/14</t>
  </si>
  <si>
    <t>DERNIERE PRIME STEIN ANNUELLE TTC</t>
  </si>
  <si>
    <t>Taux au m2 sur prime hors FG</t>
  </si>
  <si>
    <t>NOUVELLE Prime STEIN Totale yc fg</t>
  </si>
  <si>
    <t>PRIME MRI ALLIANZ 
ACTUELLE TTC</t>
  </si>
  <si>
    <t xml:space="preserve">ATTENTE RENOUV AXA 1/1 </t>
  </si>
  <si>
    <t>15AL810029/8</t>
  </si>
  <si>
    <t>5 RUE YVES TOUDIC</t>
  </si>
  <si>
    <t>5 YVES TOUDIC</t>
  </si>
  <si>
    <t>15AL810029/42</t>
  </si>
  <si>
    <t>Prime 3285 € dont 300 € frais de gestion</t>
  </si>
  <si>
    <t>prime 6605 € dont 250 € frais de gestion</t>
  </si>
  <si>
    <t>10 rue Neuve des Boulets</t>
  </si>
  <si>
    <t>10 NEUVE DES BOULETS</t>
  </si>
  <si>
    <t>56 BIS/58 OBERKAMPF</t>
  </si>
  <si>
    <t xml:space="preserve">18 PACHE </t>
  </si>
  <si>
    <t>18 RUE PACHE</t>
  </si>
  <si>
    <t>R+7</t>
  </si>
  <si>
    <t>20 TAILLANDIERS</t>
  </si>
  <si>
    <t>1H0169575</t>
  </si>
  <si>
    <t>0.6 FOIS IND FSE GENERALE</t>
  </si>
  <si>
    <t>79 RUE DU FBG DU TEMPLE</t>
  </si>
  <si>
    <t>15AL810029/40</t>
  </si>
  <si>
    <t>137 JEAN JAURES</t>
  </si>
  <si>
    <t>85 VOLTAIRE</t>
  </si>
  <si>
    <t>132 ST MAUR</t>
  </si>
  <si>
    <t>FSE DDE 1800 €</t>
  </si>
  <si>
    <t>101 FOLIE MERICOURT</t>
  </si>
  <si>
    <t>39/41 CHEMIN VERT</t>
  </si>
  <si>
    <t>30 POPINCOURT</t>
  </si>
  <si>
    <t>prime 3395 € dont 200 € fg</t>
  </si>
  <si>
    <t>132 RUE SAINT MAUR</t>
  </si>
  <si>
    <t>BAT A 1 BAT B 1 BAT C 1</t>
  </si>
  <si>
    <t>BAT A R+5 BAT B R+5 BAT C R+4</t>
  </si>
  <si>
    <t>15AL810029/22</t>
  </si>
  <si>
    <t>15AL810029/7</t>
  </si>
  <si>
    <t>prime 3740 € dont 200 € fg</t>
  </si>
  <si>
    <t>79 RUE DU FAUBOURG DU TEMPLE</t>
  </si>
  <si>
    <t>BAT A R+6 BAT B R+1</t>
  </si>
  <si>
    <t>137 AVENUE JEAN JAURES</t>
  </si>
  <si>
    <t>101 RUE DE LA FOLIE MERICOURT</t>
  </si>
  <si>
    <t>18 BD JULES FERRY</t>
  </si>
  <si>
    <t>BAT A R+5 BAT B RDC BAT C R+4 BAT D RDC</t>
  </si>
  <si>
    <t>DDE (2) + INC</t>
  </si>
  <si>
    <t>85 BD VOLTAIRE</t>
  </si>
  <si>
    <t>BAT A R+7 BAT B R+4</t>
  </si>
  <si>
    <t>DI</t>
  </si>
  <si>
    <t>20 RUE DES TAILLANDIERS</t>
  </si>
  <si>
    <t>R+1</t>
  </si>
  <si>
    <t>SADA</t>
  </si>
  <si>
    <t>EN ATTENTE DES INFORMATIONS TECHNIQUES CLIENT</t>
  </si>
  <si>
    <t>1 PASSAGE GUENOT</t>
  </si>
  <si>
    <t>66 REPUBLIQUE</t>
  </si>
  <si>
    <t>66 RUE REPUBLIQUE</t>
  </si>
  <si>
    <t>PRESENCE COMMERCES</t>
  </si>
  <si>
    <t>1H0024971</t>
  </si>
  <si>
    <t>FSE DDE 300 €</t>
  </si>
  <si>
    <t>RENAUD GUIBAL</t>
  </si>
  <si>
    <t>21 JULIETTE DODU</t>
  </si>
  <si>
    <t>21 RUE JULIETTE DODU</t>
  </si>
  <si>
    <t>CABINET ROBLIN</t>
  </si>
  <si>
    <t>AXA France Iard</t>
  </si>
  <si>
    <t>VOL+DDE</t>
  </si>
  <si>
    <t>2C04416071944</t>
  </si>
  <si>
    <t>FSE TS 2000 €  à/c du 1/1/2013</t>
  </si>
  <si>
    <t>SANS SUITE 2016 RENOUV INDICE GENERALI</t>
  </si>
  <si>
    <t>prime 5940 € dont 50 € FG, franchise DDE 300 €</t>
  </si>
  <si>
    <t>SANS SUITE 2016 RENOUV +10,58%</t>
  </si>
  <si>
    <t>SANS SUITE 2016 RENOUV AXA IND</t>
  </si>
  <si>
    <t>VALIDEE MADE</t>
  </si>
  <si>
    <t>prime 4675 € dont 150 € fg</t>
  </si>
  <si>
    <t>51 BIS AV REPUBLIQUE</t>
  </si>
  <si>
    <t>prime 7975 € dont 250 € fg</t>
  </si>
  <si>
    <t>prime 7485 € + FG 150 € - FRANCHISE DDE 2000 €</t>
  </si>
  <si>
    <t>11 VERT BOIS</t>
  </si>
  <si>
    <t>11RUE DU VERT BOIS</t>
  </si>
  <si>
    <t>DDE + DEF RECOURS</t>
  </si>
  <si>
    <t xml:space="preserve">prime 8587 € + 200 € FG </t>
  </si>
  <si>
    <t>4 NEUVE POPINCOURT</t>
  </si>
  <si>
    <t>78 DANTON</t>
  </si>
  <si>
    <t>78 RUE DANTON</t>
  </si>
  <si>
    <t>PLASSE</t>
  </si>
  <si>
    <t xml:space="preserve">2 DDE + RC IMM </t>
  </si>
  <si>
    <t>RCB BDG</t>
  </si>
  <si>
    <t>3 PLACE JUSSIEU</t>
  </si>
  <si>
    <t>OPHTALMO</t>
  </si>
  <si>
    <t>15AL810029/28</t>
  </si>
  <si>
    <t>ARCHITECTES</t>
  </si>
  <si>
    <t>15AL810029/31</t>
  </si>
  <si>
    <t>20 CAMILLE DESMPOULINS</t>
  </si>
  <si>
    <t>15AL810029/11</t>
  </si>
  <si>
    <t>ATTENTE RENOUVELLEMENT</t>
  </si>
  <si>
    <t>30 RUE POPINCOURT</t>
  </si>
  <si>
    <t>prime 5155 € + 100 € FG</t>
  </si>
  <si>
    <t>SANS SUITE SUITE RENOUV AXA</t>
  </si>
  <si>
    <t>SANS SUITE SUITE RENOUV SADA</t>
  </si>
  <si>
    <t>2 options n°1 8850 € + 60 € FG avec fse dde 1800€ et n°2 10845 € + 60 € FG</t>
  </si>
  <si>
    <t>1 SIN RC IMM 11 K€ - REPRISE A ECH POUR MAJO + 37% CF MAIL M DESJARS</t>
  </si>
  <si>
    <t>10 RUE ROCHEBRUNE</t>
  </si>
  <si>
    <t>15AL810029/23</t>
  </si>
  <si>
    <t>DDE (3) + VAND</t>
  </si>
  <si>
    <t xml:space="preserve">REFUS CS </t>
  </si>
  <si>
    <t>REFUS CS</t>
  </si>
  <si>
    <t>20 RUE CAMILLE DESMOULINS</t>
  </si>
  <si>
    <t>prime 4555 € + 200 € FG</t>
  </si>
  <si>
    <t>option 1 : prime 4690 € + 100 € FG avec fse dde 1 fois ind ffb ou option n°2 : prime 4185 € +100 € FG avec maintien fse ts Fois ind ffb</t>
  </si>
  <si>
    <t>51 RUE SEDAINE</t>
  </si>
  <si>
    <t>2000 € DDE</t>
  </si>
  <si>
    <t xml:space="preserve"> Montant SIN 2016</t>
  </si>
  <si>
    <t>Nature SIN 2016</t>
  </si>
  <si>
    <t>NBRE     SIN 2016</t>
  </si>
  <si>
    <t xml:space="preserve">DDE </t>
  </si>
  <si>
    <t>Proposition en cours 17062016 attente décision cs</t>
  </si>
  <si>
    <t xml:space="preserve">fse specifique dde 1000 € prime 9155 € </t>
  </si>
  <si>
    <t>99 JP TIMBAUD</t>
  </si>
  <si>
    <t>99 RUE JEAN PIERRE TIMBAUD</t>
  </si>
  <si>
    <t>R+3 RDC RDC</t>
  </si>
  <si>
    <t>EXCLU GIE INFILTRATIONS FACADES</t>
  </si>
  <si>
    <t>Proposition en cours 20062016 attente décision cs</t>
  </si>
  <si>
    <t>prime 4858 €</t>
  </si>
  <si>
    <t>prime  3055 € + 100 € FG</t>
  </si>
  <si>
    <t>SANS SUITE RENOUV - 2000 €</t>
  </si>
  <si>
    <r>
      <t xml:space="preserve">Tx à </t>
    </r>
    <r>
      <rPr>
        <b/>
        <strike/>
        <sz val="11"/>
        <color theme="1"/>
        <rFont val="Calibri"/>
        <family val="2"/>
        <scheme val="minor"/>
      </rPr>
      <t xml:space="preserve">1,47 €/m2 </t>
    </r>
    <r>
      <rPr>
        <strike/>
        <sz val="11"/>
        <color theme="1"/>
        <rFont val="Calibri"/>
        <family val="2"/>
        <scheme val="minor"/>
      </rPr>
      <t>soit  4790 €</t>
    </r>
    <r>
      <rPr>
        <b/>
        <strike/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sans franchise</t>
    </r>
  </si>
  <si>
    <t>CHANGEMENT DE SYNDIC AU 5,4,2016</t>
  </si>
  <si>
    <t>1500 € DDE</t>
  </si>
  <si>
    <t>67 RUE SEDAINE</t>
  </si>
  <si>
    <t>Franchise DDE 1000€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</si>
</sst>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€&quot;_-;\-* #,##0.00\ &quot;€&quot;_-;_-* &quot;-&quot;??\ &quot;€&quot;_-;_-@_-"/>
    <numFmt numFmtId="164" formatCode="_-* #,##0.00\ [$€-1]_-;\-* #,##0.00\ [$€-1]_-;_-* &quot;-&quot;??\ [$€-1]_-"/>
    <numFmt numFmtId="165" formatCode="d/m;@"/>
    <numFmt numFmtId="166" formatCode="_-* #,##0\ [$€-40C]_-;\-* #,##0\ [$€-40C]_-;_-* &quot;-&quot;??\ [$€-40C]_-;_-@_-"/>
    <numFmt numFmtId="167" formatCode="#,##0;[Red]#,##0"/>
    <numFmt numFmtId="168" formatCode="[$-40C]d\ mmmm\ yyyy;@"/>
    <numFmt numFmtId="169" formatCode="#,##0\ &quot;€&quot;"/>
    <numFmt numFmtId="170" formatCode="[$-40C]d\-mmm\-yyyy;@"/>
  </numFmts>
  <fonts count="4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  <font>
      <sz val="11"/>
      <name val="Verdana"/>
      <family val="2"/>
    </font>
    <font>
      <b/>
      <sz val="8.8000000000000007"/>
      <color rgb="FF333333"/>
      <name val="Arial"/>
      <family val="2"/>
    </font>
    <font>
      <sz val="11"/>
      <color theme="1"/>
      <name val="Verdana"/>
      <family val="2"/>
    </font>
    <font>
      <b/>
      <sz val="10"/>
      <name val="Verdana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b/>
      <sz val="11"/>
      <color rgb="FFFF0000"/>
      <name val="Verdana"/>
      <family val="2"/>
    </font>
    <font>
      <b/>
      <sz val="11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indexed="8"/>
      <name val="Verdana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indexed="8"/>
      <name val="Verdana"/>
      <family val="2"/>
    </font>
    <font>
      <strike/>
      <sz val="11"/>
      <name val="Calibri"/>
      <family val="2"/>
      <scheme val="minor"/>
    </font>
    <font>
      <strike/>
      <sz val="10"/>
      <name val="Arial"/>
      <family val="2"/>
    </font>
    <font>
      <strike/>
      <sz val="10"/>
      <color theme="1"/>
      <name val="Verdana"/>
      <family val="2"/>
    </font>
    <font>
      <strike/>
      <sz val="11"/>
      <color theme="1"/>
      <name val="Calibri"/>
      <family val="2"/>
      <scheme val="minor"/>
    </font>
    <font>
      <strike/>
      <sz val="11"/>
      <color indexed="8"/>
      <name val="Calibri"/>
      <family val="2"/>
    </font>
    <font>
      <b/>
      <strike/>
      <sz val="11"/>
      <name val="Verdana"/>
      <family val="2"/>
    </font>
    <font>
      <b/>
      <strike/>
      <sz val="11"/>
      <color theme="1"/>
      <name val="Verdana"/>
      <family val="2"/>
    </font>
    <font>
      <b/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lightUp">
        <bgColor theme="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69">
    <xf numFmtId="0" fontId="0" fillId="0" borderId="0" xfId="0"/>
    <xf numFmtId="0" fontId="0" fillId="0" borderId="0" xfId="0" quotePrefix="1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quotePrefix="1" applyNumberFormat="1"/>
    <xf numFmtId="0" fontId="6" fillId="0" borderId="17" xfId="2" applyFont="1" applyFill="1" applyBorder="1" applyAlignment="1">
      <alignment horizontal="center" vertical="center" wrapText="1"/>
    </xf>
    <xf numFmtId="0" fontId="6" fillId="0" borderId="18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19" xfId="2" applyFont="1" applyFill="1" applyBorder="1" applyAlignment="1">
      <alignment horizontal="center" vertical="center" wrapText="1"/>
    </xf>
    <xf numFmtId="1" fontId="6" fillId="0" borderId="19" xfId="2" applyNumberFormat="1" applyFont="1" applyFill="1" applyBorder="1" applyAlignment="1">
      <alignment horizontal="center" vertical="center" wrapText="1"/>
    </xf>
    <xf numFmtId="0" fontId="6" fillId="0" borderId="15" xfId="2" applyFont="1" applyFill="1" applyBorder="1" applyAlignment="1">
      <alignment horizontal="center" vertical="center" wrapText="1"/>
    </xf>
    <xf numFmtId="165" fontId="6" fillId="0" borderId="17" xfId="2" applyNumberFormat="1" applyFont="1" applyFill="1" applyBorder="1" applyAlignment="1">
      <alignment horizontal="center" vertical="center" wrapText="1"/>
    </xf>
    <xf numFmtId="165" fontId="6" fillId="0" borderId="18" xfId="2" applyNumberFormat="1" applyFont="1" applyFill="1" applyBorder="1" applyAlignment="1">
      <alignment horizontal="center" vertical="center" wrapText="1"/>
    </xf>
    <xf numFmtId="165" fontId="7" fillId="0" borderId="14" xfId="2" applyNumberFormat="1" applyFont="1" applyFill="1" applyBorder="1" applyAlignment="1">
      <alignment horizontal="center" vertical="center" wrapText="1"/>
    </xf>
    <xf numFmtId="0" fontId="6" fillId="0" borderId="15" xfId="2" applyFont="1" applyFill="1" applyBorder="1" applyAlignment="1">
      <alignment horizontal="center" vertical="center" wrapText="1" shrinkToFit="1"/>
    </xf>
    <xf numFmtId="0" fontId="6" fillId="0" borderId="17" xfId="2" applyFont="1" applyFill="1" applyBorder="1" applyAlignment="1">
      <alignment horizontal="center" vertical="center" wrapText="1" shrinkToFit="1"/>
    </xf>
    <xf numFmtId="0" fontId="6" fillId="0" borderId="18" xfId="2" applyFont="1" applyFill="1" applyBorder="1" applyAlignment="1">
      <alignment horizontal="center" vertical="center" wrapText="1" shrinkToFit="1"/>
    </xf>
    <xf numFmtId="3" fontId="6" fillId="0" borderId="18" xfId="2" applyNumberFormat="1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6" fillId="0" borderId="21" xfId="2" applyFont="1" applyFill="1" applyBorder="1" applyAlignment="1">
      <alignment horizontal="center" vertical="center" wrapText="1"/>
    </xf>
    <xf numFmtId="0" fontId="6" fillId="0" borderId="22" xfId="2" applyFont="1" applyFill="1" applyBorder="1" applyAlignment="1">
      <alignment horizontal="center" vertical="center" wrapText="1"/>
    </xf>
    <xf numFmtId="1" fontId="6" fillId="0" borderId="0" xfId="2" applyNumberFormat="1" applyFont="1" applyFill="1" applyBorder="1" applyAlignment="1">
      <alignment horizontal="center" vertical="center" wrapText="1"/>
    </xf>
    <xf numFmtId="166" fontId="8" fillId="0" borderId="20" xfId="0" applyNumberFormat="1" applyFont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165" fontId="3" fillId="2" borderId="7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5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" fontId="2" fillId="2" borderId="7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" fontId="6" fillId="0" borderId="1" xfId="2" applyNumberFormat="1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1" fontId="6" fillId="0" borderId="23" xfId="2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/>
    </xf>
    <xf numFmtId="3" fontId="11" fillId="2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 wrapText="1"/>
    </xf>
    <xf numFmtId="3" fontId="0" fillId="2" borderId="1" xfId="0" applyNumberFormat="1" applyFill="1" applyBorder="1" applyAlignment="1">
      <alignment horizontal="left"/>
    </xf>
    <xf numFmtId="44" fontId="2" fillId="0" borderId="0" xfId="4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44" fontId="2" fillId="2" borderId="7" xfId="4" applyFont="1" applyFill="1" applyBorder="1" applyAlignment="1">
      <alignment horizontal="center" wrapText="1"/>
    </xf>
    <xf numFmtId="44" fontId="11" fillId="2" borderId="13" xfId="4" applyFont="1" applyFill="1" applyBorder="1" applyAlignment="1">
      <alignment horizontal="left"/>
    </xf>
    <xf numFmtId="44" fontId="0" fillId="2" borderId="12" xfId="4" applyFont="1" applyFill="1" applyBorder="1" applyAlignment="1">
      <alignment horizontal="left"/>
    </xf>
    <xf numFmtId="3" fontId="6" fillId="0" borderId="16" xfId="3" applyNumberFormat="1" applyFont="1" applyFill="1" applyBorder="1" applyAlignment="1">
      <alignment horizontal="center" vertical="center" wrapText="1"/>
    </xf>
    <xf numFmtId="2" fontId="6" fillId="0" borderId="16" xfId="3" applyNumberFormat="1" applyFont="1" applyFill="1" applyBorder="1" applyAlignment="1">
      <alignment horizontal="center" vertical="center" wrapText="1"/>
    </xf>
    <xf numFmtId="3" fontId="6" fillId="0" borderId="25" xfId="3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vertical="center"/>
    </xf>
    <xf numFmtId="0" fontId="9" fillId="2" borderId="1" xfId="1" applyNumberFormat="1" applyFont="1" applyFill="1" applyBorder="1" applyAlignment="1" applyProtection="1">
      <alignment horizontal="left" vertical="center"/>
    </xf>
    <xf numFmtId="0" fontId="9" fillId="2" borderId="1" xfId="0" applyFont="1" applyFill="1" applyBorder="1" applyAlignment="1">
      <alignment vertical="center"/>
    </xf>
    <xf numFmtId="0" fontId="1" fillId="2" borderId="1" xfId="1" applyNumberFormat="1" applyFont="1" applyFill="1" applyBorder="1" applyAlignment="1" applyProtection="1">
      <alignment horizontal="left" vertical="center"/>
    </xf>
    <xf numFmtId="0" fontId="0" fillId="2" borderId="1" xfId="1" applyNumberFormat="1" applyFont="1" applyFill="1" applyBorder="1" applyAlignment="1" applyProtection="1">
      <alignment horizontal="center" vertical="center"/>
    </xf>
    <xf numFmtId="0" fontId="0" fillId="2" borderId="1" xfId="1" applyNumberFormat="1" applyFont="1" applyFill="1" applyBorder="1" applyAlignment="1" applyProtection="1">
      <alignment horizontal="left" vertical="center"/>
    </xf>
    <xf numFmtId="165" fontId="12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9" fillId="2" borderId="7" xfId="1" applyNumberFormat="1" applyFont="1" applyFill="1" applyBorder="1" applyAlignment="1" applyProtection="1">
      <alignment horizontal="left" vertical="center"/>
    </xf>
    <xf numFmtId="1" fontId="6" fillId="0" borderId="26" xfId="2" applyNumberFormat="1" applyFont="1" applyFill="1" applyBorder="1" applyAlignment="1">
      <alignment horizontal="center" vertical="center" wrapText="1"/>
    </xf>
    <xf numFmtId="1" fontId="6" fillId="0" borderId="27" xfId="2" applyNumberFormat="1" applyFont="1" applyFill="1" applyBorder="1" applyAlignment="1">
      <alignment horizontal="center" vertical="center" wrapText="1"/>
    </xf>
    <xf numFmtId="3" fontId="0" fillId="2" borderId="1" xfId="1" applyNumberFormat="1" applyFont="1" applyFill="1" applyBorder="1" applyAlignment="1" applyProtection="1">
      <alignment horizontal="left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67" fontId="2" fillId="2" borderId="5" xfId="0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 applyAlignment="1" applyProtection="1">
      <alignment horizontal="left" vertical="center" wrapText="1"/>
    </xf>
    <xf numFmtId="166" fontId="2" fillId="2" borderId="13" xfId="0" applyNumberFormat="1" applyFont="1" applyFill="1" applyBorder="1" applyAlignment="1">
      <alignment horizontal="center" vertical="center" wrapText="1"/>
    </xf>
    <xf numFmtId="3" fontId="6" fillId="0" borderId="0" xfId="2" applyNumberFormat="1" applyFont="1" applyFill="1" applyBorder="1" applyAlignment="1">
      <alignment horizontal="center" vertical="center" wrapText="1"/>
    </xf>
    <xf numFmtId="3" fontId="2" fillId="2" borderId="12" xfId="0" applyNumberFormat="1" applyFont="1" applyFill="1" applyBorder="1" applyAlignment="1">
      <alignment horizontal="center" vertical="center" wrapText="1"/>
    </xf>
    <xf numFmtId="0" fontId="0" fillId="2" borderId="1" xfId="1" quotePrefix="1" applyNumberFormat="1" applyFont="1" applyFill="1" applyBorder="1" applyAlignment="1" applyProtection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3" fontId="11" fillId="2" borderId="1" xfId="0" applyNumberFormat="1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6" fillId="0" borderId="24" xfId="2" applyFont="1" applyFill="1" applyBorder="1" applyAlignment="1">
      <alignment horizontal="center" vertical="center" wrapText="1"/>
    </xf>
    <xf numFmtId="0" fontId="6" fillId="0" borderId="28" xfId="2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8" fontId="18" fillId="0" borderId="29" xfId="2" applyNumberFormat="1" applyFont="1" applyFill="1" applyBorder="1" applyAlignment="1">
      <alignment horizontal="center" vertical="center" wrapText="1"/>
    </xf>
    <xf numFmtId="0" fontId="18" fillId="0" borderId="29" xfId="2" applyNumberFormat="1" applyFont="1" applyFill="1" applyBorder="1" applyAlignment="1">
      <alignment horizontal="center" vertical="center" wrapText="1"/>
    </xf>
    <xf numFmtId="1" fontId="19" fillId="0" borderId="29" xfId="2" applyNumberFormat="1" applyFont="1" applyFill="1" applyBorder="1" applyAlignment="1">
      <alignment horizontal="center" vertical="center" wrapText="1"/>
    </xf>
    <xf numFmtId="165" fontId="19" fillId="2" borderId="7" xfId="0" applyNumberFormat="1" applyFont="1" applyFill="1" applyBorder="1" applyAlignment="1">
      <alignment horizontal="center" vertical="center" wrapText="1"/>
    </xf>
    <xf numFmtId="0" fontId="19" fillId="2" borderId="7" xfId="0" applyNumberFormat="1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 vertical="center" wrapText="1"/>
    </xf>
    <xf numFmtId="165" fontId="22" fillId="2" borderId="1" xfId="0" applyNumberFormat="1" applyFont="1" applyFill="1" applyBorder="1" applyAlignment="1">
      <alignment horizontal="center" vertical="center" wrapText="1"/>
    </xf>
    <xf numFmtId="169" fontId="0" fillId="2" borderId="1" xfId="1" applyNumberFormat="1" applyFont="1" applyFill="1" applyBorder="1" applyAlignment="1" applyProtection="1">
      <alignment horizontal="right" vertical="center"/>
    </xf>
    <xf numFmtId="44" fontId="9" fillId="2" borderId="12" xfId="4" applyFont="1" applyFill="1" applyBorder="1" applyAlignment="1">
      <alignment horizontal="left"/>
    </xf>
    <xf numFmtId="44" fontId="14" fillId="2" borderId="13" xfId="4" applyFont="1" applyFill="1" applyBorder="1" applyAlignment="1">
      <alignment horizontal="left"/>
    </xf>
    <xf numFmtId="44" fontId="15" fillId="2" borderId="1" xfId="4" applyNumberFormat="1" applyFont="1" applyFill="1" applyBorder="1" applyAlignment="1">
      <alignment horizontal="left"/>
    </xf>
    <xf numFmtId="44" fontId="6" fillId="0" borderId="15" xfId="4" applyNumberFormat="1" applyFont="1" applyFill="1" applyBorder="1" applyAlignment="1">
      <alignment horizontal="center" vertical="center" wrapText="1"/>
    </xf>
    <xf numFmtId="44" fontId="12" fillId="2" borderId="1" xfId="4" applyNumberFormat="1" applyFont="1" applyFill="1" applyBorder="1" applyAlignment="1">
      <alignment horizontal="left"/>
    </xf>
    <xf numFmtId="44" fontId="0" fillId="2" borderId="1" xfId="1" applyNumberFormat="1" applyFont="1" applyFill="1" applyBorder="1" applyAlignment="1" applyProtection="1">
      <alignment horizontal="right" vertical="center"/>
    </xf>
    <xf numFmtId="44" fontId="2" fillId="0" borderId="0" xfId="4" applyNumberFormat="1" applyFont="1" applyAlignment="1">
      <alignment horizontal="center" vertical="center" wrapText="1"/>
    </xf>
    <xf numFmtId="2" fontId="11" fillId="2" borderId="13" xfId="4" applyNumberFormat="1" applyFont="1" applyFill="1" applyBorder="1" applyAlignment="1">
      <alignment horizontal="center"/>
    </xf>
    <xf numFmtId="2" fontId="14" fillId="2" borderId="13" xfId="4" applyNumberFormat="1" applyFont="1" applyFill="1" applyBorder="1" applyAlignment="1">
      <alignment horizontal="center"/>
    </xf>
    <xf numFmtId="0" fontId="23" fillId="2" borderId="1" xfId="1" applyNumberFormat="1" applyFont="1" applyFill="1" applyBorder="1" applyAlignment="1" applyProtection="1">
      <alignment horizontal="left" vertical="center"/>
    </xf>
    <xf numFmtId="0" fontId="24" fillId="2" borderId="1" xfId="1" applyNumberFormat="1" applyFont="1" applyFill="1" applyBorder="1" applyAlignment="1" applyProtection="1">
      <alignment horizontal="left" vertical="center"/>
    </xf>
    <xf numFmtId="1" fontId="25" fillId="2" borderId="1" xfId="0" applyNumberFormat="1" applyFont="1" applyFill="1" applyBorder="1" applyAlignment="1">
      <alignment horizontal="center" vertical="center" wrapText="1"/>
    </xf>
    <xf numFmtId="3" fontId="25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/>
    </xf>
    <xf numFmtId="3" fontId="25" fillId="2" borderId="1" xfId="0" applyNumberFormat="1" applyFont="1" applyFill="1" applyBorder="1" applyAlignment="1">
      <alignment horizontal="left" vertical="center" wrapText="1"/>
    </xf>
    <xf numFmtId="165" fontId="25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24" fillId="2" borderId="1" xfId="1" applyNumberFormat="1" applyFon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left" vertical="center"/>
    </xf>
    <xf numFmtId="44" fontId="24" fillId="2" borderId="1" xfId="4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center" vertical="center" wrapText="1"/>
    </xf>
    <xf numFmtId="44" fontId="2" fillId="2" borderId="1" xfId="4" applyNumberFormat="1" applyFont="1" applyFill="1" applyBorder="1" applyAlignment="1">
      <alignment horizontal="center" vertical="center" wrapText="1"/>
    </xf>
    <xf numFmtId="0" fontId="9" fillId="4" borderId="7" xfId="1" applyNumberFormat="1" applyFont="1" applyFill="1" applyBorder="1" applyAlignment="1" applyProtection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" fillId="4" borderId="1" xfId="1" applyNumberFormat="1" applyFont="1" applyFill="1" applyBorder="1" applyAlignment="1" applyProtection="1">
      <alignment horizontal="left" vertical="center"/>
    </xf>
    <xf numFmtId="0" fontId="2" fillId="4" borderId="6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/>
    </xf>
    <xf numFmtId="0" fontId="0" fillId="4" borderId="1" xfId="1" applyNumberFormat="1" applyFont="1" applyFill="1" applyBorder="1" applyAlignment="1" applyProtection="1">
      <alignment horizontal="left" vertical="center"/>
    </xf>
    <xf numFmtId="0" fontId="0" fillId="4" borderId="1" xfId="1" applyNumberFormat="1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" fontId="2" fillId="4" borderId="1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wrapText="1"/>
    </xf>
    <xf numFmtId="0" fontId="2" fillId="4" borderId="5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left"/>
    </xf>
    <xf numFmtId="165" fontId="2" fillId="4" borderId="1" xfId="0" applyNumberFormat="1" applyFont="1" applyFill="1" applyBorder="1" applyAlignment="1">
      <alignment horizontal="center" vertical="center" wrapText="1"/>
    </xf>
    <xf numFmtId="0" fontId="21" fillId="4" borderId="1" xfId="1" applyNumberFormat="1" applyFont="1" applyFill="1" applyBorder="1" applyAlignment="1" applyProtection="1">
      <alignment horizontal="left" vertical="center"/>
    </xf>
    <xf numFmtId="169" fontId="0" fillId="4" borderId="1" xfId="1" applyNumberFormat="1" applyFont="1" applyFill="1" applyBorder="1" applyAlignment="1" applyProtection="1">
      <alignment horizontal="right" vertical="center"/>
    </xf>
    <xf numFmtId="44" fontId="0" fillId="4" borderId="1" xfId="1" applyNumberFormat="1" applyFont="1" applyFill="1" applyBorder="1" applyAlignment="1" applyProtection="1">
      <alignment horizontal="right" vertical="center"/>
    </xf>
    <xf numFmtId="2" fontId="11" fillId="4" borderId="13" xfId="4" applyNumberFormat="1" applyFont="1" applyFill="1" applyBorder="1" applyAlignment="1">
      <alignment horizontal="center"/>
    </xf>
    <xf numFmtId="44" fontId="11" fillId="4" borderId="13" xfId="4" applyFont="1" applyFill="1" applyBorder="1" applyAlignment="1">
      <alignment horizontal="left"/>
    </xf>
    <xf numFmtId="44" fontId="0" fillId="4" borderId="12" xfId="4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7" fontId="2" fillId="4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3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4" borderId="12" xfId="0" applyNumberFormat="1" applyFont="1" applyFill="1" applyBorder="1" applyAlignment="1">
      <alignment horizontal="center" vertical="center" wrapText="1"/>
    </xf>
    <xf numFmtId="166" fontId="2" fillId="4" borderId="13" xfId="0" applyNumberFormat="1" applyFont="1" applyFill="1" applyBorder="1" applyAlignment="1">
      <alignment horizontal="center" vertical="center" wrapText="1"/>
    </xf>
    <xf numFmtId="44" fontId="2" fillId="4" borderId="7" xfId="4" applyFont="1" applyFill="1" applyBorder="1" applyAlignment="1">
      <alignment horizont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left" vertical="center" wrapText="1"/>
    </xf>
    <xf numFmtId="0" fontId="10" fillId="2" borderId="1" xfId="1" applyNumberFormat="1" applyFont="1" applyFill="1" applyBorder="1" applyAlignment="1" applyProtection="1">
      <alignment horizontal="left" vertical="center"/>
    </xf>
    <xf numFmtId="0" fontId="10" fillId="2" borderId="1" xfId="1" applyNumberFormat="1" applyFont="1" applyFill="1" applyBorder="1" applyAlignment="1" applyProtection="1">
      <alignment horizontal="center" vertical="center"/>
    </xf>
    <xf numFmtId="44" fontId="10" fillId="2" borderId="1" xfId="4" applyFont="1" applyFill="1" applyBorder="1" applyAlignment="1">
      <alignment horizontal="left"/>
    </xf>
    <xf numFmtId="168" fontId="27" fillId="2" borderId="1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168" fontId="5" fillId="2" borderId="1" xfId="0" applyNumberFormat="1" applyFont="1" applyFill="1" applyBorder="1" applyAlignment="1">
      <alignment horizontal="center" vertical="center" wrapText="1"/>
    </xf>
    <xf numFmtId="1" fontId="28" fillId="2" borderId="24" xfId="0" applyNumberFormat="1" applyFont="1" applyFill="1" applyBorder="1" applyAlignment="1">
      <alignment horizontal="left" vertical="center"/>
    </xf>
    <xf numFmtId="0" fontId="29" fillId="2" borderId="24" xfId="0" applyNumberFormat="1" applyFont="1" applyFill="1" applyBorder="1" applyAlignment="1" applyProtection="1">
      <alignment horizontal="left" vertical="center"/>
    </xf>
    <xf numFmtId="0" fontId="30" fillId="2" borderId="24" xfId="0" applyFont="1" applyFill="1" applyBorder="1" applyAlignment="1">
      <alignment vertical="center"/>
    </xf>
    <xf numFmtId="0" fontId="31" fillId="2" borderId="24" xfId="0" applyNumberFormat="1" applyFont="1" applyFill="1" applyBorder="1" applyAlignment="1" applyProtection="1">
      <alignment horizontal="left" vertical="center"/>
    </xf>
    <xf numFmtId="1" fontId="28" fillId="2" borderId="24" xfId="0" applyNumberFormat="1" applyFont="1" applyFill="1" applyBorder="1" applyAlignment="1">
      <alignment horizontal="center" vertical="center"/>
    </xf>
    <xf numFmtId="1" fontId="32" fillId="2" borderId="24" xfId="0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 vertical="center" wrapText="1"/>
    </xf>
    <xf numFmtId="1" fontId="32" fillId="2" borderId="0" xfId="0" applyNumberFormat="1" applyFont="1" applyFill="1" applyBorder="1" applyAlignment="1">
      <alignment horizontal="center" vertical="center" wrapText="1"/>
    </xf>
    <xf numFmtId="0" fontId="32" fillId="2" borderId="27" xfId="0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vertical="center" wrapText="1"/>
    </xf>
    <xf numFmtId="0" fontId="31" fillId="2" borderId="21" xfId="0" applyNumberFormat="1" applyFont="1" applyFill="1" applyBorder="1" applyAlignment="1" applyProtection="1">
      <alignment horizontal="left" vertical="center"/>
    </xf>
    <xf numFmtId="0" fontId="28" fillId="2" borderId="0" xfId="0" applyFont="1" applyFill="1" applyBorder="1" applyAlignment="1">
      <alignment horizontal="left" vertical="center" wrapText="1"/>
    </xf>
    <xf numFmtId="0" fontId="28" fillId="2" borderId="0" xfId="0" applyFont="1" applyFill="1" applyBorder="1" applyAlignment="1">
      <alignment horizontal="center" vertical="center" wrapText="1"/>
    </xf>
    <xf numFmtId="0" fontId="28" fillId="2" borderId="27" xfId="0" applyFont="1" applyFill="1" applyBorder="1" applyAlignment="1">
      <alignment horizontal="center" vertical="center" wrapText="1"/>
    </xf>
    <xf numFmtId="0" fontId="32" fillId="2" borderId="21" xfId="0" applyFont="1" applyFill="1" applyBorder="1" applyAlignment="1">
      <alignment horizontal="center" vertical="center" wrapText="1"/>
    </xf>
    <xf numFmtId="0" fontId="32" fillId="2" borderId="21" xfId="0" applyFont="1" applyFill="1" applyBorder="1" applyAlignment="1">
      <alignment horizontal="center" vertical="center"/>
    </xf>
    <xf numFmtId="0" fontId="32" fillId="2" borderId="21" xfId="0" applyFont="1" applyFill="1" applyBorder="1" applyAlignment="1">
      <alignment horizontal="left" vertical="center" wrapText="1"/>
    </xf>
    <xf numFmtId="165" fontId="33" fillId="2" borderId="21" xfId="0" applyNumberFormat="1" applyFont="1" applyFill="1" applyBorder="1" applyAlignment="1">
      <alignment horizontal="left"/>
    </xf>
    <xf numFmtId="165" fontId="32" fillId="2" borderId="21" xfId="0" applyNumberFormat="1" applyFont="1" applyFill="1" applyBorder="1" applyAlignment="1">
      <alignment horizontal="center" vertical="center" wrapText="1"/>
    </xf>
    <xf numFmtId="165" fontId="32" fillId="2" borderId="0" xfId="0" applyNumberFormat="1" applyFont="1" applyFill="1" applyBorder="1" applyAlignment="1">
      <alignment horizontal="center" vertical="center" wrapText="1"/>
    </xf>
    <xf numFmtId="169" fontId="31" fillId="2" borderId="21" xfId="0" applyNumberFormat="1" applyFont="1" applyFill="1" applyBorder="1" applyAlignment="1" applyProtection="1">
      <alignment horizontal="left" vertical="center"/>
    </xf>
    <xf numFmtId="44" fontId="32" fillId="2" borderId="21" xfId="0" applyNumberFormat="1" applyFont="1" applyFill="1" applyBorder="1" applyAlignment="1">
      <alignment horizontal="left"/>
    </xf>
    <xf numFmtId="2" fontId="31" fillId="2" borderId="27" xfId="0" applyNumberFormat="1" applyFont="1" applyFill="1" applyBorder="1" applyAlignment="1">
      <alignment horizontal="center"/>
    </xf>
    <xf numFmtId="44" fontId="31" fillId="2" borderId="27" xfId="0" applyNumberFormat="1" applyFont="1" applyFill="1" applyBorder="1" applyAlignment="1">
      <alignment horizontal="left"/>
    </xf>
    <xf numFmtId="3" fontId="32" fillId="2" borderId="0" xfId="0" applyNumberFormat="1" applyFont="1" applyFill="1" applyBorder="1" applyAlignment="1">
      <alignment horizontal="center" vertical="center" wrapText="1"/>
    </xf>
    <xf numFmtId="3" fontId="32" fillId="2" borderId="30" xfId="0" applyNumberFormat="1" applyFont="1" applyFill="1" applyBorder="1" applyAlignment="1">
      <alignment horizontal="center" vertical="center" wrapText="1"/>
    </xf>
    <xf numFmtId="3" fontId="32" fillId="2" borderId="21" xfId="0" applyNumberFormat="1" applyFont="1" applyFill="1" applyBorder="1" applyAlignment="1">
      <alignment horizontal="center" vertical="center" wrapText="1"/>
    </xf>
    <xf numFmtId="166" fontId="32" fillId="2" borderId="0" xfId="0" applyNumberFormat="1" applyFont="1" applyFill="1" applyBorder="1" applyAlignment="1">
      <alignment horizontal="center" vertical="center" wrapText="1"/>
    </xf>
    <xf numFmtId="44" fontId="32" fillId="2" borderId="0" xfId="0" applyNumberFormat="1" applyFont="1" applyFill="1" applyBorder="1" applyAlignment="1">
      <alignment horizontal="center" vertical="center" wrapText="1"/>
    </xf>
    <xf numFmtId="10" fontId="32" fillId="2" borderId="21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7" fontId="2" fillId="5" borderId="5" xfId="0" applyNumberFormat="1" applyFont="1" applyFill="1" applyBorder="1" applyAlignment="1">
      <alignment horizontal="center" vertical="center" wrapText="1"/>
    </xf>
    <xf numFmtId="3" fontId="6" fillId="0" borderId="31" xfId="2" applyNumberFormat="1" applyFont="1" applyFill="1" applyBorder="1" applyAlignment="1">
      <alignment horizontal="center" vertical="center" wrapText="1"/>
    </xf>
    <xf numFmtId="3" fontId="2" fillId="2" borderId="11" xfId="0" applyNumberFormat="1" applyFont="1" applyFill="1" applyBorder="1" applyAlignment="1">
      <alignment horizontal="center" vertical="center" wrapText="1"/>
    </xf>
    <xf numFmtId="3" fontId="2" fillId="4" borderId="11" xfId="0" applyNumberFormat="1" applyFont="1" applyFill="1" applyBorder="1" applyAlignment="1">
      <alignment horizontal="center" vertical="center" wrapText="1"/>
    </xf>
    <xf numFmtId="3" fontId="6" fillId="0" borderId="1" xfId="2" applyNumberFormat="1" applyFont="1" applyFill="1" applyBorder="1" applyAlignment="1">
      <alignment horizontal="center" vertical="center" wrapText="1"/>
    </xf>
    <xf numFmtId="165" fontId="27" fillId="2" borderId="1" xfId="0" applyNumberFormat="1" applyFont="1" applyFill="1" applyBorder="1" applyAlignment="1">
      <alignment horizontal="center" vertical="center" wrapText="1"/>
    </xf>
    <xf numFmtId="0" fontId="27" fillId="2" borderId="1" xfId="0" applyNumberFormat="1" applyFont="1" applyFill="1" applyBorder="1" applyAlignment="1">
      <alignment horizontal="center" vertical="center" wrapText="1"/>
    </xf>
    <xf numFmtId="0" fontId="34" fillId="2" borderId="7" xfId="1" applyNumberFormat="1" applyFont="1" applyFill="1" applyBorder="1" applyAlignment="1" applyProtection="1">
      <alignment horizontal="left" vertical="center"/>
    </xf>
    <xf numFmtId="0" fontId="34" fillId="2" borderId="1" xfId="1" applyNumberFormat="1" applyFont="1" applyFill="1" applyBorder="1" applyAlignment="1" applyProtection="1">
      <alignment horizontal="left" vertical="center"/>
    </xf>
    <xf numFmtId="0" fontId="35" fillId="2" borderId="1" xfId="0" applyFont="1" applyFill="1" applyBorder="1" applyAlignment="1">
      <alignment vertical="center"/>
    </xf>
    <xf numFmtId="0" fontId="36" fillId="2" borderId="6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vertical="center"/>
    </xf>
    <xf numFmtId="0" fontId="37" fillId="2" borderId="1" xfId="1" applyNumberFormat="1" applyFont="1" applyFill="1" applyBorder="1" applyAlignment="1" applyProtection="1">
      <alignment horizontal="left" vertical="center"/>
    </xf>
    <xf numFmtId="0" fontId="37" fillId="2" borderId="1" xfId="1" applyNumberFormat="1" applyFont="1" applyFill="1" applyBorder="1" applyAlignment="1" applyProtection="1">
      <alignment horizontal="center" vertical="center"/>
    </xf>
    <xf numFmtId="0" fontId="34" fillId="2" borderId="1" xfId="1" applyNumberFormat="1" applyFont="1" applyFill="1" applyBorder="1" applyAlignment="1" applyProtection="1">
      <alignment horizontal="center" vertical="center"/>
    </xf>
    <xf numFmtId="3" fontId="38" fillId="2" borderId="1" xfId="0" applyNumberFormat="1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36" fillId="2" borderId="7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wrapText="1"/>
    </xf>
    <xf numFmtId="1" fontId="36" fillId="2" borderId="1" xfId="0" applyNumberFormat="1" applyFont="1" applyFill="1" applyBorder="1" applyAlignment="1">
      <alignment horizontal="center" vertical="center" wrapText="1"/>
    </xf>
    <xf numFmtId="1" fontId="36" fillId="2" borderId="11" xfId="0" applyNumberFormat="1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left" wrapText="1"/>
    </xf>
    <xf numFmtId="0" fontId="36" fillId="2" borderId="5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left"/>
    </xf>
    <xf numFmtId="0" fontId="36" fillId="2" borderId="1" xfId="0" applyFont="1" applyFill="1" applyBorder="1" applyAlignment="1">
      <alignment horizontal="center" vertical="center"/>
    </xf>
    <xf numFmtId="3" fontId="38" fillId="2" borderId="1" xfId="0" applyNumberFormat="1" applyFont="1" applyFill="1" applyBorder="1" applyAlignment="1">
      <alignment horizontal="left"/>
    </xf>
    <xf numFmtId="165" fontId="36" fillId="2" borderId="1" xfId="0" applyNumberFormat="1" applyFont="1" applyFill="1" applyBorder="1" applyAlignment="1">
      <alignment horizontal="center" vertical="center" wrapText="1"/>
    </xf>
    <xf numFmtId="165" fontId="39" fillId="2" borderId="7" xfId="0" applyNumberFormat="1" applyFont="1" applyFill="1" applyBorder="1" applyAlignment="1">
      <alignment horizontal="center" vertical="center" wrapText="1"/>
    </xf>
    <xf numFmtId="0" fontId="39" fillId="2" borderId="7" xfId="0" applyNumberFormat="1" applyFont="1" applyFill="1" applyBorder="1" applyAlignment="1">
      <alignment horizontal="center" vertical="center" wrapText="1"/>
    </xf>
    <xf numFmtId="168" fontId="40" fillId="2" borderId="1" xfId="0" applyNumberFormat="1" applyFont="1" applyFill="1" applyBorder="1" applyAlignment="1">
      <alignment horizontal="center" vertical="center" wrapText="1"/>
    </xf>
    <xf numFmtId="169" fontId="37" fillId="2" borderId="1" xfId="1" applyNumberFormat="1" applyFont="1" applyFill="1" applyBorder="1" applyAlignment="1" applyProtection="1">
      <alignment horizontal="right" vertical="center"/>
    </xf>
    <xf numFmtId="44" fontId="36" fillId="2" borderId="1" xfId="4" applyNumberFormat="1" applyFont="1" applyFill="1" applyBorder="1" applyAlignment="1">
      <alignment horizontal="left"/>
    </xf>
    <xf numFmtId="2" fontId="38" fillId="2" borderId="13" xfId="4" applyNumberFormat="1" applyFont="1" applyFill="1" applyBorder="1" applyAlignment="1">
      <alignment horizontal="center"/>
    </xf>
    <xf numFmtId="44" fontId="38" fillId="2" borderId="13" xfId="4" applyFont="1" applyFill="1" applyBorder="1" applyAlignment="1">
      <alignment horizontal="left"/>
    </xf>
    <xf numFmtId="44" fontId="37" fillId="2" borderId="12" xfId="4" applyFont="1" applyFill="1" applyBorder="1" applyAlignment="1">
      <alignment horizontal="left"/>
    </xf>
    <xf numFmtId="0" fontId="36" fillId="2" borderId="4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3" fontId="36" fillId="2" borderId="5" xfId="0" applyNumberFormat="1" applyFont="1" applyFill="1" applyBorder="1" applyAlignment="1">
      <alignment horizontal="center" vertical="center" wrapText="1"/>
    </xf>
    <xf numFmtId="3" fontId="36" fillId="2" borderId="3" xfId="0" applyNumberFormat="1" applyFont="1" applyFill="1" applyBorder="1" applyAlignment="1">
      <alignment horizontal="center" vertical="center" wrapText="1"/>
    </xf>
    <xf numFmtId="3" fontId="36" fillId="2" borderId="1" xfId="0" applyNumberFormat="1" applyFont="1" applyFill="1" applyBorder="1" applyAlignment="1">
      <alignment horizontal="center" vertical="center" wrapText="1"/>
    </xf>
    <xf numFmtId="3" fontId="36" fillId="2" borderId="11" xfId="0" applyNumberFormat="1" applyFont="1" applyFill="1" applyBorder="1" applyAlignment="1">
      <alignment horizontal="center" vertical="center" wrapText="1"/>
    </xf>
    <xf numFmtId="3" fontId="36" fillId="2" borderId="12" xfId="0" applyNumberFormat="1" applyFont="1" applyFill="1" applyBorder="1" applyAlignment="1">
      <alignment horizontal="center" vertical="center" wrapText="1"/>
    </xf>
    <xf numFmtId="166" fontId="36" fillId="2" borderId="13" xfId="0" applyNumberFormat="1" applyFont="1" applyFill="1" applyBorder="1" applyAlignment="1">
      <alignment horizontal="center" vertical="center" wrapText="1"/>
    </xf>
    <xf numFmtId="44" fontId="36" fillId="2" borderId="7" xfId="4" applyFont="1" applyFill="1" applyBorder="1" applyAlignment="1">
      <alignment horizontal="center" wrapText="1"/>
    </xf>
    <xf numFmtId="10" fontId="36" fillId="2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 wrapText="1"/>
    </xf>
    <xf numFmtId="170" fontId="16" fillId="2" borderId="1" xfId="0" applyNumberFormat="1" applyFont="1" applyFill="1" applyBorder="1" applyAlignment="1">
      <alignment horizontal="center" vertical="center" wrapText="1"/>
    </xf>
  </cellXfs>
  <cellStyles count="5">
    <cellStyle name="Euro" xfId="3"/>
    <cellStyle name="Monétaire" xfId="4" builtinId="4"/>
    <cellStyle name="NiveauLigne_4" xfId="1" builtinId="1" iLevel="3"/>
    <cellStyle name="Normal" xfId="0" builtinId="0"/>
    <cellStyle name="Normal 2" xfId="2"/>
  </cellStyles>
  <dxfs count="1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_-* #,##0\ [$€-40C]_-;\-* #,##0\ [$€-40C]_-;_-* &quot;-&quot;??\ [$€-40C]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#,##0\ &quot;€&quot;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/m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/m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/m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/m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/m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/m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165" formatCode="d/m;@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Verdana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* #,##0.00\ &quot;€&quot;_-;\-* #,##0.00\ &quot;€&quot;_-;_-* &quot;-&quot;??\ &quot;€&quot;_-;_-@_-"/>
      <fill>
        <patternFill>
          <fgColor indexed="64"/>
          <bgColor theme="0"/>
        </patternFill>
      </fill>
      <alignment vertical="center" textRotation="0" indent="0" justifyLastLine="0" readingOrder="0"/>
    </dxf>
    <dxf>
      <numFmt numFmtId="166" formatCode="_-* #,##0\ [$€-40C]_-;\-* #,##0\ [$€-40C]_-;_-* &quot;-&quot;??\ [$€-40C]_-;_-@_-"/>
      <fill>
        <patternFill>
          <fgColor indexed="64"/>
          <bgColor theme="0"/>
        </patternFill>
      </fill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numFmt numFmtId="3" formatCode="#,##0"/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numFmt numFmtId="3" formatCode="#,##0"/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numFmt numFmtId="3" formatCode="#,##0"/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z val="10"/>
        <name val="Verdana"/>
        <scheme val="none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/m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/m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/m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/m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ont>
        <sz val="10"/>
        <name val="Verdana"/>
        <scheme val="none"/>
      </font>
      <numFmt numFmtId="165" formatCode="d/m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indexed="8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>
          <fgColor indexed="64"/>
          <bgColor theme="0"/>
        </patternFill>
      </fill>
      <alignment vertical="center" textRotation="0" indent="0" justifyLastLine="0" readingOrder="0"/>
      <border outline="0">
        <right style="thin">
          <color indexed="64"/>
        </right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ont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vertical="center" textRotation="0" wrapText="1" indent="0" justifyLastLine="0" shrinkToFit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  <border outline="0">
        <right style="thin">
          <color indexed="64"/>
        </right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name val="Verdan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</font>
      <fill>
        <patternFill>
          <fgColor indexed="64"/>
          <bgColor rgb="FFC00000"/>
        </patternFill>
      </fill>
      <alignment vertical="center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alignment vertical="center" textRotation="0" indent="0" justifyLastLine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julienne\Desktop\EDC%20CABINET%20STEIN%20SUIVI%20PROGRAMME%20COPIE%2024%2011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julienne\Desktop\EDC%20CABINET%20STEIN%20SUIVI%20PROGRAMME%20rdv%20clt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C"/>
      <sheetName val="TAB"/>
      <sheetName val="Feuil1"/>
      <sheetName val="EDC CABINET STEIN SUIVI PROGRAM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C"/>
      <sheetName val="TAB"/>
      <sheetName val="Feuil2"/>
      <sheetName val="Feuil1"/>
      <sheetName val="EDC CABINET STEIN SUIVI PROGRAM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Tableau1" displayName="Tableau1" ref="A1:BX58" totalsRowCount="1" headerRowDxfId="156" dataDxfId="154" totalsRowDxfId="152" headerRowBorderDxfId="155" tableBorderDxfId="153">
  <autoFilter ref="A1:BX57"/>
  <tableColumns count="76">
    <tableColumn id="41" name="REF CLIENT" dataDxfId="151" totalsRowDxfId="75"/>
    <tableColumn id="1" name="REF INTERNE SYNDIC" dataDxfId="150" totalsRowDxfId="74"/>
    <tableColumn id="2" name="Nom Gestionnaire" dataDxfId="149" totalsRowDxfId="73" dataCellStyle="NiveauLigne_4"/>
    <tableColumn id="42" name="SIGLE OBI" dataDxfId="148" totalsRowDxfId="72" dataCellStyle="NiveauLigne_4"/>
    <tableColumn id="3" name="NOM DE LA COPROPRIETE" dataDxfId="147" totalsRowDxfId="71"/>
    <tableColumn id="4" name="ADRESSE DE L'IMMEUBLE                                (sans point virgule)" dataDxfId="146" totalsRowDxfId="70" dataCellStyle="NiveauLigne_4"/>
    <tableColumn id="33" name="COMPLEMENT ADRESSE                              (sans point virgule)" dataDxfId="145" totalsRowDxfId="69" dataCellStyle="NiveauLigne_4"/>
    <tableColumn id="5" name="Code Postal" dataDxfId="144" totalsRowDxfId="68" dataCellStyle="NiveauLigne_4"/>
    <tableColumn id="6" name="VILLE" dataDxfId="143" totalsRowDxfId="67" dataCellStyle="NiveauLigne_4"/>
    <tableColumn id="7" name="NBRE DE LOTS PRINCIPAUX" dataDxfId="142" totalsRowDxfId="66"/>
    <tableColumn id="8" name="SURFACE TOTALE (SHOB)" totalsRowFunction="sum" dataDxfId="141" totalsRowDxfId="65"/>
    <tableColumn id="66" name="SURFACE HABITATION" dataDxfId="140" totalsRowDxfId="64"/>
    <tableColumn id="68" name="SURFACE BUREAUX" dataDxfId="139" totalsRowDxfId="63"/>
    <tableColumn id="45" name="SURFACE COMMERCES" dataDxfId="138" totalsRowDxfId="62">
      <calculatedColumnFormula>Tableau1[[#This Row],[SURFACE TOTALE (SHOB)]]*Tableau1[[#This Row],[Surface Commerciale]]</calculatedColumnFormula>
    </tableColumn>
    <tableColumn id="46" name="SURFACE LOCAUX ARTISANATS" dataDxfId="137" totalsRowDxfId="61"/>
    <tableColumn id="44" name="SURFACE LOCAUX INDUSTRIELS" dataDxfId="136" totalsRowDxfId="60"/>
    <tableColumn id="43" name="SURFACE SOUS-SOLS" dataDxfId="135" totalsRowDxfId="59"/>
    <tableColumn id="9" name="TYPE DE RISQUE" dataDxfId="134" totalsRowDxfId="58"/>
    <tableColumn id="11" name="Surface Commerciale" dataDxfId="133" totalsRowDxfId="57"/>
    <tableColumn id="12" name="Nature des commerces                                                  (sans point virgule)" dataDxfId="132" totalsRowDxfId="56"/>
    <tableColumn id="13" name="année construction" dataDxfId="131" totalsRowDxfId="55"/>
    <tableColumn id="14" name="Nb de bâtiments séparés " dataDxfId="130" totalsRowDxfId="54"/>
    <tableColumn id="15" name="Nbre de niveaux de sous-sol (1s / parkings)" dataDxfId="129" totalsRowDxfId="53"/>
    <tableColumn id="16" name="Nb de nivaux y compris RDC" dataDxfId="128" totalsRowDxfId="52"/>
    <tableColumn id="17" name="COMMENTAIRES DU CHARGE DE COPRO" dataDxfId="127" totalsRowDxfId="51"/>
    <tableColumn id="18" name="Risques spécifiques :              _x000a_- Châteaux,                                                    - Immeubles totalement ou partiellement inscrit inventaire ou MH                    - Surf Ciale Sup 50 %,                                  - Discothèque, C" dataDxfId="126" totalsRowDxfId="50"/>
    <tableColumn id="19" name="COURTIER AGENT" dataDxfId="125" totalsRowDxfId="49" dataCellStyle="NiveauLigne_4"/>
    <tableColumn id="20" name="COMPAGNIE" dataDxfId="124" totalsRowDxfId="48"/>
    <tableColumn id="21" name="ADRESSE CIE OU AGENT" dataDxfId="123" totalsRowDxfId="47"/>
    <tableColumn id="22" name="BP" dataDxfId="122" totalsRowDxfId="46"/>
    <tableColumn id="23" name="CP CIE OU AGENT" dataDxfId="121" totalsRowDxfId="45" dataCellStyle="NiveauLigne_4"/>
    <tableColumn id="24" name="VILLE CIE OU AGENT" dataDxfId="120" totalsRowDxfId="44"/>
    <tableColumn id="25" name="N° DE CONTRAT MRI" dataDxfId="119" totalsRowDxfId="43" dataCellStyle="NiveauLigne_4"/>
    <tableColumn id="31" name="N° DE CONTRAT PJ" dataDxfId="118" totalsRowDxfId="42"/>
    <tableColumn id="26" name="Observations sur les garanties actuelles (LCI, exclusions spécifiques)" dataDxfId="117" totalsRowDxfId="41"/>
    <tableColumn id="70" name="ALTITUDE" dataDxfId="116" totalsRowDxfId="40"/>
    <tableColumn id="27" name="Franchises actuelles spécifiques" dataDxfId="115" totalsRowDxfId="39"/>
    <tableColumn id="28" name="Nature du contrat  MRI / PJ / VTM / RC …" dataDxfId="114" totalsRowDxfId="38"/>
    <tableColumn id="29" name="Ech. Actuelle" dataDxfId="113" totalsRowDxfId="37"/>
    <tableColumn id="30" name="Ech. Souhaitée" dataDxfId="112" totalsRowDxfId="36"/>
    <tableColumn id="74" name="DATE ENVOI RESIL POUR MAJO" dataDxfId="111" totalsRowDxfId="35"/>
    <tableColumn id="73" name="DATE ENVOI RESIL ECHEANCE" dataDxfId="110" totalsRowDxfId="34"/>
    <tableColumn id="72" name="DATE D'EFFET  CONTRAT VERSPIEREN" dataDxfId="109" totalsRowDxfId="33"/>
    <tableColumn id="75" name="N° LRAR" dataDxfId="108" totalsRowDxfId="32"/>
    <tableColumn id="35" name="Commentaire technique (négo primes, franchises, etc…)" dataDxfId="107" totalsRowDxfId="31" dataCellStyle="NiveauLigne_4"/>
    <tableColumn id="69" name="DERNIERE PRIME STEIN ANNUELLE TTC" totalsRowFunction="sum" dataDxfId="106" totalsRowDxfId="30" dataCellStyle="NiveauLigne_4"/>
    <tableColumn id="71" name="MODE RESIL" dataDxfId="105" totalsRowDxfId="29" dataCellStyle="NiveauLigne_4"/>
    <tableColumn id="36" name="PRIME MRI ALLIANZ _x000a_ACTUELLE TTC" totalsRowFunction="sum" dataDxfId="104" totalsRowDxfId="28" dataCellStyle="Monétaire"/>
    <tableColumn id="39" name="Taux au m2 sur prime actuelle" totalsRowFunction="custom" dataDxfId="103" totalsRowDxfId="27" dataCellStyle="Monétaire">
      <calculatedColumnFormula>SUM(AV2/K2)</calculatedColumnFormula>
      <totalsRowFormula>SUM(AV58/K58)</totalsRowFormula>
    </tableColumn>
    <tableColumn id="37" name="Taux au m2 sur prime hors FG" totalsRowFunction="custom" dataDxfId="102" totalsRowDxfId="26" dataCellStyle="Monétaire">
      <calculatedColumnFormula>SUM(#REF!/K2)</calculatedColumnFormula>
      <totalsRowFormula>Tableau1[[#Totals],[PRIME MRI ALLIANZ 
ACTUELLE TTC]]/Tableau1[[#Totals],[SURFACE TOTALE (SHOB)]]</totalsRowFormula>
    </tableColumn>
    <tableColumn id="34" name="FG" totalsRowFunction="sum" dataDxfId="101" totalsRowDxfId="25" dataCellStyle="Monétaire"/>
    <tableColumn id="32" name="NOUVELLE Prime STEIN Totale yc fg" totalsRowFunction="sum" dataDxfId="100" totalsRowDxfId="24" dataCellStyle="Monétaire">
      <calculatedColumnFormula>SUM(#REF!+#REF!+AY2)</calculatedColumnFormula>
    </tableColumn>
    <tableColumn id="47" name="Toiture :           TE = TErrasse      TR = Traditionnelle   MI = Mixte   VE = Vegétale" dataDxfId="99" totalsRowDxfId="23"/>
    <tableColumn id="48" name="travaux effectué sur toiture &lt; à 10 ans" dataDxfId="98" totalsRowDxfId="22"/>
    <tableColumn id="49" name="ravalement de façade &lt; 10 ans (O ou N) (total ou partiel)" dataDxfId="97" totalsRowDxfId="21"/>
    <tableColumn id="50" name="Réfection Colonnes montantes et descendantes" dataDxfId="96" totalsRowDxfId="20"/>
    <tableColumn id="51" name="Nature SIN 2012" dataDxfId="95" totalsRowDxfId="19"/>
    <tableColumn id="52" name="NBRE     SIN 2012" totalsRowFunction="sum" dataDxfId="94" totalsRowDxfId="18"/>
    <tableColumn id="53" name=" Montant SIN 2012" totalsRowFunction="sum" dataDxfId="93" totalsRowDxfId="17"/>
    <tableColumn id="54" name="Nature SIN 2013" dataDxfId="92" totalsRowDxfId="16"/>
    <tableColumn id="55" name="NBRE     SIN 2013" totalsRowFunction="sum" dataDxfId="91" totalsRowDxfId="15"/>
    <tableColumn id="56" name=" Montant SIN 2013" totalsRowFunction="sum" dataDxfId="90" totalsRowDxfId="14"/>
    <tableColumn id="57" name="Nature SIN 2014" dataDxfId="89" totalsRowDxfId="13"/>
    <tableColumn id="58" name="NBRE     SIN 2014" totalsRowFunction="sum" dataDxfId="88" totalsRowDxfId="12"/>
    <tableColumn id="59" name=" Montant SIN 2014" totalsRowFunction="sum" dataDxfId="87" totalsRowDxfId="11"/>
    <tableColumn id="60" name="Nature SIN 2015" dataDxfId="86" totalsRowDxfId="10"/>
    <tableColumn id="61" name="NBRE     SIN 2015" totalsRowFunction="sum" dataDxfId="85" totalsRowDxfId="9"/>
    <tableColumn id="62" name=" Montant SIN 2015" totalsRowFunction="sum" dataDxfId="84" totalsRowDxfId="8"/>
    <tableColumn id="38" name="Nature SIN 2016" dataDxfId="83" totalsRowDxfId="7"/>
    <tableColumn id="40" name="NBRE     SIN 2016" totalsRowFunction="sum" dataDxfId="82" totalsRowDxfId="6"/>
    <tableColumn id="76" name=" Montant SIN 2016" totalsRowFunction="sum" dataDxfId="81" totalsRowDxfId="5"/>
    <tableColumn id="10" name=" Nbre sinistres sur 3 ans + exercice en cours" dataDxfId="80" totalsRowDxfId="4"/>
    <tableColumn id="63" name="Sinistres" totalsRowFunction="sum" dataDxfId="79" totalsRowDxfId="3"/>
    <tableColumn id="64" name="P  = Prime HT N + (Primes HT N-1/N-2/N-3)*0,85)" totalsRowFunction="sum" dataDxfId="78" totalsRowDxfId="2">
      <calculatedColumnFormula>((((AV2)*0.86)+(((AV2*3)*0.86)*0.85)))</calculatedColumnFormula>
    </tableColumn>
    <tableColumn id="65" name="S/P sur primes HT" totalsRowFunction="custom" dataDxfId="77" totalsRowDxfId="1">
      <calculatedColumnFormula>Tableau1[[#This Row],[Sinistres]]/Tableau1[[#This Row],[ Nbre sinistres sur 3 ans + exercice en cours]]</calculatedColumnFormula>
      <totalsRowFormula>Tableau1[[#Totals],[Sinistres]]/Tableau1[[#Totals],[P  = Prime HT N + (Primes HT N-1/N-2/N-3)*0,85)]]</totalsRowFormula>
    </tableColumn>
    <tableColumn id="67" name="Précisions gros sinistres" dataDxfId="76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aps.google.fr/maps?f=q&amp;hl=fr&amp;geocode=&amp;q=313%20Terrasses%20de%20L%20Arche%20NANTERRE%20CE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BX59"/>
  <sheetViews>
    <sheetView tabSelected="1" zoomScaleNormal="100" workbookViewId="0">
      <pane xSplit="1" topLeftCell="BP1" activePane="topRight" state="frozen"/>
      <selection activeCell="A4" sqref="A4"/>
      <selection pane="topRight" activeCell="BN10" sqref="BN10"/>
    </sheetView>
  </sheetViews>
  <sheetFormatPr baseColWidth="10" defaultColWidth="11.42578125" defaultRowHeight="14.25" x14ac:dyDescent="0.25"/>
  <cols>
    <col min="1" max="1" width="8.85546875" style="57" customWidth="1"/>
    <col min="2" max="2" width="15" style="57" customWidth="1"/>
    <col min="3" max="3" width="11.5703125" style="32" customWidth="1"/>
    <col min="4" max="4" width="10.42578125" style="32" customWidth="1"/>
    <col min="5" max="5" width="45.28515625" style="32" customWidth="1"/>
    <col min="6" max="6" width="47" style="32" customWidth="1"/>
    <col min="7" max="7" width="27.7109375" style="27" customWidth="1"/>
    <col min="8" max="8" width="10.7109375" style="27" customWidth="1"/>
    <col min="9" max="9" width="18.5703125" style="28" customWidth="1"/>
    <col min="10" max="10" width="16.85546875" style="28" customWidth="1"/>
    <col min="11" max="11" width="13.5703125" style="27" customWidth="1"/>
    <col min="12" max="12" width="17.28515625" style="27" customWidth="1"/>
    <col min="13" max="13" width="13.5703125" style="27" customWidth="1"/>
    <col min="14" max="14" width="17.5703125" style="27" customWidth="1"/>
    <col min="15" max="15" width="17.28515625" style="27" customWidth="1"/>
    <col min="16" max="16" width="18" style="27" customWidth="1"/>
    <col min="17" max="17" width="18.7109375" style="27" customWidth="1"/>
    <col min="18" max="18" width="15.140625" style="27" customWidth="1"/>
    <col min="19" max="19" width="16.28515625" style="27" customWidth="1"/>
    <col min="20" max="20" width="38.140625" style="28" customWidth="1"/>
    <col min="21" max="21" width="16.28515625" style="28" customWidth="1"/>
    <col min="22" max="22" width="12.85546875" style="28" customWidth="1"/>
    <col min="23" max="23" width="12.42578125" style="28" customWidth="1"/>
    <col min="24" max="24" width="25.42578125" style="27" customWidth="1"/>
    <col min="25" max="25" width="39.28515625" style="27" customWidth="1"/>
    <col min="26" max="26" width="23.5703125" style="29" customWidth="1"/>
    <col min="27" max="27" width="24" style="30" customWidth="1"/>
    <col min="28" max="28" width="32.140625" style="31" customWidth="1"/>
    <col min="29" max="29" width="32.28515625" style="30" customWidth="1"/>
    <col min="30" max="30" width="12.28515625" style="30" customWidth="1"/>
    <col min="31" max="31" width="15.42578125" style="93" customWidth="1"/>
    <col min="32" max="32" width="22.140625" style="27" customWidth="1"/>
    <col min="33" max="33" width="17.7109375" style="27" customWidth="1"/>
    <col min="34" max="34" width="25.140625" style="32" customWidth="1"/>
    <col min="35" max="36" width="15.7109375" style="27" customWidth="1"/>
    <col min="37" max="37" width="20.42578125" style="32" customWidth="1"/>
    <col min="38" max="38" width="12.85546875" style="33" customWidth="1"/>
    <col min="39" max="39" width="12.5703125" style="33" customWidth="1"/>
    <col min="40" max="40" width="15.5703125" style="33" customWidth="1"/>
    <col min="41" max="41" width="28.42578125" style="33" customWidth="1"/>
    <col min="42" max="42" width="30.7109375" style="33" customWidth="1"/>
    <col min="43" max="43" width="34.5703125" style="33" customWidth="1"/>
    <col min="44" max="44" width="26.5703125" style="33" customWidth="1"/>
    <col min="45" max="45" width="42.140625" style="65" customWidth="1"/>
    <col min="46" max="46" width="27.85546875" style="65" customWidth="1"/>
    <col min="47" max="47" width="17.42578125" style="65" customWidth="1"/>
    <col min="48" max="48" width="19.5703125" style="126" bestFit="1" customWidth="1"/>
    <col min="49" max="49" width="15" style="65" customWidth="1"/>
    <col min="50" max="50" width="16.42578125" style="65" customWidth="1"/>
    <col min="51" max="51" width="14.7109375" style="65" customWidth="1"/>
    <col min="52" max="52" width="35.28515625" style="27" customWidth="1"/>
    <col min="53" max="54" width="13.7109375" style="27" customWidth="1"/>
    <col min="55" max="55" width="31.28515625" style="27" customWidth="1"/>
    <col min="56" max="56" width="11.42578125" style="27" customWidth="1"/>
    <col min="57" max="57" width="17.42578125" style="27" customWidth="1"/>
    <col min="58" max="58" width="15.42578125" style="26" customWidth="1"/>
    <col min="59" max="59" width="11.42578125" style="27" customWidth="1"/>
    <col min="60" max="60" width="16.5703125" style="27" customWidth="1"/>
    <col min="61" max="61" width="15.140625" style="26" bestFit="1" customWidth="1"/>
    <col min="62" max="62" width="11.85546875" style="27" customWidth="1"/>
    <col min="63" max="63" width="17" style="27" customWidth="1"/>
    <col min="64" max="64" width="16.140625" style="26" customWidth="1"/>
    <col min="65" max="65" width="11.42578125" style="26" customWidth="1"/>
    <col min="66" max="66" width="16.85546875" style="26" customWidth="1"/>
    <col min="67" max="71" width="12.7109375" style="26" customWidth="1"/>
    <col min="72" max="72" width="19.7109375" style="34" bestFit="1" customWidth="1"/>
    <col min="73" max="73" width="23" style="34" customWidth="1"/>
    <col min="74" max="74" width="20.7109375" style="35" bestFit="1" customWidth="1"/>
    <col min="75" max="75" width="22" style="35" customWidth="1"/>
    <col min="76" max="76" width="25.7109375" style="36" customWidth="1"/>
    <col min="77" max="16384" width="11.42578125" style="36"/>
  </cols>
  <sheetData>
    <row r="1" spans="1:76" ht="115.5" thickBot="1" x14ac:dyDescent="0.3">
      <c r="A1" s="89" t="s">
        <v>190</v>
      </c>
      <c r="B1" s="58" t="s">
        <v>14</v>
      </c>
      <c r="C1" s="58" t="s">
        <v>152</v>
      </c>
      <c r="D1" s="58" t="s">
        <v>191</v>
      </c>
      <c r="E1" s="59" t="s">
        <v>0</v>
      </c>
      <c r="F1" s="108" t="s">
        <v>214</v>
      </c>
      <c r="G1" s="108" t="s">
        <v>215</v>
      </c>
      <c r="H1" s="20" t="s">
        <v>5</v>
      </c>
      <c r="I1" s="21" t="s">
        <v>2</v>
      </c>
      <c r="J1" s="22" t="s">
        <v>30</v>
      </c>
      <c r="K1" s="60" t="s">
        <v>31</v>
      </c>
      <c r="L1" s="90" t="s">
        <v>192</v>
      </c>
      <c r="M1" s="90" t="s">
        <v>193</v>
      </c>
      <c r="N1" s="90" t="s">
        <v>194</v>
      </c>
      <c r="O1" s="90" t="s">
        <v>195</v>
      </c>
      <c r="P1" s="90" t="s">
        <v>196</v>
      </c>
      <c r="Q1" s="90" t="s">
        <v>197</v>
      </c>
      <c r="R1" s="7" t="s">
        <v>161</v>
      </c>
      <c r="S1" s="7" t="s">
        <v>134</v>
      </c>
      <c r="T1" s="109" t="s">
        <v>216</v>
      </c>
      <c r="U1" s="9" t="s">
        <v>15</v>
      </c>
      <c r="V1" s="9" t="s">
        <v>29</v>
      </c>
      <c r="W1" s="9" t="s">
        <v>174</v>
      </c>
      <c r="X1" s="9" t="s">
        <v>17</v>
      </c>
      <c r="Y1" s="8" t="s">
        <v>18</v>
      </c>
      <c r="Z1" s="6" t="s">
        <v>148</v>
      </c>
      <c r="AA1" s="10" t="s">
        <v>3</v>
      </c>
      <c r="AB1" s="5" t="s">
        <v>1</v>
      </c>
      <c r="AC1" s="5" t="s">
        <v>9</v>
      </c>
      <c r="AD1" s="8" t="s">
        <v>6</v>
      </c>
      <c r="AE1" s="59" t="s">
        <v>7</v>
      </c>
      <c r="AF1" s="92" t="s">
        <v>8</v>
      </c>
      <c r="AG1" s="5" t="s">
        <v>159</v>
      </c>
      <c r="AH1" s="5" t="s">
        <v>160</v>
      </c>
      <c r="AI1" s="5" t="s">
        <v>32</v>
      </c>
      <c r="AJ1" s="5" t="s">
        <v>204</v>
      </c>
      <c r="AK1" s="5" t="s">
        <v>33</v>
      </c>
      <c r="AL1" s="5" t="s">
        <v>219</v>
      </c>
      <c r="AM1" s="11" t="s">
        <v>145</v>
      </c>
      <c r="AN1" s="12" t="s">
        <v>146</v>
      </c>
      <c r="AO1" s="112" t="s">
        <v>254</v>
      </c>
      <c r="AP1" s="113" t="s">
        <v>255</v>
      </c>
      <c r="AQ1" s="112" t="s">
        <v>256</v>
      </c>
      <c r="AR1" s="114" t="s">
        <v>257</v>
      </c>
      <c r="AS1" s="13" t="s">
        <v>147</v>
      </c>
      <c r="AT1" s="13" t="s">
        <v>388</v>
      </c>
      <c r="AU1" s="13" t="s">
        <v>205</v>
      </c>
      <c r="AV1" s="123" t="s">
        <v>391</v>
      </c>
      <c r="AW1" s="71" t="s">
        <v>188</v>
      </c>
      <c r="AX1" s="72" t="s">
        <v>389</v>
      </c>
      <c r="AY1" s="71" t="s">
        <v>189</v>
      </c>
      <c r="AZ1" s="73" t="s">
        <v>390</v>
      </c>
      <c r="BA1" s="14" t="s">
        <v>175</v>
      </c>
      <c r="BB1" s="15" t="s">
        <v>10</v>
      </c>
      <c r="BC1" s="15" t="s">
        <v>173</v>
      </c>
      <c r="BD1" s="16" t="s">
        <v>19</v>
      </c>
      <c r="BE1" s="10" t="s">
        <v>11</v>
      </c>
      <c r="BF1" s="5" t="s">
        <v>12</v>
      </c>
      <c r="BG1" s="17" t="s">
        <v>13</v>
      </c>
      <c r="BH1" s="10" t="s">
        <v>20</v>
      </c>
      <c r="BI1" s="5" t="s">
        <v>21</v>
      </c>
      <c r="BJ1" s="17" t="s">
        <v>22</v>
      </c>
      <c r="BK1" s="10" t="s">
        <v>156</v>
      </c>
      <c r="BL1" s="5" t="s">
        <v>157</v>
      </c>
      <c r="BM1" s="17" t="s">
        <v>158</v>
      </c>
      <c r="BN1" s="18" t="s">
        <v>220</v>
      </c>
      <c r="BO1" s="19" t="s">
        <v>221</v>
      </c>
      <c r="BP1" s="223" t="s">
        <v>222</v>
      </c>
      <c r="BQ1" s="59" t="s">
        <v>496</v>
      </c>
      <c r="BR1" s="59" t="s">
        <v>497</v>
      </c>
      <c r="BS1" s="226" t="s">
        <v>495</v>
      </c>
      <c r="BT1" s="97" t="s">
        <v>198</v>
      </c>
      <c r="BU1" s="23" t="s">
        <v>16</v>
      </c>
      <c r="BV1" s="23" t="s">
        <v>135</v>
      </c>
      <c r="BW1" s="75" t="s">
        <v>23</v>
      </c>
      <c r="BX1" s="76" t="s">
        <v>155</v>
      </c>
    </row>
    <row r="2" spans="1:76" s="24" customFormat="1" ht="76.5" x14ac:dyDescent="0.25">
      <c r="A2" s="88" t="s">
        <v>223</v>
      </c>
      <c r="B2" s="80">
        <v>9273</v>
      </c>
      <c r="C2" s="79" t="s">
        <v>224</v>
      </c>
      <c r="D2" s="45" t="s">
        <v>218</v>
      </c>
      <c r="E2" s="81" t="s">
        <v>251</v>
      </c>
      <c r="F2" s="84" t="s">
        <v>225</v>
      </c>
      <c r="G2" s="84"/>
      <c r="H2" s="83">
        <v>75011</v>
      </c>
      <c r="I2" s="83" t="s">
        <v>48</v>
      </c>
      <c r="J2" s="78">
        <v>27</v>
      </c>
      <c r="K2" s="102">
        <v>1482</v>
      </c>
      <c r="L2" s="102">
        <v>1332</v>
      </c>
      <c r="M2" s="102">
        <v>0</v>
      </c>
      <c r="N2" s="102">
        <v>150</v>
      </c>
      <c r="O2" s="102">
        <v>0</v>
      </c>
      <c r="P2" s="102">
        <v>0</v>
      </c>
      <c r="Q2" s="102">
        <v>0</v>
      </c>
      <c r="R2" s="39" t="s">
        <v>187</v>
      </c>
      <c r="S2" s="40">
        <v>0</v>
      </c>
      <c r="T2" s="66" t="s">
        <v>236</v>
      </c>
      <c r="U2" s="41">
        <v>1950</v>
      </c>
      <c r="V2" s="41">
        <v>2</v>
      </c>
      <c r="W2" s="41">
        <v>1</v>
      </c>
      <c r="X2" s="42">
        <v>7</v>
      </c>
      <c r="Y2" s="63" t="s">
        <v>226</v>
      </c>
      <c r="Z2" s="43" t="s">
        <v>227</v>
      </c>
      <c r="AA2" s="84" t="s">
        <v>228</v>
      </c>
      <c r="AB2" s="84" t="s">
        <v>229</v>
      </c>
      <c r="AC2" s="61" t="s">
        <v>230</v>
      </c>
      <c r="AD2" s="61"/>
      <c r="AE2" s="61">
        <v>75456</v>
      </c>
      <c r="AF2" s="61" t="s">
        <v>231</v>
      </c>
      <c r="AG2" s="84" t="s">
        <v>232</v>
      </c>
      <c r="AH2" s="44" t="s">
        <v>150</v>
      </c>
      <c r="AI2" s="62" t="s">
        <v>150</v>
      </c>
      <c r="AJ2" s="62"/>
      <c r="AK2" s="66" t="s">
        <v>150</v>
      </c>
      <c r="AL2" s="61" t="s">
        <v>233</v>
      </c>
      <c r="AM2" s="85">
        <v>42095</v>
      </c>
      <c r="AN2" s="25"/>
      <c r="AO2" s="115" t="s">
        <v>272</v>
      </c>
      <c r="AP2" s="116">
        <v>8770664</v>
      </c>
      <c r="AQ2" s="186">
        <v>42196</v>
      </c>
      <c r="AR2" s="25"/>
      <c r="AS2" s="84" t="s">
        <v>235</v>
      </c>
      <c r="AT2" s="119">
        <v>3050</v>
      </c>
      <c r="AU2" s="45" t="s">
        <v>208</v>
      </c>
      <c r="AV2" s="124">
        <v>3050</v>
      </c>
      <c r="AW2" s="127">
        <f t="shared" ref="AW2:AW29" si="0">SUM(AT2/K2)</f>
        <v>2.0580296896086372</v>
      </c>
      <c r="AX2" s="127">
        <f>Tableau1[[#This Row],[PRIME MRI ALLIANZ 
ACTUELLE TTC]]/K2</f>
        <v>2.0580296896086372</v>
      </c>
      <c r="AY2" s="69">
        <v>150</v>
      </c>
      <c r="AZ2" s="70">
        <f>SUM(Tableau1[[#This Row],[PRIME MRI ALLIANZ 
ACTUELLE TTC]]+Tableau1[[#This Row],[FG]])</f>
        <v>3200</v>
      </c>
      <c r="BA2" s="45" t="s">
        <v>165</v>
      </c>
      <c r="BB2" s="45" t="s">
        <v>202</v>
      </c>
      <c r="BC2" s="45" t="s">
        <v>200</v>
      </c>
      <c r="BD2" s="45" t="s">
        <v>200</v>
      </c>
      <c r="BE2" s="45"/>
      <c r="BF2" s="40">
        <v>0</v>
      </c>
      <c r="BG2" s="46">
        <v>0</v>
      </c>
      <c r="BH2" s="45" t="s">
        <v>234</v>
      </c>
      <c r="BI2" s="40">
        <v>2</v>
      </c>
      <c r="BJ2" s="46">
        <f>2088+480</f>
        <v>2568</v>
      </c>
      <c r="BK2" s="45">
        <v>0</v>
      </c>
      <c r="BL2" s="40">
        <v>0</v>
      </c>
      <c r="BM2" s="46">
        <v>0</v>
      </c>
      <c r="BN2" s="47" t="s">
        <v>234</v>
      </c>
      <c r="BO2" s="48">
        <v>1</v>
      </c>
      <c r="BP2" s="224">
        <f>1800</f>
        <v>1800</v>
      </c>
      <c r="BQ2" s="38" t="s">
        <v>234</v>
      </c>
      <c r="BR2" s="38">
        <v>1</v>
      </c>
      <c r="BS2" s="38">
        <v>1800</v>
      </c>
      <c r="BT2" s="98">
        <f>Tableau1[[#This Row],[NBRE     SIN 2013]]+Tableau1[[#This Row],[NBRE     SIN 2014]]+Tableau1[[#This Row],[NBRE     SIN 2015]]+Tableau1[[#This Row],[NBRE     SIN 2012]]</f>
        <v>3</v>
      </c>
      <c r="BU2" s="96">
        <f>Tableau1[[#This Row],[ Montant SIN 2012]]+Tableau1[[#This Row],[ Montant SIN 2013]]+Tableau1[[#This Row],[ Montant SIN 2014]]+Tableau1[[#This Row],[ Montant SIN 2015]]</f>
        <v>4368</v>
      </c>
      <c r="BV2" s="68">
        <f>((((AV2)*0.86)+(((AV2*3)*0.86)*0.85)))</f>
        <v>9311.65</v>
      </c>
      <c r="BW2" s="74">
        <f>Tableau1[[#This Row],[Sinistres]]/Tableau1[[#This Row],[P  = Prime HT N + (Primes HT N-1/N-2/N-3)*0,85)]]</f>
        <v>0.46908979611561863</v>
      </c>
      <c r="BX2" s="106" t="s">
        <v>242</v>
      </c>
    </row>
    <row r="3" spans="1:76" s="24" customFormat="1" ht="38.25" customHeight="1" x14ac:dyDescent="0.25">
      <c r="A3" s="229" t="s">
        <v>223</v>
      </c>
      <c r="B3" s="230">
        <v>9250</v>
      </c>
      <c r="C3" s="231" t="s">
        <v>224</v>
      </c>
      <c r="D3" s="232" t="s">
        <v>218</v>
      </c>
      <c r="E3" s="233" t="s">
        <v>237</v>
      </c>
      <c r="F3" s="233" t="s">
        <v>237</v>
      </c>
      <c r="G3" s="234"/>
      <c r="H3" s="235">
        <v>75019</v>
      </c>
      <c r="I3" s="235" t="s">
        <v>48</v>
      </c>
      <c r="J3" s="236">
        <v>28</v>
      </c>
      <c r="K3" s="237">
        <v>3226</v>
      </c>
      <c r="L3" s="237">
        <f>Tableau1[[#This Row],[SURFACE TOTALE (SHOB)]]-Tableau1[[#This Row],[SURFACE COMMERCES]]</f>
        <v>2451.7600000000002</v>
      </c>
      <c r="M3" s="237">
        <v>0</v>
      </c>
      <c r="N3" s="237">
        <f>Tableau1[[#This Row],[SURFACE TOTALE (SHOB)]]*Tableau1[[#This Row],[Surface Commerciale]]</f>
        <v>774.24</v>
      </c>
      <c r="O3" s="237">
        <v>0</v>
      </c>
      <c r="P3" s="237">
        <v>0</v>
      </c>
      <c r="Q3" s="237">
        <v>0</v>
      </c>
      <c r="R3" s="238" t="s">
        <v>187</v>
      </c>
      <c r="S3" s="239">
        <v>0.24</v>
      </c>
      <c r="T3" s="240" t="s">
        <v>243</v>
      </c>
      <c r="U3" s="241">
        <v>1992</v>
      </c>
      <c r="V3" s="241">
        <v>2</v>
      </c>
      <c r="W3" s="241">
        <v>2</v>
      </c>
      <c r="X3" s="242">
        <v>7</v>
      </c>
      <c r="Y3" s="243" t="s">
        <v>244</v>
      </c>
      <c r="Z3" s="244" t="s">
        <v>227</v>
      </c>
      <c r="AA3" s="234" t="s">
        <v>239</v>
      </c>
      <c r="AB3" s="234" t="s">
        <v>238</v>
      </c>
      <c r="AC3" s="245" t="s">
        <v>240</v>
      </c>
      <c r="AD3" s="245"/>
      <c r="AE3" s="245">
        <v>91380</v>
      </c>
      <c r="AF3" s="245" t="s">
        <v>241</v>
      </c>
      <c r="AG3" s="234">
        <v>70064957</v>
      </c>
      <c r="AH3" s="246"/>
      <c r="AI3" s="247" t="s">
        <v>150</v>
      </c>
      <c r="AJ3" s="247"/>
      <c r="AK3" s="240" t="s">
        <v>150</v>
      </c>
      <c r="AL3" s="245" t="s">
        <v>233</v>
      </c>
      <c r="AM3" s="248">
        <v>42005</v>
      </c>
      <c r="AN3" s="248"/>
      <c r="AO3" s="249" t="s">
        <v>272</v>
      </c>
      <c r="AP3" s="250">
        <v>9743744</v>
      </c>
      <c r="AQ3" s="251">
        <v>42370</v>
      </c>
      <c r="AR3" s="248"/>
      <c r="AS3" s="234" t="s">
        <v>509</v>
      </c>
      <c r="AT3" s="252">
        <v>5216</v>
      </c>
      <c r="AU3" s="232" t="s">
        <v>208</v>
      </c>
      <c r="AV3" s="253">
        <v>4740</v>
      </c>
      <c r="AW3" s="254">
        <f t="shared" si="0"/>
        <v>1.6168629882207068</v>
      </c>
      <c r="AX3" s="254">
        <f>Tableau1[[#This Row],[PRIME MRI ALLIANZ 
ACTUELLE TTC]]/K3</f>
        <v>1.4693118412895225</v>
      </c>
      <c r="AY3" s="255">
        <v>50</v>
      </c>
      <c r="AZ3" s="256">
        <f>SUM(Tableau1[[#This Row],[PRIME MRI ALLIANZ 
ACTUELLE TTC]]+Tableau1[[#This Row],[FG]])</f>
        <v>4790</v>
      </c>
      <c r="BA3" s="232" t="s">
        <v>167</v>
      </c>
      <c r="BB3" s="232" t="s">
        <v>202</v>
      </c>
      <c r="BC3" s="232" t="s">
        <v>200</v>
      </c>
      <c r="BD3" s="232" t="s">
        <v>202</v>
      </c>
      <c r="BE3" s="257" t="s">
        <v>234</v>
      </c>
      <c r="BF3" s="258">
        <v>1</v>
      </c>
      <c r="BG3" s="259">
        <v>2836</v>
      </c>
      <c r="BH3" s="257"/>
      <c r="BI3" s="258">
        <v>0</v>
      </c>
      <c r="BJ3" s="259">
        <v>0</v>
      </c>
      <c r="BK3" s="257"/>
      <c r="BL3" s="258">
        <v>0</v>
      </c>
      <c r="BM3" s="259">
        <v>0</v>
      </c>
      <c r="BN3" s="260"/>
      <c r="BO3" s="261">
        <v>0</v>
      </c>
      <c r="BP3" s="262">
        <v>0</v>
      </c>
      <c r="BQ3" s="261"/>
      <c r="BR3" s="261"/>
      <c r="BS3" s="261"/>
      <c r="BT3" s="263">
        <f>Tableau1[[#This Row],[NBRE     SIN 2013]]+Tableau1[[#This Row],[NBRE     SIN 2014]]+Tableau1[[#This Row],[NBRE     SIN 2015]]+Tableau1[[#This Row],[NBRE     SIN 2012]]</f>
        <v>1</v>
      </c>
      <c r="BU3" s="264">
        <f>Tableau1[[#This Row],[ Montant SIN 2012]]+Tableau1[[#This Row],[ Montant SIN 2013]]+Tableau1[[#This Row],[ Montant SIN 2014]]+Tableau1[[#This Row],[ Montant SIN 2015]]</f>
        <v>2836</v>
      </c>
      <c r="BV3" s="265">
        <f t="shared" ref="BV3:BV40" si="1">((((AV3)*0.86)+(((AV3*3)*0.86)*0.85)))</f>
        <v>14471.22</v>
      </c>
      <c r="BW3" s="266">
        <f>Tableau1[[#This Row],[Sinistres]]/Tableau1[[#This Row],[P  = Prime HT N + (Primes HT N-1/N-2/N-3)*0,85)]]</f>
        <v>0.19597518384766455</v>
      </c>
      <c r="BX3" s="258" t="s">
        <v>510</v>
      </c>
    </row>
    <row r="4" spans="1:76" s="107" customFormat="1" ht="42.75" customHeight="1" x14ac:dyDescent="0.25">
      <c r="A4" s="88" t="s">
        <v>223</v>
      </c>
      <c r="B4" s="80">
        <v>9200</v>
      </c>
      <c r="C4" s="79" t="s">
        <v>224</v>
      </c>
      <c r="D4" s="45" t="s">
        <v>218</v>
      </c>
      <c r="E4" s="81" t="s">
        <v>264</v>
      </c>
      <c r="F4" s="81" t="s">
        <v>245</v>
      </c>
      <c r="G4" s="84"/>
      <c r="H4" s="83">
        <v>75011</v>
      </c>
      <c r="I4" s="83" t="s">
        <v>48</v>
      </c>
      <c r="J4" s="78">
        <v>14</v>
      </c>
      <c r="K4" s="102">
        <v>720</v>
      </c>
      <c r="L4" s="102">
        <f>Tableau1[[#This Row],[SURFACE TOTALE (SHOB)]]-M4</f>
        <v>661</v>
      </c>
      <c r="M4" s="102">
        <v>59</v>
      </c>
      <c r="N4" s="102">
        <v>0</v>
      </c>
      <c r="O4" s="102">
        <v>0</v>
      </c>
      <c r="P4" s="102">
        <v>0</v>
      </c>
      <c r="Q4" s="102">
        <v>0</v>
      </c>
      <c r="R4" s="39" t="s">
        <v>184</v>
      </c>
      <c r="S4" s="40">
        <v>0</v>
      </c>
      <c r="T4" s="66" t="s">
        <v>24</v>
      </c>
      <c r="U4" s="50" t="s">
        <v>246</v>
      </c>
      <c r="V4" s="50">
        <v>1</v>
      </c>
      <c r="W4" s="50">
        <v>1</v>
      </c>
      <c r="X4" s="51">
        <v>6</v>
      </c>
      <c r="Y4" s="63" t="s">
        <v>226</v>
      </c>
      <c r="Z4" s="52" t="s">
        <v>227</v>
      </c>
      <c r="AA4" s="84" t="s">
        <v>247</v>
      </c>
      <c r="AB4" s="84" t="s">
        <v>248</v>
      </c>
      <c r="AC4" s="61"/>
      <c r="AD4" s="61"/>
      <c r="AE4" s="61"/>
      <c r="AF4" s="61"/>
      <c r="AG4" s="91">
        <v>20880034998</v>
      </c>
      <c r="AH4" s="53"/>
      <c r="AI4" s="62" t="s">
        <v>150</v>
      </c>
      <c r="AJ4" s="62"/>
      <c r="AK4" s="66" t="s">
        <v>249</v>
      </c>
      <c r="AL4" s="61" t="s">
        <v>233</v>
      </c>
      <c r="AM4" s="85">
        <v>42005</v>
      </c>
      <c r="AN4" s="54"/>
      <c r="AO4" s="115" t="s">
        <v>272</v>
      </c>
      <c r="AP4" s="116">
        <v>9683231</v>
      </c>
      <c r="AQ4" s="186">
        <v>42370</v>
      </c>
      <c r="AR4" s="54"/>
      <c r="AS4" s="95" t="s">
        <v>275</v>
      </c>
      <c r="AT4" s="119">
        <v>2725</v>
      </c>
      <c r="AU4" s="45" t="s">
        <v>208</v>
      </c>
      <c r="AV4" s="124">
        <v>2426</v>
      </c>
      <c r="AW4" s="127">
        <f t="shared" si="0"/>
        <v>3.7847222222222223</v>
      </c>
      <c r="AX4" s="127">
        <f>Tableau1[[#This Row],[PRIME MRI ALLIANZ 
ACTUELLE TTC]]/K4</f>
        <v>3.3694444444444445</v>
      </c>
      <c r="AY4" s="69">
        <v>200</v>
      </c>
      <c r="AZ4" s="70">
        <f>SUM(Tableau1[[#This Row],[PRIME MRI ALLIANZ 
ACTUELLE TTC]]+Tableau1[[#This Row],[FG]])</f>
        <v>2626</v>
      </c>
      <c r="BA4" s="45" t="s">
        <v>165</v>
      </c>
      <c r="BB4" s="45" t="s">
        <v>202</v>
      </c>
      <c r="BC4" s="45" t="s">
        <v>202</v>
      </c>
      <c r="BD4" s="45" t="s">
        <v>200</v>
      </c>
      <c r="BE4" s="55"/>
      <c r="BF4" s="49">
        <v>0</v>
      </c>
      <c r="BG4" s="56">
        <v>0</v>
      </c>
      <c r="BH4" s="55"/>
      <c r="BI4" s="49">
        <v>0</v>
      </c>
      <c r="BJ4" s="56">
        <v>0</v>
      </c>
      <c r="BK4" s="55"/>
      <c r="BL4" s="49">
        <v>0</v>
      </c>
      <c r="BM4" s="56">
        <v>0</v>
      </c>
      <c r="BN4" s="47" t="s">
        <v>250</v>
      </c>
      <c r="BO4" s="38">
        <v>1</v>
      </c>
      <c r="BP4" s="224">
        <v>147.4</v>
      </c>
      <c r="BQ4" s="38"/>
      <c r="BR4" s="38"/>
      <c r="BS4" s="38"/>
      <c r="BT4" s="98">
        <f>Tableau1[[#This Row],[NBRE     SIN 2013]]+Tableau1[[#This Row],[NBRE     SIN 2014]]+Tableau1[[#This Row],[NBRE     SIN 2015]]+Tableau1[[#This Row],[NBRE     SIN 2012]]</f>
        <v>1</v>
      </c>
      <c r="BU4" s="96">
        <f>Tableau1[[#This Row],[ Montant SIN 2012]]+Tableau1[[#This Row],[ Montant SIN 2013]]+Tableau1[[#This Row],[ Montant SIN 2014]]+Tableau1[[#This Row],[ Montant SIN 2015]]</f>
        <v>147.4</v>
      </c>
      <c r="BV4" s="68">
        <f t="shared" si="1"/>
        <v>7406.5779999999995</v>
      </c>
      <c r="BW4" s="74">
        <f>Tableau1[[#This Row],[Sinistres]]/Tableau1[[#This Row],[P  = Prime HT N + (Primes HT N-1/N-2/N-3)*0,85)]]</f>
        <v>1.9901228340537293E-2</v>
      </c>
      <c r="BX4" s="49"/>
    </row>
    <row r="5" spans="1:76" s="24" customFormat="1" ht="45" x14ac:dyDescent="0.25">
      <c r="A5" s="88" t="s">
        <v>223</v>
      </c>
      <c r="B5" s="80">
        <v>9013</v>
      </c>
      <c r="C5" s="79" t="s">
        <v>224</v>
      </c>
      <c r="D5" s="45" t="s">
        <v>218</v>
      </c>
      <c r="E5" s="81" t="s">
        <v>262</v>
      </c>
      <c r="F5" s="81" t="s">
        <v>252</v>
      </c>
      <c r="G5" s="84"/>
      <c r="H5" s="83">
        <v>75011</v>
      </c>
      <c r="I5" s="83" t="s">
        <v>48</v>
      </c>
      <c r="J5" s="78">
        <v>16</v>
      </c>
      <c r="K5" s="102">
        <v>840</v>
      </c>
      <c r="L5" s="102"/>
      <c r="M5" s="102"/>
      <c r="N5" s="102">
        <f>Tableau1[[#This Row],[SURFACE TOTALE (SHOB)]]*Tableau1[[#This Row],[Surface Commerciale]]</f>
        <v>0</v>
      </c>
      <c r="O5" s="102"/>
      <c r="P5" s="102"/>
      <c r="Q5" s="102"/>
      <c r="R5" s="39" t="s">
        <v>163</v>
      </c>
      <c r="S5" s="40">
        <v>0</v>
      </c>
      <c r="T5" s="66"/>
      <c r="U5" s="50" t="s">
        <v>246</v>
      </c>
      <c r="V5" s="50">
        <v>1</v>
      </c>
      <c r="W5" s="50">
        <v>1</v>
      </c>
      <c r="X5" s="51">
        <v>6</v>
      </c>
      <c r="Y5" s="63" t="s">
        <v>226</v>
      </c>
      <c r="Z5" s="52" t="s">
        <v>227</v>
      </c>
      <c r="AA5" s="84" t="s">
        <v>247</v>
      </c>
      <c r="AB5" s="84" t="s">
        <v>248</v>
      </c>
      <c r="AC5" s="61"/>
      <c r="AD5" s="61"/>
      <c r="AE5" s="61"/>
      <c r="AF5" s="61"/>
      <c r="AG5" s="91">
        <v>20880031298</v>
      </c>
      <c r="AH5" s="53"/>
      <c r="AI5" s="62" t="s">
        <v>150</v>
      </c>
      <c r="AJ5" s="62"/>
      <c r="AK5" s="66" t="s">
        <v>253</v>
      </c>
      <c r="AL5" s="61" t="s">
        <v>233</v>
      </c>
      <c r="AM5" s="85">
        <v>42278</v>
      </c>
      <c r="AN5" s="54"/>
      <c r="AO5" s="115" t="s">
        <v>272</v>
      </c>
      <c r="AP5" s="116">
        <v>9407871</v>
      </c>
      <c r="AQ5" s="186">
        <v>42278</v>
      </c>
      <c r="AR5" s="118" t="s">
        <v>271</v>
      </c>
      <c r="AS5" s="95" t="s">
        <v>266</v>
      </c>
      <c r="AT5" s="119">
        <v>5960</v>
      </c>
      <c r="AU5" s="45" t="s">
        <v>208</v>
      </c>
      <c r="AV5" s="124">
        <v>5810</v>
      </c>
      <c r="AW5" s="127">
        <f t="shared" si="0"/>
        <v>7.0952380952380949</v>
      </c>
      <c r="AX5" s="127">
        <f>Tableau1[[#This Row],[PRIME MRI ALLIANZ 
ACTUELLE TTC]]/K5</f>
        <v>6.916666666666667</v>
      </c>
      <c r="AY5" s="69">
        <v>150</v>
      </c>
      <c r="AZ5" s="70">
        <f>SUM(Tableau1[[#This Row],[PRIME MRI ALLIANZ 
ACTUELLE TTC]]+Tableau1[[#This Row],[FG]])</f>
        <v>5960</v>
      </c>
      <c r="BA5" s="45" t="s">
        <v>165</v>
      </c>
      <c r="BB5" s="45" t="s">
        <v>202</v>
      </c>
      <c r="BC5" s="45" t="s">
        <v>200</v>
      </c>
      <c r="BD5" s="45" t="s">
        <v>200</v>
      </c>
      <c r="BE5" s="55" t="s">
        <v>234</v>
      </c>
      <c r="BF5" s="49">
        <v>1</v>
      </c>
      <c r="BG5" s="94">
        <v>8468</v>
      </c>
      <c r="BH5" s="55" t="s">
        <v>234</v>
      </c>
      <c r="BI5" s="49">
        <v>1</v>
      </c>
      <c r="BJ5" s="56">
        <v>1571</v>
      </c>
      <c r="BK5" s="55" t="s">
        <v>4</v>
      </c>
      <c r="BL5" s="49">
        <v>0</v>
      </c>
      <c r="BM5" s="56">
        <v>0</v>
      </c>
      <c r="BN5" s="47">
        <v>0</v>
      </c>
      <c r="BO5" s="38">
        <v>0</v>
      </c>
      <c r="BP5" s="224">
        <v>0</v>
      </c>
      <c r="BQ5" s="38"/>
      <c r="BR5" s="38"/>
      <c r="BS5" s="38"/>
      <c r="BT5" s="98">
        <f>Tableau1[[#This Row],[NBRE     SIN 2013]]+Tableau1[[#This Row],[NBRE     SIN 2014]]+Tableau1[[#This Row],[NBRE     SIN 2015]]+Tableau1[[#This Row],[NBRE     SIN 2012]]</f>
        <v>2</v>
      </c>
      <c r="BU5" s="96">
        <f>Tableau1[[#This Row],[ Montant SIN 2012]]+Tableau1[[#This Row],[ Montant SIN 2013]]+Tableau1[[#This Row],[ Montant SIN 2014]]+Tableau1[[#This Row],[ Montant SIN 2015]]</f>
        <v>10039</v>
      </c>
      <c r="BV5" s="68">
        <f t="shared" si="1"/>
        <v>17737.93</v>
      </c>
      <c r="BW5" s="74">
        <f>Tableau1[[#This Row],[Sinistres]]/Tableau1[[#This Row],[P  = Prime HT N + (Primes HT N-1/N-2/N-3)*0,85)]]</f>
        <v>0.56596231916576512</v>
      </c>
      <c r="BX5" s="49"/>
    </row>
    <row r="6" spans="1:76" s="24" customFormat="1" ht="45" x14ac:dyDescent="0.25">
      <c r="A6" s="88" t="s">
        <v>223</v>
      </c>
      <c r="B6" s="86">
        <v>9166</v>
      </c>
      <c r="C6" s="79" t="s">
        <v>224</v>
      </c>
      <c r="D6" s="45" t="s">
        <v>218</v>
      </c>
      <c r="E6" s="81" t="s">
        <v>263</v>
      </c>
      <c r="F6" s="81" t="s">
        <v>258</v>
      </c>
      <c r="G6" s="84" t="s">
        <v>259</v>
      </c>
      <c r="H6" s="83">
        <v>75010</v>
      </c>
      <c r="I6" s="83" t="s">
        <v>48</v>
      </c>
      <c r="J6" s="37">
        <v>31</v>
      </c>
      <c r="K6" s="102">
        <v>1850</v>
      </c>
      <c r="L6" s="102"/>
      <c r="M6" s="102">
        <v>0</v>
      </c>
      <c r="N6" s="102">
        <f>Tableau1[[#This Row],[SURFACE TOTALE (SHOB)]]*Tableau1[[#This Row],[Surface Commerciale]]</f>
        <v>444</v>
      </c>
      <c r="O6" s="102">
        <v>0</v>
      </c>
      <c r="P6" s="102">
        <v>0</v>
      </c>
      <c r="Q6" s="102">
        <v>0</v>
      </c>
      <c r="R6" s="39" t="s">
        <v>187</v>
      </c>
      <c r="S6" s="40">
        <v>0.24</v>
      </c>
      <c r="T6" s="66" t="s">
        <v>265</v>
      </c>
      <c r="U6" s="50" t="s">
        <v>246</v>
      </c>
      <c r="V6" s="50">
        <v>1</v>
      </c>
      <c r="W6" s="50">
        <v>1</v>
      </c>
      <c r="X6" s="51">
        <v>7</v>
      </c>
      <c r="Y6" s="63" t="s">
        <v>226</v>
      </c>
      <c r="Z6" s="52" t="s">
        <v>227</v>
      </c>
      <c r="AA6" s="84" t="s">
        <v>247</v>
      </c>
      <c r="AB6" s="84" t="s">
        <v>248</v>
      </c>
      <c r="AC6" s="61"/>
      <c r="AD6" s="61"/>
      <c r="AE6" s="61"/>
      <c r="AF6" s="61"/>
      <c r="AG6" s="84">
        <v>20880030898</v>
      </c>
      <c r="AH6" s="53"/>
      <c r="AI6" s="62" t="s">
        <v>150</v>
      </c>
      <c r="AJ6" s="62"/>
      <c r="AK6" s="66" t="s">
        <v>260</v>
      </c>
      <c r="AL6" s="61" t="s">
        <v>261</v>
      </c>
      <c r="AM6" s="85">
        <v>42278</v>
      </c>
      <c r="AN6" s="54"/>
      <c r="AO6" s="115" t="s">
        <v>272</v>
      </c>
      <c r="AP6" s="116">
        <v>9588790</v>
      </c>
      <c r="AQ6" s="186">
        <v>42278</v>
      </c>
      <c r="AR6" s="117" t="s">
        <v>354</v>
      </c>
      <c r="AS6" s="95" t="s">
        <v>274</v>
      </c>
      <c r="AT6" s="119">
        <v>7810</v>
      </c>
      <c r="AU6" s="45" t="s">
        <v>208</v>
      </c>
      <c r="AV6" s="122">
        <v>7030</v>
      </c>
      <c r="AW6" s="128">
        <f t="shared" si="0"/>
        <v>4.2216216216216216</v>
      </c>
      <c r="AX6" s="128">
        <f>Tableau1[[#This Row],[PRIME MRI ALLIANZ 
ACTUELLE TTC]]/K6</f>
        <v>3.8</v>
      </c>
      <c r="AY6" s="121">
        <v>150</v>
      </c>
      <c r="AZ6" s="120">
        <f>SUM(Tableau1[[#This Row],[PRIME MRI ALLIANZ 
ACTUELLE TTC]]+Tableau1[[#This Row],[FG]])</f>
        <v>7180</v>
      </c>
      <c r="BA6" s="45" t="s">
        <v>165</v>
      </c>
      <c r="BB6" s="45" t="s">
        <v>202</v>
      </c>
      <c r="BC6" s="45" t="s">
        <v>200</v>
      </c>
      <c r="BD6" s="45" t="s">
        <v>202</v>
      </c>
      <c r="BE6" s="55"/>
      <c r="BF6" s="49">
        <v>0</v>
      </c>
      <c r="BG6" s="94">
        <v>0</v>
      </c>
      <c r="BH6" s="55" t="s">
        <v>234</v>
      </c>
      <c r="BI6" s="49">
        <v>1</v>
      </c>
      <c r="BJ6" s="56">
        <v>490</v>
      </c>
      <c r="BK6" s="55"/>
      <c r="BL6" s="49">
        <v>0</v>
      </c>
      <c r="BM6" s="56">
        <v>0</v>
      </c>
      <c r="BN6" s="47" t="s">
        <v>234</v>
      </c>
      <c r="BO6" s="38">
        <v>1</v>
      </c>
      <c r="BP6" s="224">
        <v>1600</v>
      </c>
      <c r="BQ6" s="38"/>
      <c r="BR6" s="38"/>
      <c r="BS6" s="38"/>
      <c r="BT6" s="98">
        <f>Tableau1[[#This Row],[NBRE     SIN 2013]]+Tableau1[[#This Row],[NBRE     SIN 2014]]+Tableau1[[#This Row],[NBRE     SIN 2015]]+Tableau1[[#This Row],[NBRE     SIN 2012]]</f>
        <v>2</v>
      </c>
      <c r="BU6" s="96">
        <f>Tableau1[[#This Row],[ Montant SIN 2012]]+Tableau1[[#This Row],[ Montant SIN 2013]]+Tableau1[[#This Row],[ Montant SIN 2014]]+Tableau1[[#This Row],[ Montant SIN 2015]]</f>
        <v>2090</v>
      </c>
      <c r="BV6" s="68">
        <f t="shared" si="1"/>
        <v>21462.59</v>
      </c>
      <c r="BW6" s="74">
        <f>Tableau1[[#This Row],[Sinistres]]/Tableau1[[#This Row],[P  = Prime HT N + (Primes HT N-1/N-2/N-3)*0,85)]]</f>
        <v>9.737874133550517E-2</v>
      </c>
      <c r="BX6" s="49"/>
    </row>
    <row r="7" spans="1:76" s="24" customFormat="1" ht="15" x14ac:dyDescent="0.25">
      <c r="A7" s="88" t="s">
        <v>223</v>
      </c>
      <c r="B7" s="86">
        <v>9172</v>
      </c>
      <c r="C7" s="79" t="s">
        <v>224</v>
      </c>
      <c r="D7" s="45" t="s">
        <v>218</v>
      </c>
      <c r="E7" s="81" t="s">
        <v>267</v>
      </c>
      <c r="F7" s="81" t="s">
        <v>268</v>
      </c>
      <c r="G7" s="84"/>
      <c r="H7" s="83">
        <v>75011</v>
      </c>
      <c r="I7" s="83" t="s">
        <v>48</v>
      </c>
      <c r="J7" s="37">
        <v>13</v>
      </c>
      <c r="K7" s="104">
        <v>700</v>
      </c>
      <c r="L7" s="102"/>
      <c r="M7" s="102"/>
      <c r="N7" s="102">
        <f>Tableau1[[#This Row],[SURFACE TOTALE (SHOB)]]*Tableau1[[#This Row],[Surface Commerciale]]</f>
        <v>168</v>
      </c>
      <c r="O7" s="102"/>
      <c r="P7" s="102"/>
      <c r="Q7" s="102"/>
      <c r="R7" s="39" t="s">
        <v>187</v>
      </c>
      <c r="S7" s="40">
        <v>0.24</v>
      </c>
      <c r="T7" s="66" t="s">
        <v>270</v>
      </c>
      <c r="U7" s="50" t="s">
        <v>246</v>
      </c>
      <c r="V7" s="50">
        <v>1</v>
      </c>
      <c r="W7" s="50">
        <v>1</v>
      </c>
      <c r="X7" s="51">
        <v>6</v>
      </c>
      <c r="Y7" s="63" t="s">
        <v>226</v>
      </c>
      <c r="Z7" s="52" t="s">
        <v>227</v>
      </c>
      <c r="AA7" s="84" t="s">
        <v>247</v>
      </c>
      <c r="AB7" s="84" t="s">
        <v>248</v>
      </c>
      <c r="AC7" s="61"/>
      <c r="AD7" s="61"/>
      <c r="AE7" s="61"/>
      <c r="AF7" s="61"/>
      <c r="AG7" s="84">
        <v>20880034698</v>
      </c>
      <c r="AH7" s="53"/>
      <c r="AI7" s="62" t="s">
        <v>150</v>
      </c>
      <c r="AJ7" s="62"/>
      <c r="AK7" s="66" t="s">
        <v>150</v>
      </c>
      <c r="AL7" s="61" t="s">
        <v>233</v>
      </c>
      <c r="AM7" s="85">
        <v>42005</v>
      </c>
      <c r="AN7" s="54"/>
      <c r="AO7" s="115" t="s">
        <v>272</v>
      </c>
      <c r="AP7" s="116">
        <v>10284049</v>
      </c>
      <c r="AQ7" s="186">
        <v>42370</v>
      </c>
      <c r="AR7" s="54"/>
      <c r="AS7" s="84" t="s">
        <v>273</v>
      </c>
      <c r="AT7" s="119">
        <v>3965</v>
      </c>
      <c r="AU7" s="45" t="s">
        <v>208</v>
      </c>
      <c r="AV7" s="124">
        <v>3007</v>
      </c>
      <c r="AW7" s="127">
        <f t="shared" si="0"/>
        <v>5.6642857142857146</v>
      </c>
      <c r="AX7" s="127">
        <f>Tableau1[[#This Row],[PRIME MRI ALLIANZ 
ACTUELLE TTC]]/K7</f>
        <v>4.2957142857142854</v>
      </c>
      <c r="AY7" s="69">
        <v>300</v>
      </c>
      <c r="AZ7" s="70">
        <f>SUM(Tableau1[[#This Row],[PRIME MRI ALLIANZ 
ACTUELLE TTC]]+Tableau1[[#This Row],[FG]])</f>
        <v>3307</v>
      </c>
      <c r="BA7" s="45" t="s">
        <v>165</v>
      </c>
      <c r="BB7" s="45"/>
      <c r="BC7" s="45"/>
      <c r="BD7" s="45"/>
      <c r="BE7" s="55" t="s">
        <v>234</v>
      </c>
      <c r="BF7" s="49">
        <v>1</v>
      </c>
      <c r="BG7" s="94">
        <v>1016</v>
      </c>
      <c r="BH7" s="55"/>
      <c r="BI7" s="49">
        <v>0</v>
      </c>
      <c r="BJ7" s="56">
        <v>0</v>
      </c>
      <c r="BK7" s="55" t="s">
        <v>269</v>
      </c>
      <c r="BL7" s="49">
        <v>2</v>
      </c>
      <c r="BM7" s="56">
        <f>2449+210</f>
        <v>2659</v>
      </c>
      <c r="BN7" s="47"/>
      <c r="BO7" s="38">
        <v>0</v>
      </c>
      <c r="BP7" s="224">
        <v>0</v>
      </c>
      <c r="BQ7" s="38"/>
      <c r="BR7" s="38"/>
      <c r="BS7" s="38"/>
      <c r="BT7" s="98">
        <f>Tableau1[[#This Row],[NBRE     SIN 2013]]+Tableau1[[#This Row],[NBRE     SIN 2014]]+Tableau1[[#This Row],[NBRE     SIN 2015]]+Tableau1[[#This Row],[NBRE     SIN 2012]]</f>
        <v>3</v>
      </c>
      <c r="BU7" s="96">
        <f>Tableau1[[#This Row],[ Montant SIN 2012]]+Tableau1[[#This Row],[ Montant SIN 2013]]+Tableau1[[#This Row],[ Montant SIN 2014]]+Tableau1[[#This Row],[ Montant SIN 2015]]</f>
        <v>3675</v>
      </c>
      <c r="BV7" s="68">
        <f t="shared" si="1"/>
        <v>9180.3709999999992</v>
      </c>
      <c r="BW7" s="74">
        <f>Tableau1[[#This Row],[Sinistres]]/Tableau1[[#This Row],[P  = Prime HT N + (Primes HT N-1/N-2/N-3)*0,85)]]</f>
        <v>0.40031061925492994</v>
      </c>
      <c r="BX7" s="49"/>
    </row>
    <row r="8" spans="1:76" s="181" customFormat="1" ht="25.5" x14ac:dyDescent="0.25">
      <c r="A8" s="145" t="s">
        <v>223</v>
      </c>
      <c r="B8" s="146">
        <v>9019</v>
      </c>
      <c r="C8" s="147" t="s">
        <v>224</v>
      </c>
      <c r="D8" s="148" t="s">
        <v>218</v>
      </c>
      <c r="E8" s="149" t="s">
        <v>278</v>
      </c>
      <c r="F8" s="149" t="s">
        <v>512</v>
      </c>
      <c r="G8" s="150"/>
      <c r="H8" s="151">
        <v>75011</v>
      </c>
      <c r="I8" s="151" t="s">
        <v>48</v>
      </c>
      <c r="J8" s="152">
        <v>21</v>
      </c>
      <c r="K8" s="153">
        <v>900</v>
      </c>
      <c r="L8" s="153"/>
      <c r="M8" s="153"/>
      <c r="N8" s="153">
        <f>Tableau1[[#This Row],[SURFACE TOTALE (SHOB)]]*Tableau1[[#This Row],[Surface Commerciale]]</f>
        <v>216</v>
      </c>
      <c r="O8" s="153"/>
      <c r="P8" s="153"/>
      <c r="Q8" s="153"/>
      <c r="R8" s="154" t="s">
        <v>187</v>
      </c>
      <c r="S8" s="155">
        <v>0.24</v>
      </c>
      <c r="T8" s="156"/>
      <c r="U8" s="157" t="s">
        <v>246</v>
      </c>
      <c r="V8" s="157">
        <v>1</v>
      </c>
      <c r="W8" s="157">
        <v>1</v>
      </c>
      <c r="X8" s="158">
        <v>4</v>
      </c>
      <c r="Y8" s="159" t="s">
        <v>226</v>
      </c>
      <c r="Z8" s="160" t="s">
        <v>227</v>
      </c>
      <c r="AA8" s="150" t="s">
        <v>247</v>
      </c>
      <c r="AB8" s="150" t="s">
        <v>229</v>
      </c>
      <c r="AC8" s="161"/>
      <c r="AD8" s="150"/>
      <c r="AE8" s="150"/>
      <c r="AF8" s="150"/>
      <c r="AG8" s="150" t="s">
        <v>315</v>
      </c>
      <c r="AH8" s="162"/>
      <c r="AI8" s="163" t="s">
        <v>150</v>
      </c>
      <c r="AJ8" s="153"/>
      <c r="AK8" s="156" t="s">
        <v>511</v>
      </c>
      <c r="AL8" s="161" t="s">
        <v>233</v>
      </c>
      <c r="AM8" s="164">
        <v>42278</v>
      </c>
      <c r="AN8" s="164">
        <v>42644</v>
      </c>
      <c r="AO8" s="115" t="s">
        <v>272</v>
      </c>
      <c r="AP8" s="116">
        <v>9665957</v>
      </c>
      <c r="AQ8" s="186">
        <v>42644</v>
      </c>
      <c r="AR8" s="164"/>
      <c r="AS8" s="165" t="s">
        <v>513</v>
      </c>
      <c r="AT8" s="166">
        <v>4599</v>
      </c>
      <c r="AU8" s="148" t="s">
        <v>208</v>
      </c>
      <c r="AV8" s="167">
        <v>3875</v>
      </c>
      <c r="AW8" s="168">
        <f t="shared" si="0"/>
        <v>5.1100000000000003</v>
      </c>
      <c r="AX8" s="168">
        <f>Tableau1[[#This Row],[PRIME MRI ALLIANZ 
ACTUELLE TTC]]/K8</f>
        <v>4.3055555555555554</v>
      </c>
      <c r="AY8" s="169">
        <v>190</v>
      </c>
      <c r="AZ8" s="170">
        <v>4085</v>
      </c>
      <c r="BA8" s="148" t="s">
        <v>165</v>
      </c>
      <c r="BB8" s="148" t="s">
        <v>202</v>
      </c>
      <c r="BC8" s="148" t="s">
        <v>200</v>
      </c>
      <c r="BD8" s="148" t="s">
        <v>202</v>
      </c>
      <c r="BE8" s="171" t="s">
        <v>150</v>
      </c>
      <c r="BF8" s="172">
        <v>0</v>
      </c>
      <c r="BG8" s="173">
        <v>0</v>
      </c>
      <c r="BH8" s="171" t="s">
        <v>234</v>
      </c>
      <c r="BI8" s="172">
        <v>1</v>
      </c>
      <c r="BJ8" s="174">
        <v>0</v>
      </c>
      <c r="BK8" s="171" t="s">
        <v>337</v>
      </c>
      <c r="BL8" s="172">
        <v>2</v>
      </c>
      <c r="BM8" s="174">
        <f>0+1718</f>
        <v>1718</v>
      </c>
      <c r="BN8" s="175" t="s">
        <v>150</v>
      </c>
      <c r="BO8" s="176">
        <v>0</v>
      </c>
      <c r="BP8" s="225">
        <v>0</v>
      </c>
      <c r="BQ8" s="176" t="s">
        <v>150</v>
      </c>
      <c r="BR8" s="176">
        <v>0</v>
      </c>
      <c r="BS8" s="176">
        <v>0</v>
      </c>
      <c r="BT8" s="177">
        <f>Tableau1[[#This Row],[NBRE     SIN 2013]]+Tableau1[[#This Row],[NBRE     SIN 2014]]+Tableau1[[#This Row],[NBRE     SIN 2015]]+Tableau1[[#This Row],[NBRE     SIN 2012]]</f>
        <v>3</v>
      </c>
      <c r="BU8" s="178">
        <v>2525</v>
      </c>
      <c r="BV8" s="179">
        <f t="shared" si="1"/>
        <v>11830.375</v>
      </c>
      <c r="BW8" s="180">
        <f>Tableau1[[#This Row],[Sinistres]]/Tableau1[[#This Row],[P  = Prime HT N + (Primes HT N-1/N-2/N-3)*0,85)]]</f>
        <v>0.21343364010016588</v>
      </c>
      <c r="BX8" s="172" t="s">
        <v>344</v>
      </c>
    </row>
    <row r="9" spans="1:76" s="24" customFormat="1" ht="15" x14ac:dyDescent="0.25">
      <c r="A9" s="88" t="s">
        <v>223</v>
      </c>
      <c r="B9" s="86">
        <v>9133</v>
      </c>
      <c r="C9" s="79" t="s">
        <v>224</v>
      </c>
      <c r="D9" s="45" t="s">
        <v>218</v>
      </c>
      <c r="E9" s="81" t="s">
        <v>279</v>
      </c>
      <c r="F9" s="81" t="s">
        <v>279</v>
      </c>
      <c r="G9" s="84"/>
      <c r="H9" s="83">
        <v>75013</v>
      </c>
      <c r="I9" s="83" t="s">
        <v>48</v>
      </c>
      <c r="J9" s="37">
        <v>35</v>
      </c>
      <c r="K9" s="102">
        <v>990</v>
      </c>
      <c r="L9" s="102"/>
      <c r="M9" s="102"/>
      <c r="N9" s="102">
        <f>Tableau1[[#This Row],[SURFACE TOTALE (SHOB)]]*Tableau1[[#This Row],[Surface Commerciale]]</f>
        <v>237.6</v>
      </c>
      <c r="O9" s="102"/>
      <c r="P9" s="102"/>
      <c r="Q9" s="62"/>
      <c r="R9" s="39" t="s">
        <v>187</v>
      </c>
      <c r="S9" s="40">
        <v>0.24</v>
      </c>
      <c r="T9" s="66" t="s">
        <v>357</v>
      </c>
      <c r="U9" s="50" t="s">
        <v>246</v>
      </c>
      <c r="V9" s="50">
        <v>1</v>
      </c>
      <c r="W9" s="50">
        <v>1</v>
      </c>
      <c r="X9" s="51">
        <v>6</v>
      </c>
      <c r="Y9" s="63" t="s">
        <v>226</v>
      </c>
      <c r="Z9" s="63" t="s">
        <v>227</v>
      </c>
      <c r="AA9" s="84" t="s">
        <v>247</v>
      </c>
      <c r="AB9" s="84" t="s">
        <v>248</v>
      </c>
      <c r="AC9" s="61"/>
      <c r="AD9" s="61"/>
      <c r="AE9" s="61"/>
      <c r="AF9" s="61"/>
      <c r="AG9" s="84">
        <v>20880030998</v>
      </c>
      <c r="AH9" s="53"/>
      <c r="AI9" s="62" t="s">
        <v>150</v>
      </c>
      <c r="AJ9" s="62"/>
      <c r="AK9" s="66" t="s">
        <v>150</v>
      </c>
      <c r="AL9" s="61" t="s">
        <v>233</v>
      </c>
      <c r="AM9" s="54">
        <v>42278</v>
      </c>
      <c r="AN9" s="54"/>
      <c r="AO9" s="115" t="s">
        <v>272</v>
      </c>
      <c r="AP9" s="116">
        <v>10206091</v>
      </c>
      <c r="AQ9" s="186">
        <v>42316</v>
      </c>
      <c r="AR9" s="54"/>
      <c r="AS9" s="84" t="s">
        <v>356</v>
      </c>
      <c r="AT9" s="119">
        <v>4750</v>
      </c>
      <c r="AU9" s="45" t="s">
        <v>208</v>
      </c>
      <c r="AV9" s="125">
        <v>3995</v>
      </c>
      <c r="AW9" s="127">
        <f t="shared" si="0"/>
        <v>4.7979797979797976</v>
      </c>
      <c r="AX9" s="127">
        <f>Tableau1[[#This Row],[PRIME MRI ALLIANZ 
ACTUELLE TTC]]/K9</f>
        <v>4.0353535353535355</v>
      </c>
      <c r="AY9" s="69">
        <v>300</v>
      </c>
      <c r="AZ9" s="70">
        <f>SUM(Tableau1[[#This Row],[PRIME MRI ALLIANZ 
ACTUELLE TTC]]+Tableau1[[#This Row],[FG]])</f>
        <v>4295</v>
      </c>
      <c r="BA9" s="45" t="s">
        <v>165</v>
      </c>
      <c r="BB9" s="45" t="s">
        <v>200</v>
      </c>
      <c r="BC9" s="45" t="s">
        <v>200</v>
      </c>
      <c r="BD9" s="45" t="s">
        <v>200</v>
      </c>
      <c r="BE9" s="55" t="s">
        <v>234</v>
      </c>
      <c r="BF9" s="49">
        <v>1</v>
      </c>
      <c r="BG9" s="94">
        <v>2835</v>
      </c>
      <c r="BH9" s="55" t="s">
        <v>355</v>
      </c>
      <c r="BI9" s="49">
        <v>2</v>
      </c>
      <c r="BJ9" s="56">
        <v>353</v>
      </c>
      <c r="BK9" s="55" t="s">
        <v>150</v>
      </c>
      <c r="BL9" s="49">
        <v>0</v>
      </c>
      <c r="BM9" s="56">
        <v>0</v>
      </c>
      <c r="BN9" s="47" t="s">
        <v>150</v>
      </c>
      <c r="BO9" s="38">
        <v>0</v>
      </c>
      <c r="BP9" s="224">
        <v>0</v>
      </c>
      <c r="BQ9" s="38"/>
      <c r="BR9" s="38"/>
      <c r="BS9" s="38"/>
      <c r="BT9" s="98">
        <f>Tableau1[[#This Row],[NBRE     SIN 2013]]+Tableau1[[#This Row],[NBRE     SIN 2014]]+Tableau1[[#This Row],[NBRE     SIN 2015]]+Tableau1[[#This Row],[NBRE     SIN 2012]]</f>
        <v>3</v>
      </c>
      <c r="BU9" s="96">
        <f>Tableau1[[#This Row],[ Montant SIN 2012]]+Tableau1[[#This Row],[ Montant SIN 2013]]+Tableau1[[#This Row],[ Montant SIN 2014]]+Tableau1[[#This Row],[ Montant SIN 2015]]</f>
        <v>3188</v>
      </c>
      <c r="BV9" s="68">
        <f t="shared" si="1"/>
        <v>12196.735000000001</v>
      </c>
      <c r="BW9" s="74">
        <f>Tableau1[[#This Row],[Sinistres]]/Tableau1[[#This Row],[P  = Prime HT N + (Primes HT N-1/N-2/N-3)*0,85)]]</f>
        <v>0.26138142707864032</v>
      </c>
      <c r="BX9" s="49"/>
    </row>
    <row r="10" spans="1:76" s="24" customFormat="1" ht="45" x14ac:dyDescent="0.25">
      <c r="A10" s="88" t="s">
        <v>223</v>
      </c>
      <c r="B10" s="86">
        <v>9194</v>
      </c>
      <c r="C10" s="79" t="s">
        <v>224</v>
      </c>
      <c r="D10" s="45" t="s">
        <v>218</v>
      </c>
      <c r="E10" s="81" t="s">
        <v>280</v>
      </c>
      <c r="F10" s="81" t="s">
        <v>280</v>
      </c>
      <c r="G10" s="84"/>
      <c r="H10" s="83">
        <v>75011</v>
      </c>
      <c r="I10" s="83" t="s">
        <v>48</v>
      </c>
      <c r="J10" s="37">
        <v>23</v>
      </c>
      <c r="K10" s="102">
        <v>1887</v>
      </c>
      <c r="L10" s="102"/>
      <c r="M10" s="102"/>
      <c r="N10" s="102">
        <f>Tableau1[[#This Row],[SURFACE TOTALE (SHOB)]]*Tableau1[[#This Row],[Surface Commerciale]]</f>
        <v>452.88</v>
      </c>
      <c r="O10" s="102"/>
      <c r="P10" s="102"/>
      <c r="Q10" s="62"/>
      <c r="R10" s="39" t="s">
        <v>187</v>
      </c>
      <c r="S10" s="40">
        <v>0.24</v>
      </c>
      <c r="T10" s="66" t="s">
        <v>25</v>
      </c>
      <c r="U10" s="50" t="s">
        <v>246</v>
      </c>
      <c r="V10" s="50">
        <v>1</v>
      </c>
      <c r="W10" s="50">
        <v>1</v>
      </c>
      <c r="X10" s="51">
        <v>7</v>
      </c>
      <c r="Y10" s="63" t="s">
        <v>226</v>
      </c>
      <c r="Z10" s="63" t="s">
        <v>227</v>
      </c>
      <c r="AA10" s="84" t="s">
        <v>247</v>
      </c>
      <c r="AB10" s="84" t="s">
        <v>229</v>
      </c>
      <c r="AC10" s="61"/>
      <c r="AD10" s="61"/>
      <c r="AE10" s="61"/>
      <c r="AF10" s="61"/>
      <c r="AG10" s="84" t="s">
        <v>486</v>
      </c>
      <c r="AH10" s="53"/>
      <c r="AI10" s="62"/>
      <c r="AJ10" s="62"/>
      <c r="AK10" s="66" t="s">
        <v>281</v>
      </c>
      <c r="AL10" s="61" t="s">
        <v>233</v>
      </c>
      <c r="AM10" s="54">
        <v>42278</v>
      </c>
      <c r="AN10" s="54"/>
      <c r="AO10" s="115" t="s">
        <v>272</v>
      </c>
      <c r="AP10" s="116">
        <v>10274281</v>
      </c>
      <c r="AQ10" s="186">
        <v>42644</v>
      </c>
      <c r="AR10" s="54"/>
      <c r="AS10" s="95" t="s">
        <v>492</v>
      </c>
      <c r="AT10" s="119">
        <v>5025</v>
      </c>
      <c r="AU10" s="45" t="s">
        <v>208</v>
      </c>
      <c r="AV10" s="125">
        <v>4455</v>
      </c>
      <c r="AW10" s="127">
        <f t="shared" si="0"/>
        <v>2.6629570747217808</v>
      </c>
      <c r="AX10" s="127">
        <f>Tableau1[[#This Row],[PRIME MRI ALLIANZ 
ACTUELLE TTC]]/K10</f>
        <v>2.3608903020667729</v>
      </c>
      <c r="AY10" s="69">
        <v>200</v>
      </c>
      <c r="AZ10" s="70">
        <f>SUM(Tableau1[[#This Row],[PRIME MRI ALLIANZ 
ACTUELLE TTC]]+Tableau1[[#This Row],[FG]])</f>
        <v>4655</v>
      </c>
      <c r="BA10" s="45"/>
      <c r="BB10" s="45"/>
      <c r="BC10" s="45"/>
      <c r="BD10" s="219"/>
      <c r="BE10" s="220"/>
      <c r="BF10" s="221"/>
      <c r="BG10" s="222"/>
      <c r="BH10" s="55" t="s">
        <v>150</v>
      </c>
      <c r="BI10" s="49">
        <v>0</v>
      </c>
      <c r="BJ10" s="56">
        <v>0</v>
      </c>
      <c r="BK10" s="55" t="s">
        <v>487</v>
      </c>
      <c r="BL10" s="49">
        <v>4</v>
      </c>
      <c r="BM10" s="56">
        <f>0+214+0+0</f>
        <v>214</v>
      </c>
      <c r="BN10" s="47" t="s">
        <v>150</v>
      </c>
      <c r="BO10" s="38">
        <v>0</v>
      </c>
      <c r="BP10" s="224">
        <v>0</v>
      </c>
      <c r="BQ10" s="38"/>
      <c r="BR10" s="38"/>
      <c r="BS10" s="38"/>
      <c r="BT10" s="98">
        <f>Tableau1[[#This Row],[NBRE     SIN 2013]]+Tableau1[[#This Row],[NBRE     SIN 2014]]+Tableau1[[#This Row],[NBRE     SIN 2015]]+Tableau1[[#This Row],[NBRE     SIN 2012]]</f>
        <v>4</v>
      </c>
      <c r="BU10" s="96">
        <f>Tableau1[[#This Row],[ Montant SIN 2012]]+Tableau1[[#This Row],[ Montant SIN 2013]]+Tableau1[[#This Row],[ Montant SIN 2014]]+Tableau1[[#This Row],[ Montant SIN 2015]]</f>
        <v>214</v>
      </c>
      <c r="BV10" s="68">
        <f t="shared" si="1"/>
        <v>13601.114999999998</v>
      </c>
      <c r="BW10" s="74">
        <f>Tableau1[[#This Row],[Sinistres]]/Tableau1[[#This Row],[P  = Prime HT N + (Primes HT N-1/N-2/N-3)*0,85)]]</f>
        <v>1.5734004160688299E-2</v>
      </c>
      <c r="BX10" s="49"/>
    </row>
    <row r="11" spans="1:76" s="181" customFormat="1" ht="15" x14ac:dyDescent="0.25">
      <c r="A11" s="145" t="s">
        <v>223</v>
      </c>
      <c r="B11" s="146"/>
      <c r="C11" s="147" t="s">
        <v>224</v>
      </c>
      <c r="D11" s="148" t="s">
        <v>218</v>
      </c>
      <c r="E11" s="149" t="s">
        <v>282</v>
      </c>
      <c r="F11" s="149" t="s">
        <v>313</v>
      </c>
      <c r="G11" s="150"/>
      <c r="H11" s="151">
        <v>75011</v>
      </c>
      <c r="I11" s="151" t="s">
        <v>48</v>
      </c>
      <c r="J11" s="152"/>
      <c r="K11" s="153">
        <v>2040</v>
      </c>
      <c r="L11" s="153"/>
      <c r="M11" s="153"/>
      <c r="N11" s="153">
        <f>Tableau1[[#This Row],[SURFACE TOTALE (SHOB)]]*Tableau1[[#This Row],[Surface Commerciale]]</f>
        <v>0</v>
      </c>
      <c r="O11" s="153"/>
      <c r="P11" s="153"/>
      <c r="Q11" s="153"/>
      <c r="R11" s="154"/>
      <c r="S11" s="155"/>
      <c r="T11" s="156"/>
      <c r="U11" s="157"/>
      <c r="V11" s="157"/>
      <c r="W11" s="157"/>
      <c r="X11" s="158"/>
      <c r="Y11" s="159"/>
      <c r="Z11" s="160"/>
      <c r="AA11" s="150" t="s">
        <v>247</v>
      </c>
      <c r="AB11" s="150" t="s">
        <v>229</v>
      </c>
      <c r="AC11" s="161"/>
      <c r="AD11" s="150"/>
      <c r="AE11" s="150"/>
      <c r="AF11" s="150"/>
      <c r="AG11" s="150" t="s">
        <v>314</v>
      </c>
      <c r="AH11" s="162"/>
      <c r="AI11" s="163"/>
      <c r="AJ11" s="153"/>
      <c r="AK11" s="156" t="s">
        <v>150</v>
      </c>
      <c r="AL11" s="161" t="s">
        <v>233</v>
      </c>
      <c r="AM11" s="164">
        <v>42278</v>
      </c>
      <c r="AN11" s="164"/>
      <c r="AO11" s="115"/>
      <c r="AP11" s="187" t="s">
        <v>346</v>
      </c>
      <c r="AQ11" s="186"/>
      <c r="AR11" s="164"/>
      <c r="AS11" s="165" t="s">
        <v>346</v>
      </c>
      <c r="AT11" s="166">
        <v>3687</v>
      </c>
      <c r="AU11" s="148" t="s">
        <v>208</v>
      </c>
      <c r="AV11" s="167">
        <v>0</v>
      </c>
      <c r="AW11" s="168">
        <f t="shared" si="0"/>
        <v>1.8073529411764706</v>
      </c>
      <c r="AX11" s="168">
        <f>Tableau1[[#This Row],[PRIME MRI ALLIANZ 
ACTUELLE TTC]]/K11</f>
        <v>0</v>
      </c>
      <c r="AY11" s="169">
        <v>0</v>
      </c>
      <c r="AZ11" s="170">
        <f>SUM(Tableau1[[#This Row],[PRIME MRI ALLIANZ 
ACTUELLE TTC]]+Tableau1[[#This Row],[FG]])</f>
        <v>0</v>
      </c>
      <c r="BA11" s="148"/>
      <c r="BB11" s="148"/>
      <c r="BC11" s="148"/>
      <c r="BD11" s="148"/>
      <c r="BE11" s="171"/>
      <c r="BF11" s="172"/>
      <c r="BG11" s="173"/>
      <c r="BH11" s="171"/>
      <c r="BI11" s="172"/>
      <c r="BJ11" s="174"/>
      <c r="BK11" s="171"/>
      <c r="BL11" s="172"/>
      <c r="BM11" s="174"/>
      <c r="BN11" s="175"/>
      <c r="BO11" s="176"/>
      <c r="BP11" s="225"/>
      <c r="BQ11" s="176"/>
      <c r="BR11" s="176"/>
      <c r="BS11" s="176"/>
      <c r="BT11" s="177">
        <f>Tableau1[[#This Row],[NBRE     SIN 2013]]+Tableau1[[#This Row],[NBRE     SIN 2014]]+Tableau1[[#This Row],[NBRE     SIN 2015]]+Tableau1[[#This Row],[NBRE     SIN 2012]]</f>
        <v>0</v>
      </c>
      <c r="BU11" s="178">
        <f>Tableau1[[#This Row],[ Montant SIN 2012]]+Tableau1[[#This Row],[ Montant SIN 2013]]+Tableau1[[#This Row],[ Montant SIN 2014]]+Tableau1[[#This Row],[ Montant SIN 2015]]</f>
        <v>0</v>
      </c>
      <c r="BV11" s="179">
        <f t="shared" si="1"/>
        <v>0</v>
      </c>
      <c r="BW11" s="180" t="e">
        <f>Tableau1[[#This Row],[Sinistres]]/Tableau1[[#This Row],[P  = Prime HT N + (Primes HT N-1/N-2/N-3)*0,85)]]</f>
        <v>#DIV/0!</v>
      </c>
      <c r="BX11" s="172"/>
    </row>
    <row r="12" spans="1:76" s="24" customFormat="1" ht="45" x14ac:dyDescent="0.25">
      <c r="A12" s="88" t="s">
        <v>223</v>
      </c>
      <c r="B12" s="86">
        <v>9097</v>
      </c>
      <c r="C12" s="82" t="s">
        <v>224</v>
      </c>
      <c r="D12" s="45" t="s">
        <v>218</v>
      </c>
      <c r="E12" s="81" t="s">
        <v>284</v>
      </c>
      <c r="F12" s="81" t="s">
        <v>311</v>
      </c>
      <c r="G12" s="84"/>
      <c r="H12" s="83">
        <v>75009</v>
      </c>
      <c r="I12" s="83" t="s">
        <v>48</v>
      </c>
      <c r="J12" s="37">
        <v>72</v>
      </c>
      <c r="K12" s="102">
        <v>2800</v>
      </c>
      <c r="L12" s="102"/>
      <c r="M12" s="102"/>
      <c r="N12" s="102">
        <f>Tableau1[[#This Row],[SURFACE TOTALE (SHOB)]]*Tableau1[[#This Row],[Surface Commerciale]]</f>
        <v>672</v>
      </c>
      <c r="O12" s="102"/>
      <c r="P12" s="102"/>
      <c r="Q12" s="102">
        <v>1</v>
      </c>
      <c r="R12" s="39" t="s">
        <v>187</v>
      </c>
      <c r="S12" s="40">
        <v>0.24</v>
      </c>
      <c r="T12" s="66" t="s">
        <v>324</v>
      </c>
      <c r="U12" s="50" t="s">
        <v>246</v>
      </c>
      <c r="V12" s="50">
        <v>4</v>
      </c>
      <c r="W12" s="50">
        <v>0</v>
      </c>
      <c r="X12" s="51">
        <v>8</v>
      </c>
      <c r="Y12" s="63" t="s">
        <v>226</v>
      </c>
      <c r="Z12" s="52" t="s">
        <v>227</v>
      </c>
      <c r="AA12" s="84" t="s">
        <v>247</v>
      </c>
      <c r="AB12" s="84" t="s">
        <v>248</v>
      </c>
      <c r="AC12" s="61"/>
      <c r="AD12" s="61"/>
      <c r="AE12" s="61"/>
      <c r="AF12" s="61"/>
      <c r="AG12" s="84">
        <v>20880033998</v>
      </c>
      <c r="AH12" s="53"/>
      <c r="AI12" s="62" t="s">
        <v>150</v>
      </c>
      <c r="AJ12" s="62"/>
      <c r="AK12" s="66" t="s">
        <v>285</v>
      </c>
      <c r="AL12" s="61" t="s">
        <v>233</v>
      </c>
      <c r="AM12" s="54">
        <v>42005</v>
      </c>
      <c r="AN12" s="54"/>
      <c r="AO12" s="115" t="s">
        <v>272</v>
      </c>
      <c r="AP12" s="116">
        <v>9977420</v>
      </c>
      <c r="AQ12" s="186">
        <v>42370</v>
      </c>
      <c r="AR12" s="117"/>
      <c r="AS12" s="95" t="s">
        <v>335</v>
      </c>
      <c r="AT12" s="119">
        <v>8945</v>
      </c>
      <c r="AU12" s="45" t="s">
        <v>208</v>
      </c>
      <c r="AV12" s="125">
        <v>8402</v>
      </c>
      <c r="AW12" s="127">
        <f t="shared" si="0"/>
        <v>3.1946428571428571</v>
      </c>
      <c r="AX12" s="127">
        <f>Tableau1[[#This Row],[PRIME MRI ALLIANZ 
ACTUELLE TTC]]/K12</f>
        <v>3.0007142857142859</v>
      </c>
      <c r="AY12" s="69">
        <v>300</v>
      </c>
      <c r="AZ12" s="70">
        <f>SUM(Tableau1[[#This Row],[PRIME MRI ALLIANZ 
ACTUELLE TTC]]+Tableau1[[#This Row],[FG]])</f>
        <v>8702</v>
      </c>
      <c r="BA12" s="45" t="s">
        <v>165</v>
      </c>
      <c r="BB12" s="45" t="s">
        <v>202</v>
      </c>
      <c r="BC12" s="45" t="s">
        <v>200</v>
      </c>
      <c r="BD12" s="45" t="s">
        <v>200</v>
      </c>
      <c r="BE12" s="55" t="s">
        <v>234</v>
      </c>
      <c r="BF12" s="49">
        <v>2</v>
      </c>
      <c r="BG12" s="94">
        <v>0</v>
      </c>
      <c r="BH12" s="55" t="s">
        <v>234</v>
      </c>
      <c r="BI12" s="49">
        <v>1</v>
      </c>
      <c r="BJ12" s="56">
        <v>0</v>
      </c>
      <c r="BK12" s="55" t="s">
        <v>234</v>
      </c>
      <c r="BL12" s="49">
        <v>1</v>
      </c>
      <c r="BM12" s="56">
        <v>0</v>
      </c>
      <c r="BN12" s="47" t="s">
        <v>150</v>
      </c>
      <c r="BO12" s="38">
        <v>0</v>
      </c>
      <c r="BP12" s="224">
        <v>0</v>
      </c>
      <c r="BQ12" s="38"/>
      <c r="BR12" s="38"/>
      <c r="BS12" s="38"/>
      <c r="BT12" s="98">
        <f>Tableau1[[#This Row],[NBRE     SIN 2013]]+Tableau1[[#This Row],[NBRE     SIN 2014]]+Tableau1[[#This Row],[NBRE     SIN 2015]]+Tableau1[[#This Row],[NBRE     SIN 2012]]</f>
        <v>4</v>
      </c>
      <c r="BU12" s="96">
        <f>Tableau1[[#This Row],[ Montant SIN 2012]]+Tableau1[[#This Row],[ Montant SIN 2013]]+Tableau1[[#This Row],[ Montant SIN 2014]]+Tableau1[[#This Row],[ Montant SIN 2015]]</f>
        <v>0</v>
      </c>
      <c r="BV12" s="68">
        <f t="shared" si="1"/>
        <v>25651.306</v>
      </c>
      <c r="BW12" s="74">
        <f>Tableau1[[#This Row],[Sinistres]]/Tableau1[[#This Row],[P  = Prime HT N + (Primes HT N-1/N-2/N-3)*0,85)]]</f>
        <v>0</v>
      </c>
      <c r="BX12" s="49"/>
    </row>
    <row r="13" spans="1:76" s="24" customFormat="1" ht="15" x14ac:dyDescent="0.25">
      <c r="A13" s="88" t="s">
        <v>223</v>
      </c>
      <c r="B13" s="86">
        <v>9148</v>
      </c>
      <c r="C13" s="82" t="s">
        <v>224</v>
      </c>
      <c r="D13" s="45" t="s">
        <v>218</v>
      </c>
      <c r="E13" s="81" t="s">
        <v>286</v>
      </c>
      <c r="F13" s="81" t="s">
        <v>286</v>
      </c>
      <c r="G13" s="84"/>
      <c r="H13" s="83">
        <v>75003</v>
      </c>
      <c r="I13" s="83" t="s">
        <v>48</v>
      </c>
      <c r="J13" s="37">
        <v>38</v>
      </c>
      <c r="K13" s="102">
        <v>3210</v>
      </c>
      <c r="L13" s="102"/>
      <c r="M13" s="102"/>
      <c r="N13" s="102">
        <f>Tableau1[[#This Row],[SURFACE TOTALE (SHOB)]]*Tableau1[[#This Row],[Surface Commerciale]]</f>
        <v>0</v>
      </c>
      <c r="O13" s="102"/>
      <c r="P13" s="102"/>
      <c r="Q13" s="102"/>
      <c r="R13" s="39" t="s">
        <v>187</v>
      </c>
      <c r="S13" s="40">
        <v>0</v>
      </c>
      <c r="T13" s="66" t="s">
        <v>150</v>
      </c>
      <c r="U13" s="50" t="s">
        <v>246</v>
      </c>
      <c r="V13" s="50">
        <v>2</v>
      </c>
      <c r="W13" s="50">
        <v>1</v>
      </c>
      <c r="X13" s="51">
        <v>5</v>
      </c>
      <c r="Y13" s="63" t="s">
        <v>325</v>
      </c>
      <c r="Z13" s="52" t="s">
        <v>227</v>
      </c>
      <c r="AA13" s="84" t="s">
        <v>247</v>
      </c>
      <c r="AB13" s="84" t="s">
        <v>248</v>
      </c>
      <c r="AC13" s="61"/>
      <c r="AD13" s="61"/>
      <c r="AE13" s="61"/>
      <c r="AF13" s="61"/>
      <c r="AG13" s="84">
        <v>20880034398</v>
      </c>
      <c r="AH13" s="53"/>
      <c r="AI13" s="62" t="s">
        <v>150</v>
      </c>
      <c r="AJ13" s="62"/>
      <c r="AK13" s="66" t="s">
        <v>150</v>
      </c>
      <c r="AL13" s="61" t="s">
        <v>233</v>
      </c>
      <c r="AM13" s="54">
        <v>42005</v>
      </c>
      <c r="AN13" s="54"/>
      <c r="AO13" s="115" t="s">
        <v>272</v>
      </c>
      <c r="AP13" s="116">
        <v>9587614</v>
      </c>
      <c r="AQ13" s="186">
        <v>42370</v>
      </c>
      <c r="AR13" s="117"/>
      <c r="AS13" s="95" t="s">
        <v>336</v>
      </c>
      <c r="AT13" s="119">
        <v>7022</v>
      </c>
      <c r="AU13" s="45" t="s">
        <v>208</v>
      </c>
      <c r="AV13" s="125">
        <v>6421</v>
      </c>
      <c r="AW13" s="127">
        <f t="shared" si="0"/>
        <v>2.187538940809969</v>
      </c>
      <c r="AX13" s="127">
        <f>Tableau1[[#This Row],[PRIME MRI ALLIANZ 
ACTUELLE TTC]]/K13</f>
        <v>2.0003115264797509</v>
      </c>
      <c r="AY13" s="69">
        <v>200</v>
      </c>
      <c r="AZ13" s="70">
        <f>SUM(Tableau1[[#This Row],[PRIME MRI ALLIANZ 
ACTUELLE TTC]]+Tableau1[[#This Row],[FG]])</f>
        <v>6621</v>
      </c>
      <c r="BA13" s="45" t="s">
        <v>165</v>
      </c>
      <c r="BB13" s="45" t="s">
        <v>200</v>
      </c>
      <c r="BC13" s="45" t="s">
        <v>200</v>
      </c>
      <c r="BD13" s="45" t="s">
        <v>200</v>
      </c>
      <c r="BE13" s="55" t="s">
        <v>150</v>
      </c>
      <c r="BF13" s="49">
        <v>0</v>
      </c>
      <c r="BG13" s="94">
        <v>0</v>
      </c>
      <c r="BH13" s="55" t="s">
        <v>150</v>
      </c>
      <c r="BI13" s="49">
        <v>0</v>
      </c>
      <c r="BJ13" s="56">
        <v>0</v>
      </c>
      <c r="BK13" s="55" t="s">
        <v>150</v>
      </c>
      <c r="BL13" s="49">
        <v>0</v>
      </c>
      <c r="BM13" s="56">
        <v>0</v>
      </c>
      <c r="BN13" s="47" t="s">
        <v>150</v>
      </c>
      <c r="BO13" s="38">
        <v>0</v>
      </c>
      <c r="BP13" s="224">
        <v>0</v>
      </c>
      <c r="BQ13" s="38"/>
      <c r="BR13" s="38"/>
      <c r="BS13" s="38"/>
      <c r="BT13" s="98">
        <f>Tableau1[[#This Row],[NBRE     SIN 2013]]+Tableau1[[#This Row],[NBRE     SIN 2014]]+Tableau1[[#This Row],[NBRE     SIN 2015]]+Tableau1[[#This Row],[NBRE     SIN 2012]]</f>
        <v>0</v>
      </c>
      <c r="BU13" s="96">
        <f>Tableau1[[#This Row],[ Montant SIN 2012]]+Tableau1[[#This Row],[ Montant SIN 2013]]+Tableau1[[#This Row],[ Montant SIN 2014]]+Tableau1[[#This Row],[ Montant SIN 2015]]</f>
        <v>0</v>
      </c>
      <c r="BV13" s="68">
        <f t="shared" si="1"/>
        <v>19603.313000000002</v>
      </c>
      <c r="BW13" s="74">
        <f>Tableau1[[#This Row],[Sinistres]]/Tableau1[[#This Row],[P  = Prime HT N + (Primes HT N-1/N-2/N-3)*0,85)]]</f>
        <v>0</v>
      </c>
      <c r="BX13" s="49"/>
    </row>
    <row r="14" spans="1:76" s="24" customFormat="1" ht="30" x14ac:dyDescent="0.25">
      <c r="A14" s="88" t="s">
        <v>223</v>
      </c>
      <c r="B14" s="86">
        <v>9126</v>
      </c>
      <c r="C14" s="82" t="s">
        <v>224</v>
      </c>
      <c r="D14" s="45" t="s">
        <v>218</v>
      </c>
      <c r="E14" s="81" t="s">
        <v>287</v>
      </c>
      <c r="F14" s="81" t="s">
        <v>287</v>
      </c>
      <c r="G14" s="84"/>
      <c r="H14" s="83">
        <v>75011</v>
      </c>
      <c r="I14" s="83" t="s">
        <v>48</v>
      </c>
      <c r="J14" s="37">
        <v>28</v>
      </c>
      <c r="K14" s="102">
        <v>1000</v>
      </c>
      <c r="L14" s="102"/>
      <c r="M14" s="102"/>
      <c r="N14" s="102">
        <f>Tableau1[[#This Row],[SURFACE TOTALE (SHOB)]]*Tableau1[[#This Row],[Surface Commerciale]]</f>
        <v>0</v>
      </c>
      <c r="O14" s="102"/>
      <c r="P14" s="102"/>
      <c r="Q14" s="102"/>
      <c r="R14" s="39" t="s">
        <v>187</v>
      </c>
      <c r="S14" s="40">
        <v>0</v>
      </c>
      <c r="T14" s="66" t="s">
        <v>150</v>
      </c>
      <c r="U14" s="50" t="s">
        <v>246</v>
      </c>
      <c r="V14" s="50">
        <v>1</v>
      </c>
      <c r="W14" s="50">
        <v>1</v>
      </c>
      <c r="X14" s="51">
        <v>5</v>
      </c>
      <c r="Y14" s="63" t="s">
        <v>226</v>
      </c>
      <c r="Z14" s="52" t="s">
        <v>227</v>
      </c>
      <c r="AA14" s="84" t="s">
        <v>247</v>
      </c>
      <c r="AB14" s="84" t="s">
        <v>248</v>
      </c>
      <c r="AC14" s="61"/>
      <c r="AD14" s="61"/>
      <c r="AE14" s="61"/>
      <c r="AF14" s="61"/>
      <c r="AG14" s="84">
        <v>20880034098</v>
      </c>
      <c r="AH14" s="53"/>
      <c r="AI14" s="62" t="s">
        <v>150</v>
      </c>
      <c r="AJ14" s="62"/>
      <c r="AK14" s="66" t="s">
        <v>288</v>
      </c>
      <c r="AL14" s="61" t="s">
        <v>233</v>
      </c>
      <c r="AM14" s="54">
        <v>42005</v>
      </c>
      <c r="AN14" s="54"/>
      <c r="AO14" s="115" t="s">
        <v>272</v>
      </c>
      <c r="AP14" s="116">
        <v>10034449</v>
      </c>
      <c r="AQ14" s="186">
        <v>42370</v>
      </c>
      <c r="AR14" s="117"/>
      <c r="AS14" s="95" t="s">
        <v>352</v>
      </c>
      <c r="AT14" s="119">
        <v>6634</v>
      </c>
      <c r="AU14" s="45" t="s">
        <v>208</v>
      </c>
      <c r="AV14" s="125">
        <v>6220</v>
      </c>
      <c r="AW14" s="127">
        <f t="shared" si="0"/>
        <v>6.6340000000000003</v>
      </c>
      <c r="AX14" s="127">
        <f>Tableau1[[#This Row],[PRIME MRI ALLIANZ 
ACTUELLE TTC]]/K14</f>
        <v>6.22</v>
      </c>
      <c r="AY14" s="69">
        <v>300</v>
      </c>
      <c r="AZ14" s="70">
        <f>SUM(Tableau1[[#This Row],[PRIME MRI ALLIANZ 
ACTUELLE TTC]]+Tableau1[[#This Row],[FG]])</f>
        <v>6520</v>
      </c>
      <c r="BA14" s="45" t="s">
        <v>165</v>
      </c>
      <c r="BB14" s="45"/>
      <c r="BC14" s="45"/>
      <c r="BD14" s="45"/>
      <c r="BE14" s="55" t="s">
        <v>234</v>
      </c>
      <c r="BF14" s="49">
        <v>3</v>
      </c>
      <c r="BG14" s="94">
        <v>0</v>
      </c>
      <c r="BH14" s="55" t="s">
        <v>234</v>
      </c>
      <c r="BI14" s="49">
        <v>1</v>
      </c>
      <c r="BJ14" s="56">
        <v>1526</v>
      </c>
      <c r="BK14" s="55" t="s">
        <v>150</v>
      </c>
      <c r="BL14" s="49">
        <v>0</v>
      </c>
      <c r="BM14" s="56">
        <v>0</v>
      </c>
      <c r="BN14" s="47" t="s">
        <v>150</v>
      </c>
      <c r="BO14" s="38">
        <v>0</v>
      </c>
      <c r="BP14" s="224">
        <v>0</v>
      </c>
      <c r="BQ14" s="38"/>
      <c r="BR14" s="38"/>
      <c r="BS14" s="38"/>
      <c r="BT14" s="98">
        <f>Tableau1[[#This Row],[NBRE     SIN 2013]]+Tableau1[[#This Row],[NBRE     SIN 2014]]+Tableau1[[#This Row],[NBRE     SIN 2015]]+Tableau1[[#This Row],[NBRE     SIN 2012]]</f>
        <v>4</v>
      </c>
      <c r="BU14" s="96">
        <f>Tableau1[[#This Row],[ Montant SIN 2012]]+Tableau1[[#This Row],[ Montant SIN 2013]]+Tableau1[[#This Row],[ Montant SIN 2014]]+Tableau1[[#This Row],[ Montant SIN 2015]]</f>
        <v>1526</v>
      </c>
      <c r="BV14" s="68">
        <f t="shared" si="1"/>
        <v>18989.66</v>
      </c>
      <c r="BW14" s="74">
        <f>Tableau1[[#This Row],[Sinistres]]/Tableau1[[#This Row],[P  = Prime HT N + (Primes HT N-1/N-2/N-3)*0,85)]]</f>
        <v>8.0359521971430772E-2</v>
      </c>
      <c r="BX14" s="49" t="s">
        <v>319</v>
      </c>
    </row>
    <row r="15" spans="1:76" s="24" customFormat="1" ht="15" x14ac:dyDescent="0.25">
      <c r="A15" s="88" t="s">
        <v>223</v>
      </c>
      <c r="B15" s="86">
        <v>9203</v>
      </c>
      <c r="C15" s="82" t="s">
        <v>224</v>
      </c>
      <c r="D15" s="45" t="s">
        <v>218</v>
      </c>
      <c r="E15" s="81" t="s">
        <v>289</v>
      </c>
      <c r="F15" s="81" t="s">
        <v>309</v>
      </c>
      <c r="G15" s="84" t="s">
        <v>438</v>
      </c>
      <c r="H15" s="83">
        <v>75011</v>
      </c>
      <c r="I15" s="83" t="s">
        <v>48</v>
      </c>
      <c r="J15" s="37">
        <v>31</v>
      </c>
      <c r="K15" s="102">
        <v>1600</v>
      </c>
      <c r="L15" s="102"/>
      <c r="M15" s="102"/>
      <c r="N15" s="102">
        <f>Tableau1[[#This Row],[SURFACE TOTALE (SHOB)]]*Tableau1[[#This Row],[Surface Commerciale]]</f>
        <v>384</v>
      </c>
      <c r="O15" s="102"/>
      <c r="P15" s="102"/>
      <c r="Q15" s="102"/>
      <c r="R15" s="39" t="s">
        <v>187</v>
      </c>
      <c r="S15" s="40">
        <v>0.24</v>
      </c>
      <c r="T15" s="66" t="s">
        <v>290</v>
      </c>
      <c r="U15" s="50" t="s">
        <v>246</v>
      </c>
      <c r="V15" s="50">
        <v>1</v>
      </c>
      <c r="W15" s="50">
        <v>1</v>
      </c>
      <c r="X15" s="51">
        <v>9</v>
      </c>
      <c r="Y15" s="63" t="s">
        <v>226</v>
      </c>
      <c r="Z15" s="52" t="s">
        <v>227</v>
      </c>
      <c r="AA15" s="84" t="s">
        <v>247</v>
      </c>
      <c r="AB15" s="84" t="s">
        <v>229</v>
      </c>
      <c r="AC15" s="61"/>
      <c r="AD15" s="61"/>
      <c r="AE15" s="61"/>
      <c r="AF15" s="61"/>
      <c r="AG15" s="84" t="s">
        <v>310</v>
      </c>
      <c r="AH15" s="53"/>
      <c r="AI15" s="62" t="s">
        <v>150</v>
      </c>
      <c r="AJ15" s="62"/>
      <c r="AK15" s="66" t="s">
        <v>150</v>
      </c>
      <c r="AL15" s="61" t="s">
        <v>233</v>
      </c>
      <c r="AM15" s="54">
        <v>42005</v>
      </c>
      <c r="AN15" s="54"/>
      <c r="AO15" s="115" t="s">
        <v>272</v>
      </c>
      <c r="AP15" s="116">
        <v>10022202</v>
      </c>
      <c r="AQ15" s="186">
        <v>42370</v>
      </c>
      <c r="AR15" s="117"/>
      <c r="AS15" s="95" t="s">
        <v>334</v>
      </c>
      <c r="AT15" s="119">
        <v>4449</v>
      </c>
      <c r="AU15" s="45" t="s">
        <v>208</v>
      </c>
      <c r="AV15" s="125">
        <v>3840</v>
      </c>
      <c r="AW15" s="127">
        <f t="shared" si="0"/>
        <v>2.7806250000000001</v>
      </c>
      <c r="AX15" s="127">
        <f>Tableau1[[#This Row],[PRIME MRI ALLIANZ 
ACTUELLE TTC]]/K15</f>
        <v>2.4</v>
      </c>
      <c r="AY15" s="69">
        <v>350</v>
      </c>
      <c r="AZ15" s="70">
        <f>SUM(Tableau1[[#This Row],[PRIME MRI ALLIANZ 
ACTUELLE TTC]]+Tableau1[[#This Row],[FG]])</f>
        <v>4190</v>
      </c>
      <c r="BA15" s="45" t="s">
        <v>165</v>
      </c>
      <c r="BB15" s="45" t="s">
        <v>202</v>
      </c>
      <c r="BC15" s="45" t="s">
        <v>202</v>
      </c>
      <c r="BD15" s="45" t="s">
        <v>200</v>
      </c>
      <c r="BE15" s="55" t="s">
        <v>150</v>
      </c>
      <c r="BF15" s="49">
        <v>0</v>
      </c>
      <c r="BG15" s="94">
        <v>0</v>
      </c>
      <c r="BH15" s="55" t="s">
        <v>150</v>
      </c>
      <c r="BI15" s="49">
        <v>0</v>
      </c>
      <c r="BJ15" s="56">
        <v>0</v>
      </c>
      <c r="BK15" s="55" t="s">
        <v>234</v>
      </c>
      <c r="BL15" s="49">
        <v>2</v>
      </c>
      <c r="BM15" s="56">
        <v>0</v>
      </c>
      <c r="BN15" s="47" t="s">
        <v>150</v>
      </c>
      <c r="BO15" s="38">
        <v>0</v>
      </c>
      <c r="BP15" s="224">
        <v>0</v>
      </c>
      <c r="BQ15" s="38"/>
      <c r="BR15" s="38"/>
      <c r="BS15" s="38"/>
      <c r="BT15" s="98">
        <f>Tableau1[[#This Row],[NBRE     SIN 2013]]+Tableau1[[#This Row],[NBRE     SIN 2014]]+Tableau1[[#This Row],[NBRE     SIN 2015]]+Tableau1[[#This Row],[NBRE     SIN 2012]]</f>
        <v>2</v>
      </c>
      <c r="BU15" s="96">
        <f>Tableau1[[#This Row],[ Montant SIN 2012]]+Tableau1[[#This Row],[ Montant SIN 2013]]+Tableau1[[#This Row],[ Montant SIN 2014]]+Tableau1[[#This Row],[ Montant SIN 2015]]</f>
        <v>0</v>
      </c>
      <c r="BV15" s="68">
        <f t="shared" si="1"/>
        <v>11723.52</v>
      </c>
      <c r="BW15" s="74">
        <f>Tableau1[[#This Row],[Sinistres]]/Tableau1[[#This Row],[P  = Prime HT N + (Primes HT N-1/N-2/N-3)*0,85)]]</f>
        <v>0</v>
      </c>
      <c r="BX15" s="49"/>
    </row>
    <row r="16" spans="1:76" s="24" customFormat="1" ht="45" x14ac:dyDescent="0.25">
      <c r="A16" s="88" t="s">
        <v>223</v>
      </c>
      <c r="B16" s="86">
        <v>9022</v>
      </c>
      <c r="C16" s="82" t="s">
        <v>224</v>
      </c>
      <c r="D16" s="45" t="s">
        <v>218</v>
      </c>
      <c r="E16" s="81" t="s">
        <v>291</v>
      </c>
      <c r="F16" s="81" t="s">
        <v>308</v>
      </c>
      <c r="G16" s="84"/>
      <c r="H16" s="83">
        <v>75011</v>
      </c>
      <c r="I16" s="83" t="s">
        <v>48</v>
      </c>
      <c r="J16" s="37">
        <v>40</v>
      </c>
      <c r="K16" s="102">
        <v>1900</v>
      </c>
      <c r="L16" s="102"/>
      <c r="M16" s="102"/>
      <c r="N16" s="102">
        <f>Tableau1[[#This Row],[SURFACE TOTALE (SHOB)]]*Tableau1[[#This Row],[Surface Commerciale]]</f>
        <v>0</v>
      </c>
      <c r="O16" s="102"/>
      <c r="P16" s="102"/>
      <c r="Q16" s="102"/>
      <c r="R16" s="39" t="s">
        <v>187</v>
      </c>
      <c r="S16" s="40">
        <v>0</v>
      </c>
      <c r="T16" s="66" t="s">
        <v>150</v>
      </c>
      <c r="U16" s="50" t="s">
        <v>246</v>
      </c>
      <c r="V16" s="50">
        <v>2</v>
      </c>
      <c r="W16" s="50">
        <v>1</v>
      </c>
      <c r="X16" s="51">
        <v>6</v>
      </c>
      <c r="Y16" s="63" t="s">
        <v>226</v>
      </c>
      <c r="Z16" s="52" t="s">
        <v>227</v>
      </c>
      <c r="AA16" s="84" t="s">
        <v>247</v>
      </c>
      <c r="AB16" s="84" t="s">
        <v>248</v>
      </c>
      <c r="AC16" s="61"/>
      <c r="AD16" s="61"/>
      <c r="AE16" s="61"/>
      <c r="AF16" s="61"/>
      <c r="AG16" s="84">
        <v>20880033198</v>
      </c>
      <c r="AH16" s="53"/>
      <c r="AI16" s="62"/>
      <c r="AJ16" s="62"/>
      <c r="AK16" s="66" t="s">
        <v>322</v>
      </c>
      <c r="AL16" s="61" t="s">
        <v>233</v>
      </c>
      <c r="AM16" s="54">
        <v>42005</v>
      </c>
      <c r="AN16" s="54"/>
      <c r="AO16" s="115" t="s">
        <v>272</v>
      </c>
      <c r="AP16" s="116">
        <v>10022619</v>
      </c>
      <c r="AQ16" s="186">
        <v>42370</v>
      </c>
      <c r="AR16" s="117"/>
      <c r="AS16" s="95" t="s">
        <v>342</v>
      </c>
      <c r="AT16" s="119">
        <v>6062</v>
      </c>
      <c r="AU16" s="45" t="s">
        <v>208</v>
      </c>
      <c r="AV16" s="125">
        <v>5325</v>
      </c>
      <c r="AW16" s="127">
        <f t="shared" si="0"/>
        <v>3.1905263157894739</v>
      </c>
      <c r="AX16" s="127">
        <f>Tableau1[[#This Row],[PRIME MRI ALLIANZ 
ACTUELLE TTC]]/K16</f>
        <v>2.8026315789473686</v>
      </c>
      <c r="AY16" s="69">
        <v>300</v>
      </c>
      <c r="AZ16" s="70">
        <f>SUM(Tableau1[[#This Row],[PRIME MRI ALLIANZ 
ACTUELLE TTC]]+Tableau1[[#This Row],[FG]])</f>
        <v>5625</v>
      </c>
      <c r="BA16" s="45" t="s">
        <v>165</v>
      </c>
      <c r="BB16" s="45" t="s">
        <v>202</v>
      </c>
      <c r="BC16" s="45" t="s">
        <v>202</v>
      </c>
      <c r="BD16" s="45" t="s">
        <v>200</v>
      </c>
      <c r="BE16" s="55" t="s">
        <v>150</v>
      </c>
      <c r="BF16" s="49">
        <v>0</v>
      </c>
      <c r="BG16" s="94">
        <v>0</v>
      </c>
      <c r="BH16" s="55" t="s">
        <v>234</v>
      </c>
      <c r="BI16" s="49">
        <v>2</v>
      </c>
      <c r="BJ16" s="56">
        <v>0</v>
      </c>
      <c r="BK16" s="55" t="s">
        <v>318</v>
      </c>
      <c r="BL16" s="49">
        <v>1</v>
      </c>
      <c r="BM16" s="56">
        <v>834</v>
      </c>
      <c r="BN16" s="47" t="s">
        <v>318</v>
      </c>
      <c r="BO16" s="38">
        <v>1</v>
      </c>
      <c r="BP16" s="224">
        <v>1395</v>
      </c>
      <c r="BQ16" s="38"/>
      <c r="BR16" s="38"/>
      <c r="BS16" s="38"/>
      <c r="BT16" s="98">
        <f>Tableau1[[#This Row],[NBRE     SIN 2013]]+Tableau1[[#This Row],[NBRE     SIN 2014]]+Tableau1[[#This Row],[NBRE     SIN 2015]]+Tableau1[[#This Row],[NBRE     SIN 2012]]</f>
        <v>4</v>
      </c>
      <c r="BU16" s="96">
        <f>Tableau1[[#This Row],[ Montant SIN 2012]]+Tableau1[[#This Row],[ Montant SIN 2013]]+Tableau1[[#This Row],[ Montant SIN 2014]]+Tableau1[[#This Row],[ Montant SIN 2015]]</f>
        <v>2229</v>
      </c>
      <c r="BV16" s="68">
        <f t="shared" si="1"/>
        <v>16257.225</v>
      </c>
      <c r="BW16" s="74">
        <f>Tableau1[[#This Row],[Sinistres]]/Tableau1[[#This Row],[P  = Prime HT N + (Primes HT N-1/N-2/N-3)*0,85)]]</f>
        <v>0.13710827032288719</v>
      </c>
      <c r="BX16" s="49" t="s">
        <v>323</v>
      </c>
    </row>
    <row r="17" spans="1:76" s="24" customFormat="1" ht="15" x14ac:dyDescent="0.25">
      <c r="A17" s="88" t="s">
        <v>223</v>
      </c>
      <c r="B17" s="86">
        <v>9087</v>
      </c>
      <c r="C17" s="82" t="s">
        <v>224</v>
      </c>
      <c r="D17" s="45" t="s">
        <v>218</v>
      </c>
      <c r="E17" s="81" t="s">
        <v>292</v>
      </c>
      <c r="F17" s="81" t="s">
        <v>307</v>
      </c>
      <c r="G17" s="84"/>
      <c r="H17" s="83">
        <v>75011</v>
      </c>
      <c r="I17" s="83" t="s">
        <v>48</v>
      </c>
      <c r="J17" s="37">
        <v>14</v>
      </c>
      <c r="K17" s="102">
        <v>703</v>
      </c>
      <c r="L17" s="102"/>
      <c r="M17" s="102"/>
      <c r="N17" s="102">
        <f>Tableau1[[#This Row],[SURFACE TOTALE (SHOB)]]*Tableau1[[#This Row],[Surface Commerciale]]</f>
        <v>168.72</v>
      </c>
      <c r="O17" s="102"/>
      <c r="P17" s="102"/>
      <c r="Q17" s="102"/>
      <c r="R17" s="39" t="s">
        <v>187</v>
      </c>
      <c r="S17" s="40">
        <v>0.24</v>
      </c>
      <c r="T17" s="66" t="s">
        <v>293</v>
      </c>
      <c r="U17" s="50" t="s">
        <v>246</v>
      </c>
      <c r="V17" s="50">
        <v>1</v>
      </c>
      <c r="W17" s="50">
        <v>1</v>
      </c>
      <c r="X17" s="51">
        <v>8</v>
      </c>
      <c r="Y17" s="63" t="s">
        <v>226</v>
      </c>
      <c r="Z17" s="52" t="s">
        <v>227</v>
      </c>
      <c r="AA17" s="84" t="s">
        <v>247</v>
      </c>
      <c r="AB17" s="84" t="s">
        <v>248</v>
      </c>
      <c r="AC17" s="61"/>
      <c r="AD17" s="61"/>
      <c r="AE17" s="61"/>
      <c r="AF17" s="61"/>
      <c r="AG17" s="84">
        <v>20880033798</v>
      </c>
      <c r="AH17" s="53"/>
      <c r="AI17" s="62"/>
      <c r="AJ17" s="62"/>
      <c r="AK17" s="66" t="s">
        <v>288</v>
      </c>
      <c r="AL17" s="61" t="s">
        <v>233</v>
      </c>
      <c r="AM17" s="54">
        <v>42005</v>
      </c>
      <c r="AN17" s="54"/>
      <c r="AO17" s="115" t="s">
        <v>272</v>
      </c>
      <c r="AP17" s="116">
        <v>9795002</v>
      </c>
      <c r="AQ17" s="186">
        <v>42370</v>
      </c>
      <c r="AR17" s="117"/>
      <c r="AS17" s="95" t="s">
        <v>341</v>
      </c>
      <c r="AT17" s="119">
        <v>3734</v>
      </c>
      <c r="AU17" s="45" t="s">
        <v>208</v>
      </c>
      <c r="AV17" s="125">
        <v>3094</v>
      </c>
      <c r="AW17" s="127">
        <f t="shared" si="0"/>
        <v>5.3115220483641536</v>
      </c>
      <c r="AX17" s="127">
        <f>Tableau1[[#This Row],[PRIME MRI ALLIANZ 
ACTUELLE TTC]]/K17</f>
        <v>4.4011379800853483</v>
      </c>
      <c r="AY17" s="69">
        <v>200</v>
      </c>
      <c r="AZ17" s="70">
        <f>SUM(Tableau1[[#This Row],[PRIME MRI ALLIANZ 
ACTUELLE TTC]]+Tableau1[[#This Row],[FG]])</f>
        <v>3294</v>
      </c>
      <c r="BA17" s="45" t="s">
        <v>165</v>
      </c>
      <c r="BB17" s="45" t="s">
        <v>202</v>
      </c>
      <c r="BC17" s="45" t="s">
        <v>200</v>
      </c>
      <c r="BD17" s="45" t="s">
        <v>200</v>
      </c>
      <c r="BE17" s="55" t="s">
        <v>150</v>
      </c>
      <c r="BF17" s="49">
        <v>0</v>
      </c>
      <c r="BG17" s="94">
        <v>0</v>
      </c>
      <c r="BH17" s="55" t="s">
        <v>150</v>
      </c>
      <c r="BI17" s="49">
        <v>0</v>
      </c>
      <c r="BJ17" s="56">
        <v>0</v>
      </c>
      <c r="BK17" s="55" t="s">
        <v>150</v>
      </c>
      <c r="BL17" s="49">
        <v>0</v>
      </c>
      <c r="BM17" s="56">
        <v>0</v>
      </c>
      <c r="BN17" s="47" t="s">
        <v>150</v>
      </c>
      <c r="BO17" s="38">
        <v>0</v>
      </c>
      <c r="BP17" s="224">
        <v>0</v>
      </c>
      <c r="BQ17" s="38"/>
      <c r="BR17" s="38"/>
      <c r="BS17" s="38"/>
      <c r="BT17" s="98">
        <f>Tableau1[[#This Row],[NBRE     SIN 2013]]+Tableau1[[#This Row],[NBRE     SIN 2014]]+Tableau1[[#This Row],[NBRE     SIN 2015]]+Tableau1[[#This Row],[NBRE     SIN 2012]]</f>
        <v>0</v>
      </c>
      <c r="BU17" s="96">
        <f>Tableau1[[#This Row],[ Montant SIN 2012]]+Tableau1[[#This Row],[ Montant SIN 2013]]+Tableau1[[#This Row],[ Montant SIN 2014]]+Tableau1[[#This Row],[ Montant SIN 2015]]</f>
        <v>0</v>
      </c>
      <c r="BV17" s="68">
        <f t="shared" si="1"/>
        <v>9445.982</v>
      </c>
      <c r="BW17" s="74">
        <f>Tableau1[[#This Row],[Sinistres]]/Tableau1[[#This Row],[P  = Prime HT N + (Primes HT N-1/N-2/N-3)*0,85)]]</f>
        <v>0</v>
      </c>
      <c r="BX17" s="49"/>
    </row>
    <row r="18" spans="1:76" s="24" customFormat="1" ht="15" x14ac:dyDescent="0.25">
      <c r="A18" s="88" t="s">
        <v>223</v>
      </c>
      <c r="B18" s="86">
        <v>9128</v>
      </c>
      <c r="C18" s="82" t="s">
        <v>224</v>
      </c>
      <c r="D18" s="45" t="s">
        <v>218</v>
      </c>
      <c r="E18" s="81" t="s">
        <v>294</v>
      </c>
      <c r="F18" s="81" t="s">
        <v>304</v>
      </c>
      <c r="G18" s="84"/>
      <c r="H18" s="83">
        <v>75011</v>
      </c>
      <c r="I18" s="83" t="s">
        <v>48</v>
      </c>
      <c r="J18" s="37">
        <v>24</v>
      </c>
      <c r="K18" s="102">
        <v>1900</v>
      </c>
      <c r="L18" s="102"/>
      <c r="M18" s="102"/>
      <c r="N18" s="102">
        <f>Tableau1[[#This Row],[SURFACE TOTALE (SHOB)]]*Tableau1[[#This Row],[Surface Commerciale]]</f>
        <v>456</v>
      </c>
      <c r="O18" s="102"/>
      <c r="P18" s="102"/>
      <c r="Q18" s="102"/>
      <c r="R18" s="39" t="s">
        <v>187</v>
      </c>
      <c r="S18" s="40">
        <v>0.24</v>
      </c>
      <c r="T18" s="66" t="s">
        <v>326</v>
      </c>
      <c r="U18" s="50" t="s">
        <v>246</v>
      </c>
      <c r="V18" s="50">
        <v>1</v>
      </c>
      <c r="W18" s="50">
        <v>1</v>
      </c>
      <c r="X18" s="51">
        <v>6</v>
      </c>
      <c r="Y18" s="63" t="s">
        <v>226</v>
      </c>
      <c r="Z18" s="52" t="s">
        <v>227</v>
      </c>
      <c r="AA18" s="84" t="s">
        <v>247</v>
      </c>
      <c r="AB18" s="84" t="s">
        <v>229</v>
      </c>
      <c r="AC18" s="61"/>
      <c r="AD18" s="61"/>
      <c r="AE18" s="61"/>
      <c r="AF18" s="61"/>
      <c r="AG18" s="84" t="s">
        <v>306</v>
      </c>
      <c r="AH18" s="53"/>
      <c r="AI18" s="62"/>
      <c r="AJ18" s="62"/>
      <c r="AK18" s="66" t="s">
        <v>150</v>
      </c>
      <c r="AL18" s="61" t="s">
        <v>233</v>
      </c>
      <c r="AM18" s="54">
        <v>42005</v>
      </c>
      <c r="AN18" s="54"/>
      <c r="AO18" s="115" t="s">
        <v>272</v>
      </c>
      <c r="AP18" s="116">
        <v>10157338</v>
      </c>
      <c r="AQ18" s="186">
        <v>42370</v>
      </c>
      <c r="AR18" s="117"/>
      <c r="AS18" s="95" t="s">
        <v>340</v>
      </c>
      <c r="AT18" s="119">
        <v>4780</v>
      </c>
      <c r="AU18" s="45" t="s">
        <v>208</v>
      </c>
      <c r="AV18" s="125">
        <v>4180</v>
      </c>
      <c r="AW18" s="127">
        <f t="shared" si="0"/>
        <v>2.5157894736842104</v>
      </c>
      <c r="AX18" s="127">
        <f>Tableau1[[#This Row],[PRIME MRI ALLIANZ 
ACTUELLE TTC]]/K18</f>
        <v>2.2000000000000002</v>
      </c>
      <c r="AY18" s="69">
        <v>300</v>
      </c>
      <c r="AZ18" s="70">
        <f>SUM(Tableau1[[#This Row],[PRIME MRI ALLIANZ 
ACTUELLE TTC]]+Tableau1[[#This Row],[FG]])</f>
        <v>4480</v>
      </c>
      <c r="BA18" s="45" t="s">
        <v>165</v>
      </c>
      <c r="BB18" s="45" t="s">
        <v>202</v>
      </c>
      <c r="BC18" s="45" t="s">
        <v>200</v>
      </c>
      <c r="BD18" s="45" t="s">
        <v>200</v>
      </c>
      <c r="BE18" s="55" t="s">
        <v>150</v>
      </c>
      <c r="BF18" s="49">
        <v>0</v>
      </c>
      <c r="BG18" s="94">
        <v>0</v>
      </c>
      <c r="BH18" s="55" t="s">
        <v>150</v>
      </c>
      <c r="BI18" s="49">
        <v>0</v>
      </c>
      <c r="BJ18" s="56">
        <v>0</v>
      </c>
      <c r="BK18" s="55" t="s">
        <v>150</v>
      </c>
      <c r="BL18" s="49">
        <v>0</v>
      </c>
      <c r="BM18" s="56">
        <v>0</v>
      </c>
      <c r="BN18" s="47" t="s">
        <v>150</v>
      </c>
      <c r="BO18" s="38">
        <v>0</v>
      </c>
      <c r="BP18" s="224">
        <v>0</v>
      </c>
      <c r="BQ18" s="38"/>
      <c r="BR18" s="38"/>
      <c r="BS18" s="38"/>
      <c r="BT18" s="98">
        <f>Tableau1[[#This Row],[NBRE     SIN 2013]]+Tableau1[[#This Row],[NBRE     SIN 2014]]+Tableau1[[#This Row],[NBRE     SIN 2015]]+Tableau1[[#This Row],[NBRE     SIN 2012]]</f>
        <v>0</v>
      </c>
      <c r="BU18" s="96">
        <f>Tableau1[[#This Row],[ Montant SIN 2012]]+Tableau1[[#This Row],[ Montant SIN 2013]]+Tableau1[[#This Row],[ Montant SIN 2014]]+Tableau1[[#This Row],[ Montant SIN 2015]]</f>
        <v>0</v>
      </c>
      <c r="BV18" s="68">
        <f t="shared" si="1"/>
        <v>12761.539999999999</v>
      </c>
      <c r="BW18" s="74">
        <f>Tableau1[[#This Row],[Sinistres]]/Tableau1[[#This Row],[P  = Prime HT N + (Primes HT N-1/N-2/N-3)*0,85)]]</f>
        <v>0</v>
      </c>
      <c r="BX18" s="49"/>
    </row>
    <row r="19" spans="1:76" s="24" customFormat="1" ht="15" x14ac:dyDescent="0.25">
      <c r="A19" s="88" t="s">
        <v>223</v>
      </c>
      <c r="B19" s="86">
        <v>9174</v>
      </c>
      <c r="C19" s="82" t="s">
        <v>224</v>
      </c>
      <c r="D19" s="45" t="s">
        <v>218</v>
      </c>
      <c r="E19" s="81" t="s">
        <v>305</v>
      </c>
      <c r="F19" s="81" t="s">
        <v>300</v>
      </c>
      <c r="G19" s="84" t="s">
        <v>295</v>
      </c>
      <c r="H19" s="83">
        <v>75013</v>
      </c>
      <c r="I19" s="83" t="s">
        <v>48</v>
      </c>
      <c r="J19" s="37">
        <v>28</v>
      </c>
      <c r="K19" s="102">
        <v>1434</v>
      </c>
      <c r="L19" s="102"/>
      <c r="M19" s="102"/>
      <c r="N19" s="102">
        <v>500</v>
      </c>
      <c r="O19" s="102"/>
      <c r="P19" s="102"/>
      <c r="Q19" s="102"/>
      <c r="R19" s="39" t="s">
        <v>187</v>
      </c>
      <c r="S19" s="40">
        <v>0.49</v>
      </c>
      <c r="T19" s="66" t="s">
        <v>301</v>
      </c>
      <c r="U19" s="50" t="s">
        <v>246</v>
      </c>
      <c r="V19" s="50">
        <v>4</v>
      </c>
      <c r="W19" s="50">
        <v>1</v>
      </c>
      <c r="X19" s="51">
        <v>6</v>
      </c>
      <c r="Y19" s="63" t="s">
        <v>302</v>
      </c>
      <c r="Z19" s="52" t="s">
        <v>303</v>
      </c>
      <c r="AA19" s="84" t="s">
        <v>247</v>
      </c>
      <c r="AB19" s="84" t="s">
        <v>248</v>
      </c>
      <c r="AC19" s="61"/>
      <c r="AD19" s="61"/>
      <c r="AE19" s="61"/>
      <c r="AF19" s="61"/>
      <c r="AG19" s="84">
        <v>20880034798</v>
      </c>
      <c r="AH19" s="53"/>
      <c r="AI19" s="62"/>
      <c r="AJ19" s="62"/>
      <c r="AK19" s="66" t="s">
        <v>150</v>
      </c>
      <c r="AL19" s="61" t="s">
        <v>233</v>
      </c>
      <c r="AM19" s="54">
        <v>42005</v>
      </c>
      <c r="AN19" s="54"/>
      <c r="AO19" s="115" t="s">
        <v>272</v>
      </c>
      <c r="AP19" s="116">
        <v>10241942</v>
      </c>
      <c r="AQ19" s="186">
        <v>42370</v>
      </c>
      <c r="AR19" s="117"/>
      <c r="AS19" s="95" t="s">
        <v>339</v>
      </c>
      <c r="AT19" s="119">
        <v>3223</v>
      </c>
      <c r="AU19" s="45" t="s">
        <v>208</v>
      </c>
      <c r="AV19" s="125">
        <v>2725</v>
      </c>
      <c r="AW19" s="127">
        <f t="shared" si="0"/>
        <v>2.2475592747559276</v>
      </c>
      <c r="AX19" s="127">
        <f>Tableau1[[#This Row],[PRIME MRI ALLIANZ 
ACTUELLE TTC]]/K19</f>
        <v>1.9002789400278941</v>
      </c>
      <c r="AY19" s="69">
        <v>200</v>
      </c>
      <c r="AZ19" s="70">
        <f>SUM(Tableau1[[#This Row],[PRIME MRI ALLIANZ 
ACTUELLE TTC]]+Tableau1[[#This Row],[FG]])</f>
        <v>2925</v>
      </c>
      <c r="BA19" s="45" t="s">
        <v>165</v>
      </c>
      <c r="BB19" s="45" t="s">
        <v>202</v>
      </c>
      <c r="BC19" s="45" t="s">
        <v>202</v>
      </c>
      <c r="BD19" s="45" t="s">
        <v>202</v>
      </c>
      <c r="BE19" s="55" t="s">
        <v>150</v>
      </c>
      <c r="BF19" s="49">
        <v>0</v>
      </c>
      <c r="BG19" s="94">
        <v>0</v>
      </c>
      <c r="BH19" s="55" t="s">
        <v>234</v>
      </c>
      <c r="BI19" s="49">
        <v>0</v>
      </c>
      <c r="BJ19" s="56">
        <v>0</v>
      </c>
      <c r="BK19" s="55" t="s">
        <v>150</v>
      </c>
      <c r="BL19" s="49">
        <v>0</v>
      </c>
      <c r="BM19" s="56">
        <v>0</v>
      </c>
      <c r="BN19" s="47" t="s">
        <v>150</v>
      </c>
      <c r="BO19" s="38">
        <v>0</v>
      </c>
      <c r="BP19" s="224">
        <v>0</v>
      </c>
      <c r="BQ19" s="38"/>
      <c r="BR19" s="38"/>
      <c r="BS19" s="38"/>
      <c r="BT19" s="98">
        <f>Tableau1[[#This Row],[NBRE     SIN 2013]]+Tableau1[[#This Row],[NBRE     SIN 2014]]+Tableau1[[#This Row],[NBRE     SIN 2015]]+Tableau1[[#This Row],[NBRE     SIN 2012]]</f>
        <v>0</v>
      </c>
      <c r="BU19" s="96">
        <f>Tableau1[[#This Row],[ Montant SIN 2012]]+Tableau1[[#This Row],[ Montant SIN 2013]]+Tableau1[[#This Row],[ Montant SIN 2014]]+Tableau1[[#This Row],[ Montant SIN 2015]]</f>
        <v>0</v>
      </c>
      <c r="BV19" s="68">
        <f t="shared" si="1"/>
        <v>8319.4249999999993</v>
      </c>
      <c r="BW19" s="74">
        <f>Tableau1[[#This Row],[Sinistres]]/Tableau1[[#This Row],[P  = Prime HT N + (Primes HT N-1/N-2/N-3)*0,85)]]</f>
        <v>0</v>
      </c>
      <c r="BX19" s="49"/>
    </row>
    <row r="20" spans="1:76" s="24" customFormat="1" ht="30" x14ac:dyDescent="0.25">
      <c r="A20" s="88" t="s">
        <v>223</v>
      </c>
      <c r="B20" s="86">
        <v>9270</v>
      </c>
      <c r="C20" s="82" t="s">
        <v>224</v>
      </c>
      <c r="D20" s="45" t="s">
        <v>218</v>
      </c>
      <c r="E20" s="81" t="s">
        <v>312</v>
      </c>
      <c r="F20" s="81" t="s">
        <v>296</v>
      </c>
      <c r="G20" s="84" t="s">
        <v>297</v>
      </c>
      <c r="H20" s="83">
        <v>75011</v>
      </c>
      <c r="I20" s="83" t="s">
        <v>48</v>
      </c>
      <c r="J20" s="37">
        <v>11</v>
      </c>
      <c r="K20" s="102">
        <v>1500</v>
      </c>
      <c r="L20" s="102"/>
      <c r="M20" s="102"/>
      <c r="N20" s="102">
        <f>Tableau1[[#This Row],[SURFACE TOTALE (SHOB)]]*Tableau1[[#This Row],[Surface Commerciale]]</f>
        <v>0</v>
      </c>
      <c r="O20" s="102"/>
      <c r="P20" s="102"/>
      <c r="Q20" s="102"/>
      <c r="R20" s="39" t="s">
        <v>187</v>
      </c>
      <c r="S20" s="40">
        <v>0</v>
      </c>
      <c r="T20" s="66" t="s">
        <v>343</v>
      </c>
      <c r="U20" s="50" t="s">
        <v>246</v>
      </c>
      <c r="V20" s="50">
        <v>4</v>
      </c>
      <c r="W20" s="50">
        <v>0</v>
      </c>
      <c r="X20" s="51">
        <v>3</v>
      </c>
      <c r="Y20" s="63" t="s">
        <v>320</v>
      </c>
      <c r="Z20" s="52" t="s">
        <v>227</v>
      </c>
      <c r="AA20" s="84" t="s">
        <v>247</v>
      </c>
      <c r="AB20" s="84" t="s">
        <v>229</v>
      </c>
      <c r="AC20" s="61"/>
      <c r="AD20" s="61"/>
      <c r="AE20" s="61"/>
      <c r="AF20" s="61"/>
      <c r="AG20" s="84" t="s">
        <v>317</v>
      </c>
      <c r="AH20" s="53"/>
      <c r="AI20" s="62" t="s">
        <v>321</v>
      </c>
      <c r="AJ20" s="62"/>
      <c r="AK20" s="66" t="s">
        <v>298</v>
      </c>
      <c r="AL20" s="61" t="s">
        <v>233</v>
      </c>
      <c r="AM20" s="54">
        <v>42005</v>
      </c>
      <c r="AN20" s="54"/>
      <c r="AO20" s="115" t="s">
        <v>272</v>
      </c>
      <c r="AP20" s="116">
        <v>9587640</v>
      </c>
      <c r="AQ20" s="186">
        <v>42370</v>
      </c>
      <c r="AR20" s="117"/>
      <c r="AS20" s="95" t="s">
        <v>353</v>
      </c>
      <c r="AT20" s="119">
        <v>3050</v>
      </c>
      <c r="AU20" s="45" t="s">
        <v>208</v>
      </c>
      <c r="AV20" s="125">
        <v>2550</v>
      </c>
      <c r="AW20" s="127">
        <f t="shared" si="0"/>
        <v>2.0333333333333332</v>
      </c>
      <c r="AX20" s="127">
        <f>Tableau1[[#This Row],[PRIME MRI ALLIANZ 
ACTUELLE TTC]]/K20</f>
        <v>1.7</v>
      </c>
      <c r="AY20" s="69">
        <v>300</v>
      </c>
      <c r="AZ20" s="70">
        <f>SUM(Tableau1[[#This Row],[PRIME MRI ALLIANZ 
ACTUELLE TTC]]+Tableau1[[#This Row],[FG]])</f>
        <v>2850</v>
      </c>
      <c r="BA20" s="45" t="s">
        <v>165</v>
      </c>
      <c r="BB20" s="45" t="s">
        <v>202</v>
      </c>
      <c r="BC20" s="45" t="s">
        <v>202</v>
      </c>
      <c r="BD20" s="45" t="s">
        <v>202</v>
      </c>
      <c r="BE20" s="55"/>
      <c r="BF20" s="49"/>
      <c r="BG20" s="94"/>
      <c r="BH20" s="55" t="s">
        <v>150</v>
      </c>
      <c r="BI20" s="49">
        <v>0</v>
      </c>
      <c r="BJ20" s="56">
        <v>0</v>
      </c>
      <c r="BK20" s="55" t="s">
        <v>150</v>
      </c>
      <c r="BL20" s="49">
        <v>0</v>
      </c>
      <c r="BM20" s="56">
        <v>0</v>
      </c>
      <c r="BN20" s="47" t="s">
        <v>150</v>
      </c>
      <c r="BO20" s="38">
        <v>0</v>
      </c>
      <c r="BP20" s="224">
        <v>0</v>
      </c>
      <c r="BQ20" s="38"/>
      <c r="BR20" s="38"/>
      <c r="BS20" s="38"/>
      <c r="BT20" s="98">
        <f>Tableau1[[#This Row],[NBRE     SIN 2013]]+Tableau1[[#This Row],[NBRE     SIN 2014]]+Tableau1[[#This Row],[NBRE     SIN 2015]]+Tableau1[[#This Row],[NBRE     SIN 2012]]</f>
        <v>0</v>
      </c>
      <c r="BU20" s="96">
        <f>Tableau1[[#This Row],[ Montant SIN 2012]]+Tableau1[[#This Row],[ Montant SIN 2013]]+Tableau1[[#This Row],[ Montant SIN 2014]]+Tableau1[[#This Row],[ Montant SIN 2015]]</f>
        <v>0</v>
      </c>
      <c r="BV20" s="68">
        <f t="shared" si="1"/>
        <v>7785.15</v>
      </c>
      <c r="BW20" s="74">
        <f>Tableau1[[#This Row],[Sinistres]]/Tableau1[[#This Row],[P  = Prime HT N + (Primes HT N-1/N-2/N-3)*0,85)]]</f>
        <v>0</v>
      </c>
      <c r="BX20" s="49" t="s">
        <v>299</v>
      </c>
    </row>
    <row r="21" spans="1:76" s="24" customFormat="1" ht="15" x14ac:dyDescent="0.25">
      <c r="A21" s="88" t="s">
        <v>223</v>
      </c>
      <c r="B21" s="86">
        <v>9077</v>
      </c>
      <c r="C21" s="82" t="s">
        <v>224</v>
      </c>
      <c r="D21" s="45" t="s">
        <v>218</v>
      </c>
      <c r="E21" s="81" t="s">
        <v>316</v>
      </c>
      <c r="F21" s="81" t="s">
        <v>276</v>
      </c>
      <c r="G21" s="84"/>
      <c r="H21" s="83">
        <v>75011</v>
      </c>
      <c r="I21" s="83" t="s">
        <v>48</v>
      </c>
      <c r="J21" s="37">
        <v>20</v>
      </c>
      <c r="K21" s="102">
        <v>1908</v>
      </c>
      <c r="L21" s="102"/>
      <c r="M21" s="102"/>
      <c r="N21" s="102">
        <f>Tableau1[[#This Row],[SURFACE TOTALE (SHOB)]]*Tableau1[[#This Row],[Surface Commerciale]]</f>
        <v>457.91999999999996</v>
      </c>
      <c r="O21" s="102"/>
      <c r="P21" s="102"/>
      <c r="Q21" s="102"/>
      <c r="R21" s="39" t="s">
        <v>187</v>
      </c>
      <c r="S21" s="40">
        <v>0.24</v>
      </c>
      <c r="T21" s="66" t="s">
        <v>277</v>
      </c>
      <c r="U21" s="50" t="s">
        <v>246</v>
      </c>
      <c r="V21" s="50">
        <v>1</v>
      </c>
      <c r="W21" s="50">
        <v>0</v>
      </c>
      <c r="X21" s="51">
        <v>7</v>
      </c>
      <c r="Y21" s="63" t="s">
        <v>226</v>
      </c>
      <c r="Z21" s="52" t="s">
        <v>227</v>
      </c>
      <c r="AA21" s="84" t="s">
        <v>247</v>
      </c>
      <c r="AB21" s="84" t="s">
        <v>248</v>
      </c>
      <c r="AC21" s="61"/>
      <c r="AD21" s="61"/>
      <c r="AE21" s="61"/>
      <c r="AF21" s="61"/>
      <c r="AG21" s="84">
        <v>20880033698</v>
      </c>
      <c r="AH21" s="53"/>
      <c r="AI21" s="62"/>
      <c r="AJ21" s="62"/>
      <c r="AK21" s="66" t="s">
        <v>150</v>
      </c>
      <c r="AL21" s="61" t="s">
        <v>233</v>
      </c>
      <c r="AM21" s="54">
        <v>42005</v>
      </c>
      <c r="AN21" s="54"/>
      <c r="AO21" s="115" t="s">
        <v>272</v>
      </c>
      <c r="AP21" s="116">
        <v>10120992</v>
      </c>
      <c r="AQ21" s="186">
        <v>42370</v>
      </c>
      <c r="AR21" s="117"/>
      <c r="AS21" s="95" t="s">
        <v>345</v>
      </c>
      <c r="AT21" s="119">
        <v>5160</v>
      </c>
      <c r="AU21" s="45" t="s">
        <v>208</v>
      </c>
      <c r="AV21" s="125">
        <v>4960</v>
      </c>
      <c r="AW21" s="127">
        <f t="shared" si="0"/>
        <v>2.7044025157232703</v>
      </c>
      <c r="AX21" s="127">
        <f>Tableau1[[#This Row],[PRIME MRI ALLIANZ 
ACTUELLE TTC]]/K21</f>
        <v>2.59958071278826</v>
      </c>
      <c r="AY21" s="69">
        <v>200</v>
      </c>
      <c r="AZ21" s="70">
        <f>SUM(Tableau1[[#This Row],[PRIME MRI ALLIANZ 
ACTUELLE TTC]]+Tableau1[[#This Row],[FG]])</f>
        <v>5160</v>
      </c>
      <c r="BA21" s="45" t="s">
        <v>165</v>
      </c>
      <c r="BB21" s="45"/>
      <c r="BC21" s="45"/>
      <c r="BD21" s="45"/>
      <c r="BE21" s="55" t="s">
        <v>234</v>
      </c>
      <c r="BF21" s="49">
        <v>2</v>
      </c>
      <c r="BG21" s="94">
        <v>418</v>
      </c>
      <c r="BH21" s="55" t="s">
        <v>318</v>
      </c>
      <c r="BI21" s="49">
        <v>1</v>
      </c>
      <c r="BJ21" s="56">
        <v>2851</v>
      </c>
      <c r="BK21" s="55" t="s">
        <v>234</v>
      </c>
      <c r="BL21" s="49">
        <v>1</v>
      </c>
      <c r="BM21" s="56">
        <v>211</v>
      </c>
      <c r="BN21" s="47" t="s">
        <v>150</v>
      </c>
      <c r="BO21" s="38">
        <v>0</v>
      </c>
      <c r="BP21" s="224">
        <v>0</v>
      </c>
      <c r="BQ21" s="38"/>
      <c r="BR21" s="38"/>
      <c r="BS21" s="38"/>
      <c r="BT21" s="98">
        <f>Tableau1[[#This Row],[NBRE     SIN 2013]]+Tableau1[[#This Row],[NBRE     SIN 2014]]+Tableau1[[#This Row],[NBRE     SIN 2015]]+Tableau1[[#This Row],[NBRE     SIN 2012]]</f>
        <v>4</v>
      </c>
      <c r="BU21" s="96">
        <f>Tableau1[[#This Row],[ Montant SIN 2012]]+Tableau1[[#This Row],[ Montant SIN 2013]]+Tableau1[[#This Row],[ Montant SIN 2014]]+Tableau1[[#This Row],[ Montant SIN 2015]]</f>
        <v>3480</v>
      </c>
      <c r="BV21" s="68">
        <f t="shared" si="1"/>
        <v>15142.88</v>
      </c>
      <c r="BW21" s="74">
        <f>Tableau1[[#This Row],[Sinistres]]/Tableau1[[#This Row],[P  = Prime HT N + (Primes HT N-1/N-2/N-3)*0,85)]]</f>
        <v>0.22981097387022814</v>
      </c>
      <c r="BX21" s="49"/>
    </row>
    <row r="22" spans="1:76" s="24" customFormat="1" ht="30" x14ac:dyDescent="0.25">
      <c r="A22" s="88" t="s">
        <v>223</v>
      </c>
      <c r="B22" s="86">
        <v>9094</v>
      </c>
      <c r="C22" s="82" t="s">
        <v>224</v>
      </c>
      <c r="D22" s="45" t="s">
        <v>218</v>
      </c>
      <c r="E22" s="81" t="s">
        <v>327</v>
      </c>
      <c r="F22" s="81" t="s">
        <v>328</v>
      </c>
      <c r="G22" s="84"/>
      <c r="H22" s="83">
        <v>75011</v>
      </c>
      <c r="I22" s="83" t="s">
        <v>48</v>
      </c>
      <c r="J22" s="37">
        <v>36</v>
      </c>
      <c r="K22" s="102">
        <v>1681</v>
      </c>
      <c r="L22" s="102"/>
      <c r="M22" s="102"/>
      <c r="N22" s="102">
        <f>Tableau1[[#This Row],[SURFACE TOTALE (SHOB)]]*Tableau1[[#This Row],[Surface Commerciale]]</f>
        <v>403.44</v>
      </c>
      <c r="O22" s="102"/>
      <c r="P22" s="102"/>
      <c r="Q22" s="102"/>
      <c r="R22" s="39" t="s">
        <v>187</v>
      </c>
      <c r="S22" s="40">
        <v>0.24</v>
      </c>
      <c r="T22" s="66" t="s">
        <v>329</v>
      </c>
      <c r="U22" s="50" t="s">
        <v>246</v>
      </c>
      <c r="V22" s="50">
        <v>1</v>
      </c>
      <c r="W22" s="50">
        <v>1</v>
      </c>
      <c r="X22" s="51">
        <v>6</v>
      </c>
      <c r="Y22" s="63" t="s">
        <v>226</v>
      </c>
      <c r="Z22" s="52" t="s">
        <v>227</v>
      </c>
      <c r="AA22" s="84" t="s">
        <v>247</v>
      </c>
      <c r="AB22" s="84" t="s">
        <v>229</v>
      </c>
      <c r="AC22" s="61"/>
      <c r="AD22" s="61"/>
      <c r="AE22" s="61"/>
      <c r="AF22" s="61"/>
      <c r="AG22" s="84" t="s">
        <v>330</v>
      </c>
      <c r="AH22" s="53"/>
      <c r="AI22" s="62"/>
      <c r="AJ22" s="62"/>
      <c r="AK22" s="66" t="s">
        <v>331</v>
      </c>
      <c r="AL22" s="61" t="s">
        <v>233</v>
      </c>
      <c r="AM22" s="54">
        <v>42278</v>
      </c>
      <c r="AN22" s="54"/>
      <c r="AO22" s="115" t="s">
        <v>384</v>
      </c>
      <c r="AP22" s="116">
        <v>9879146</v>
      </c>
      <c r="AQ22" s="186">
        <v>42292</v>
      </c>
      <c r="AR22" s="117"/>
      <c r="AS22" s="95" t="s">
        <v>383</v>
      </c>
      <c r="AT22" s="119">
        <v>6585</v>
      </c>
      <c r="AU22" s="45" t="s">
        <v>208</v>
      </c>
      <c r="AV22" s="125">
        <v>6220</v>
      </c>
      <c r="AW22" s="127">
        <f t="shared" si="0"/>
        <v>3.9173111243307557</v>
      </c>
      <c r="AX22" s="127">
        <f>Tableau1[[#This Row],[PRIME MRI ALLIANZ 
ACTUELLE TTC]]/K22</f>
        <v>3.7001784651992859</v>
      </c>
      <c r="AY22" s="69">
        <v>300</v>
      </c>
      <c r="AZ22" s="70">
        <f>SUM(Tableau1[[#This Row],[PRIME MRI ALLIANZ 
ACTUELLE TTC]]+Tableau1[[#This Row],[FG]])</f>
        <v>6520</v>
      </c>
      <c r="BA22" s="45" t="s">
        <v>165</v>
      </c>
      <c r="BB22" s="45" t="s">
        <v>200</v>
      </c>
      <c r="BC22" s="45" t="s">
        <v>200</v>
      </c>
      <c r="BD22" s="45" t="s">
        <v>200</v>
      </c>
      <c r="BE22" s="55" t="s">
        <v>150</v>
      </c>
      <c r="BF22" s="49">
        <v>0</v>
      </c>
      <c r="BG22" s="94">
        <v>0</v>
      </c>
      <c r="BH22" s="55" t="s">
        <v>332</v>
      </c>
      <c r="BI22" s="49">
        <v>1</v>
      </c>
      <c r="BJ22" s="56">
        <v>1739</v>
      </c>
      <c r="BK22" s="55" t="s">
        <v>338</v>
      </c>
      <c r="BL22" s="49">
        <v>3</v>
      </c>
      <c r="BM22" s="56">
        <f>0+468+147</f>
        <v>615</v>
      </c>
      <c r="BN22" s="47" t="s">
        <v>150</v>
      </c>
      <c r="BO22" s="38">
        <v>0</v>
      </c>
      <c r="BP22" s="224">
        <v>0</v>
      </c>
      <c r="BQ22" s="38"/>
      <c r="BR22" s="38"/>
      <c r="BS22" s="38"/>
      <c r="BT22" s="98">
        <f>Tableau1[[#This Row],[NBRE     SIN 2013]]+Tableau1[[#This Row],[NBRE     SIN 2014]]+Tableau1[[#This Row],[NBRE     SIN 2015]]+Tableau1[[#This Row],[NBRE     SIN 2012]]</f>
        <v>4</v>
      </c>
      <c r="BU22" s="96">
        <f>Tableau1[[#This Row],[ Montant SIN 2012]]+Tableau1[[#This Row],[ Montant SIN 2013]]+Tableau1[[#This Row],[ Montant SIN 2014]]+Tableau1[[#This Row],[ Montant SIN 2015]]</f>
        <v>2354</v>
      </c>
      <c r="BV22" s="68">
        <f t="shared" si="1"/>
        <v>18989.66</v>
      </c>
      <c r="BW22" s="74">
        <f>Tableau1[[#This Row],[Sinistres]]/Tableau1[[#This Row],[P  = Prime HT N + (Primes HT N-1/N-2/N-3)*0,85)]]</f>
        <v>0.12396219837532636</v>
      </c>
      <c r="BX22" s="49" t="s">
        <v>333</v>
      </c>
    </row>
    <row r="23" spans="1:76" s="24" customFormat="1" ht="15" x14ac:dyDescent="0.25">
      <c r="A23" s="88" t="s">
        <v>223</v>
      </c>
      <c r="B23" s="87">
        <v>9204</v>
      </c>
      <c r="C23" s="79" t="s">
        <v>224</v>
      </c>
      <c r="D23" s="45" t="s">
        <v>218</v>
      </c>
      <c r="E23" s="81" t="s">
        <v>347</v>
      </c>
      <c r="F23" s="81" t="s">
        <v>348</v>
      </c>
      <c r="G23" s="84"/>
      <c r="H23" s="83">
        <v>75018</v>
      </c>
      <c r="I23" s="83" t="s">
        <v>48</v>
      </c>
      <c r="J23" s="39">
        <v>15</v>
      </c>
      <c r="K23" s="102">
        <v>800</v>
      </c>
      <c r="L23" s="102"/>
      <c r="M23" s="102"/>
      <c r="N23" s="102">
        <f>Tableau1[[#This Row],[SURFACE TOTALE (SHOB)]]*Tableau1[[#This Row],[Surface Commerciale]]</f>
        <v>0</v>
      </c>
      <c r="O23" s="102"/>
      <c r="P23" s="102"/>
      <c r="Q23" s="102"/>
      <c r="R23" s="39" t="s">
        <v>187</v>
      </c>
      <c r="S23" s="40">
        <v>0</v>
      </c>
      <c r="T23" s="66"/>
      <c r="U23" s="50" t="s">
        <v>246</v>
      </c>
      <c r="V23" s="50">
        <v>1</v>
      </c>
      <c r="W23" s="50">
        <v>1</v>
      </c>
      <c r="X23" s="51" t="s">
        <v>349</v>
      </c>
      <c r="Y23" s="63" t="s">
        <v>226</v>
      </c>
      <c r="Z23" s="52" t="s">
        <v>227</v>
      </c>
      <c r="AA23" s="84" t="s">
        <v>247</v>
      </c>
      <c r="AB23" s="84" t="s">
        <v>229</v>
      </c>
      <c r="AC23" s="61"/>
      <c r="AD23" s="61"/>
      <c r="AE23" s="61"/>
      <c r="AF23" s="61"/>
      <c r="AG23" s="84" t="s">
        <v>350</v>
      </c>
      <c r="AH23" s="53"/>
      <c r="AI23" s="62"/>
      <c r="AJ23" s="105"/>
      <c r="AK23" s="66" t="s">
        <v>150</v>
      </c>
      <c r="AL23" s="61" t="s">
        <v>233</v>
      </c>
      <c r="AM23" s="85">
        <v>42005</v>
      </c>
      <c r="AN23" s="54"/>
      <c r="AO23" s="115" t="s">
        <v>272</v>
      </c>
      <c r="AP23" s="116">
        <v>9483944</v>
      </c>
      <c r="AQ23" s="186">
        <v>42370</v>
      </c>
      <c r="AR23" s="54"/>
      <c r="AS23" s="84" t="s">
        <v>351</v>
      </c>
      <c r="AT23" s="119">
        <v>3300</v>
      </c>
      <c r="AU23" s="45" t="s">
        <v>208</v>
      </c>
      <c r="AV23" s="125">
        <v>2800</v>
      </c>
      <c r="AW23" s="127">
        <f t="shared" si="0"/>
        <v>4.125</v>
      </c>
      <c r="AX23" s="127">
        <f>Tableau1[[#This Row],[PRIME MRI ALLIANZ 
ACTUELLE TTC]]/K23</f>
        <v>3.5</v>
      </c>
      <c r="AY23" s="69">
        <v>155</v>
      </c>
      <c r="AZ23" s="70">
        <f>SUM(Tableau1[[#This Row],[PRIME MRI ALLIANZ 
ACTUELLE TTC]]+Tableau1[[#This Row],[FG]])</f>
        <v>2955</v>
      </c>
      <c r="BA23" s="45" t="s">
        <v>165</v>
      </c>
      <c r="BB23" s="45" t="s">
        <v>202</v>
      </c>
      <c r="BC23" s="45" t="s">
        <v>200</v>
      </c>
      <c r="BD23" s="45" t="s">
        <v>200</v>
      </c>
      <c r="BE23" s="55" t="s">
        <v>234</v>
      </c>
      <c r="BF23" s="49">
        <v>1</v>
      </c>
      <c r="BG23" s="94">
        <v>511</v>
      </c>
      <c r="BH23" s="55" t="s">
        <v>150</v>
      </c>
      <c r="BI23" s="49">
        <v>0</v>
      </c>
      <c r="BJ23" s="56">
        <v>0</v>
      </c>
      <c r="BK23" s="55" t="s">
        <v>250</v>
      </c>
      <c r="BL23" s="49">
        <v>1</v>
      </c>
      <c r="BM23" s="56">
        <v>153</v>
      </c>
      <c r="BN23" s="47" t="s">
        <v>250</v>
      </c>
      <c r="BO23" s="38">
        <v>1</v>
      </c>
      <c r="BP23" s="224">
        <v>152</v>
      </c>
      <c r="BQ23" s="38"/>
      <c r="BR23" s="38"/>
      <c r="BS23" s="38"/>
      <c r="BT23" s="98">
        <f>Tableau1[[#This Row],[NBRE     SIN 2013]]+Tableau1[[#This Row],[NBRE     SIN 2014]]+Tableau1[[#This Row],[NBRE     SIN 2015]]+Tableau1[[#This Row],[NBRE     SIN 2012]]</f>
        <v>3</v>
      </c>
      <c r="BU23" s="96">
        <f>Tableau1[[#This Row],[ Montant SIN 2012]]+Tableau1[[#This Row],[ Montant SIN 2013]]+Tableau1[[#This Row],[ Montant SIN 2014]]+Tableau1[[#This Row],[ Montant SIN 2015]]</f>
        <v>816</v>
      </c>
      <c r="BV23" s="68">
        <f t="shared" si="1"/>
        <v>8548.4</v>
      </c>
      <c r="BW23" s="74">
        <f>Tableau1[[#This Row],[Sinistres]]/Tableau1[[#This Row],[P  = Prime HT N + (Primes HT N-1/N-2/N-3)*0,85)]]</f>
        <v>9.5456459688362735E-2</v>
      </c>
      <c r="BX23" s="49"/>
    </row>
    <row r="24" spans="1:76" s="181" customFormat="1" ht="15" x14ac:dyDescent="0.25">
      <c r="A24" s="145" t="s">
        <v>223</v>
      </c>
      <c r="B24" s="146">
        <v>9230</v>
      </c>
      <c r="C24" s="147" t="s">
        <v>359</v>
      </c>
      <c r="D24" s="148" t="s">
        <v>218</v>
      </c>
      <c r="E24" s="149" t="s">
        <v>360</v>
      </c>
      <c r="F24" s="149" t="s">
        <v>361</v>
      </c>
      <c r="G24" s="150"/>
      <c r="H24" s="151">
        <v>75011</v>
      </c>
      <c r="I24" s="151" t="s">
        <v>48</v>
      </c>
      <c r="J24" s="152">
        <v>32</v>
      </c>
      <c r="K24" s="153">
        <v>4240</v>
      </c>
      <c r="L24" s="153"/>
      <c r="M24" s="153"/>
      <c r="N24" s="153">
        <f>Tableau1[[#This Row],[SURFACE TOTALE (SHOB)]]*Tableau1[[#This Row],[Surface Commerciale]]</f>
        <v>1017.5999999999999</v>
      </c>
      <c r="O24" s="153"/>
      <c r="P24" s="153"/>
      <c r="Q24" s="153"/>
      <c r="R24" s="154" t="s">
        <v>187</v>
      </c>
      <c r="S24" s="155">
        <v>0.24</v>
      </c>
      <c r="T24" s="156" t="s">
        <v>362</v>
      </c>
      <c r="U24" s="157">
        <v>1988</v>
      </c>
      <c r="V24" s="157">
        <v>1</v>
      </c>
      <c r="W24" s="157">
        <v>2</v>
      </c>
      <c r="X24" s="158" t="s">
        <v>363</v>
      </c>
      <c r="Y24" s="159" t="s">
        <v>226</v>
      </c>
      <c r="Z24" s="160" t="s">
        <v>227</v>
      </c>
      <c r="AA24" s="150" t="s">
        <v>247</v>
      </c>
      <c r="AB24" s="150" t="s">
        <v>229</v>
      </c>
      <c r="AC24" s="161"/>
      <c r="AD24" s="150"/>
      <c r="AE24" s="150"/>
      <c r="AF24" s="150"/>
      <c r="AG24" s="150" t="s">
        <v>364</v>
      </c>
      <c r="AH24" s="162"/>
      <c r="AI24" s="163"/>
      <c r="AJ24" s="153"/>
      <c r="AK24" s="156" t="s">
        <v>150</v>
      </c>
      <c r="AL24" s="161" t="s">
        <v>233</v>
      </c>
      <c r="AM24" s="164">
        <v>42005</v>
      </c>
      <c r="AN24" s="164"/>
      <c r="AO24" s="115"/>
      <c r="AP24" s="116"/>
      <c r="AQ24" s="188" t="s">
        <v>392</v>
      </c>
      <c r="AR24" s="164"/>
      <c r="AS24" s="165" t="s">
        <v>365</v>
      </c>
      <c r="AT24" s="166">
        <v>9862</v>
      </c>
      <c r="AU24" s="148" t="s">
        <v>208</v>
      </c>
      <c r="AV24" s="167">
        <v>0</v>
      </c>
      <c r="AW24" s="168">
        <f t="shared" si="0"/>
        <v>2.3259433962264149</v>
      </c>
      <c r="AX24" s="168">
        <f>Tableau1[[#This Row],[PRIME MRI ALLIANZ 
ACTUELLE TTC]]/K24</f>
        <v>0</v>
      </c>
      <c r="AY24" s="169">
        <v>0</v>
      </c>
      <c r="AZ24" s="170">
        <f>SUM(Tableau1[[#This Row],[PRIME MRI ALLIANZ 
ACTUELLE TTC]]+Tableau1[[#This Row],[FG]])</f>
        <v>0</v>
      </c>
      <c r="BA24" s="148" t="s">
        <v>167</v>
      </c>
      <c r="BB24" s="148" t="s">
        <v>202</v>
      </c>
      <c r="BC24" s="148" t="s">
        <v>200</v>
      </c>
      <c r="BD24" s="148" t="s">
        <v>202</v>
      </c>
      <c r="BE24" s="171"/>
      <c r="BF24" s="172"/>
      <c r="BG24" s="173"/>
      <c r="BH24" s="171"/>
      <c r="BI24" s="172"/>
      <c r="BJ24" s="174"/>
      <c r="BK24" s="171"/>
      <c r="BL24" s="172"/>
      <c r="BM24" s="174"/>
      <c r="BN24" s="175"/>
      <c r="BO24" s="176"/>
      <c r="BP24" s="225"/>
      <c r="BQ24" s="176"/>
      <c r="BR24" s="176"/>
      <c r="BS24" s="176"/>
      <c r="BT24" s="177">
        <f>Tableau1[[#This Row],[NBRE     SIN 2013]]+Tableau1[[#This Row],[NBRE     SIN 2014]]+Tableau1[[#This Row],[NBRE     SIN 2015]]+Tableau1[[#This Row],[NBRE     SIN 2012]]</f>
        <v>0</v>
      </c>
      <c r="BU24" s="178">
        <f>Tableau1[[#This Row],[ Montant SIN 2012]]+Tableau1[[#This Row],[ Montant SIN 2013]]+Tableau1[[#This Row],[ Montant SIN 2014]]+Tableau1[[#This Row],[ Montant SIN 2015]]</f>
        <v>0</v>
      </c>
      <c r="BV24" s="179">
        <f t="shared" si="1"/>
        <v>0</v>
      </c>
      <c r="BW24" s="180" t="e">
        <f>Tableau1[[#This Row],[Sinistres]]/Tableau1[[#This Row],[P  = Prime HT N + (Primes HT N-1/N-2/N-3)*0,85)]]</f>
        <v>#DIV/0!</v>
      </c>
      <c r="BX24" s="172"/>
    </row>
    <row r="25" spans="1:76" s="24" customFormat="1" ht="30" x14ac:dyDescent="0.25">
      <c r="A25" s="88" t="s">
        <v>223</v>
      </c>
      <c r="B25" s="100">
        <v>9241</v>
      </c>
      <c r="C25" s="129" t="s">
        <v>359</v>
      </c>
      <c r="D25" s="45" t="s">
        <v>218</v>
      </c>
      <c r="E25" s="81" t="s">
        <v>366</v>
      </c>
      <c r="F25" s="130" t="s">
        <v>367</v>
      </c>
      <c r="G25" s="130"/>
      <c r="H25" s="138">
        <v>75011</v>
      </c>
      <c r="I25" s="83" t="s">
        <v>48</v>
      </c>
      <c r="J25" s="77">
        <v>60</v>
      </c>
      <c r="K25" s="131">
        <v>1995</v>
      </c>
      <c r="L25" s="131"/>
      <c r="M25" s="131"/>
      <c r="N25" s="102">
        <f>Tableau1[[#This Row],[SURFACE TOTALE (SHOB)]]*Tableau1[[#This Row],[Surface Commerciale]]</f>
        <v>478.79999999999995</v>
      </c>
      <c r="O25" s="131"/>
      <c r="P25" s="131"/>
      <c r="Q25" s="131"/>
      <c r="R25" s="39" t="s">
        <v>187</v>
      </c>
      <c r="S25" s="49">
        <v>0.24</v>
      </c>
      <c r="T25" s="139" t="s">
        <v>368</v>
      </c>
      <c r="U25" s="50" t="s">
        <v>246</v>
      </c>
      <c r="V25" s="50">
        <v>1</v>
      </c>
      <c r="W25" s="50">
        <v>1</v>
      </c>
      <c r="X25" s="50" t="s">
        <v>349</v>
      </c>
      <c r="Y25" s="137" t="s">
        <v>226</v>
      </c>
      <c r="Z25" s="49" t="s">
        <v>227</v>
      </c>
      <c r="AA25" s="130" t="s">
        <v>247</v>
      </c>
      <c r="AB25" s="84" t="s">
        <v>229</v>
      </c>
      <c r="AC25" s="101"/>
      <c r="AD25" s="101"/>
      <c r="AE25" s="130"/>
      <c r="AF25" s="140"/>
      <c r="AG25" s="130" t="s">
        <v>369</v>
      </c>
      <c r="AH25" s="133"/>
      <c r="AI25" s="141"/>
      <c r="AJ25" s="134"/>
      <c r="AK25" s="139" t="s">
        <v>370</v>
      </c>
      <c r="AL25" s="61" t="s">
        <v>233</v>
      </c>
      <c r="AM25" s="135">
        <v>42005</v>
      </c>
      <c r="AN25" s="54"/>
      <c r="AO25" s="186"/>
      <c r="AP25" s="116"/>
      <c r="AQ25" s="188" t="s">
        <v>392</v>
      </c>
      <c r="AR25" s="135"/>
      <c r="AS25" s="84"/>
      <c r="AT25" s="119">
        <v>10322</v>
      </c>
      <c r="AU25" s="45" t="s">
        <v>208</v>
      </c>
      <c r="AV25" s="125">
        <v>6450</v>
      </c>
      <c r="AW25" s="127">
        <f t="shared" si="0"/>
        <v>5.1739348370927321</v>
      </c>
      <c r="AX25" s="127">
        <f>Tableau1[[#This Row],[PRIME MRI ALLIANZ 
ACTUELLE TTC]]/K25</f>
        <v>3.2330827067669174</v>
      </c>
      <c r="AY25" s="142">
        <v>500</v>
      </c>
      <c r="AZ25" s="70">
        <f>SUM(Tableau1[[#This Row],[PRIME MRI ALLIANZ 
ACTUELLE TTC]]+Tableau1[[#This Row],[FG]])</f>
        <v>6950</v>
      </c>
      <c r="BA25" s="49" t="s">
        <v>165</v>
      </c>
      <c r="BB25" s="49" t="s">
        <v>202</v>
      </c>
      <c r="BC25" s="49" t="s">
        <v>202</v>
      </c>
      <c r="BD25" s="49" t="s">
        <v>202</v>
      </c>
      <c r="BE25" s="49" t="s">
        <v>234</v>
      </c>
      <c r="BF25" s="49">
        <v>1</v>
      </c>
      <c r="BG25" s="38">
        <v>0</v>
      </c>
      <c r="BH25" s="49" t="s">
        <v>234</v>
      </c>
      <c r="BI25" s="49">
        <v>1</v>
      </c>
      <c r="BJ25" s="38">
        <v>313</v>
      </c>
      <c r="BK25" s="49" t="s">
        <v>234</v>
      </c>
      <c r="BL25" s="49">
        <v>6</v>
      </c>
      <c r="BM25" s="38">
        <f>810+150+2445+898</f>
        <v>4303</v>
      </c>
      <c r="BN25" s="49" t="s">
        <v>150</v>
      </c>
      <c r="BO25" s="49">
        <v>0</v>
      </c>
      <c r="BP25" s="224">
        <v>0</v>
      </c>
      <c r="BQ25" s="38"/>
      <c r="BR25" s="38"/>
      <c r="BS25" s="38"/>
      <c r="BT25" s="98">
        <f>Tableau1[[#This Row],[NBRE     SIN 2013]]+Tableau1[[#This Row],[NBRE     SIN 2014]]+Tableau1[[#This Row],[NBRE     SIN 2015]]+Tableau1[[#This Row],[NBRE     SIN 2012]]</f>
        <v>8</v>
      </c>
      <c r="BU25" s="96">
        <f>Tableau1[[#This Row],[ Montant SIN 2012]]+Tableau1[[#This Row],[ Montant SIN 2013]]+Tableau1[[#This Row],[ Montant SIN 2014]]+Tableau1[[#This Row],[ Montant SIN 2015]]</f>
        <v>4616</v>
      </c>
      <c r="BV25" s="144">
        <f t="shared" si="1"/>
        <v>19691.849999999999</v>
      </c>
      <c r="BW25" s="74">
        <f>Tableau1[[#This Row],[Sinistres]]/Tableau1[[#This Row],[P  = Prime HT N + (Primes HT N-1/N-2/N-3)*0,85)]]</f>
        <v>0.23441169824064273</v>
      </c>
      <c r="BX25" s="49"/>
    </row>
    <row r="26" spans="1:76" s="181" customFormat="1" ht="30" x14ac:dyDescent="0.25">
      <c r="A26" s="145" t="s">
        <v>223</v>
      </c>
      <c r="B26" s="146">
        <v>9222</v>
      </c>
      <c r="C26" s="147" t="s">
        <v>359</v>
      </c>
      <c r="D26" s="148" t="s">
        <v>218</v>
      </c>
      <c r="E26" s="149" t="s">
        <v>465</v>
      </c>
      <c r="F26" s="149" t="s">
        <v>371</v>
      </c>
      <c r="G26" s="150"/>
      <c r="H26" s="151">
        <v>75011</v>
      </c>
      <c r="I26" s="151" t="s">
        <v>48</v>
      </c>
      <c r="J26" s="152">
        <v>86</v>
      </c>
      <c r="K26" s="153">
        <v>3320</v>
      </c>
      <c r="L26" s="153"/>
      <c r="M26" s="153"/>
      <c r="N26" s="153">
        <f>Tableau1[[#This Row],[SURFACE TOTALE (SHOB)]]*Tableau1[[#This Row],[Surface Commerciale]]</f>
        <v>796.8</v>
      </c>
      <c r="O26" s="153"/>
      <c r="P26" s="153"/>
      <c r="Q26" s="153"/>
      <c r="R26" s="154" t="s">
        <v>187</v>
      </c>
      <c r="S26" s="155">
        <v>0.24</v>
      </c>
      <c r="T26" s="156" t="s">
        <v>441</v>
      </c>
      <c r="U26" s="157" t="s">
        <v>246</v>
      </c>
      <c r="V26" s="157">
        <v>5</v>
      </c>
      <c r="W26" s="157">
        <v>1</v>
      </c>
      <c r="X26" s="158" t="s">
        <v>380</v>
      </c>
      <c r="Y26" s="159" t="s">
        <v>226</v>
      </c>
      <c r="Z26" s="160" t="s">
        <v>227</v>
      </c>
      <c r="AA26" s="150" t="s">
        <v>247</v>
      </c>
      <c r="AB26" s="150" t="s">
        <v>248</v>
      </c>
      <c r="AC26" s="161"/>
      <c r="AD26" s="150"/>
      <c r="AE26" s="150"/>
      <c r="AF26" s="150"/>
      <c r="AG26" s="150">
        <v>20880036498</v>
      </c>
      <c r="AH26" s="162"/>
      <c r="AI26" s="163"/>
      <c r="AJ26" s="153"/>
      <c r="AK26" s="156" t="s">
        <v>451</v>
      </c>
      <c r="AL26" s="161" t="s">
        <v>233</v>
      </c>
      <c r="AM26" s="164">
        <v>42005</v>
      </c>
      <c r="AN26" s="164"/>
      <c r="AO26" s="115" t="s">
        <v>489</v>
      </c>
      <c r="AP26" s="116"/>
      <c r="AQ26" s="188"/>
      <c r="AR26" s="164"/>
      <c r="AS26" s="165" t="s">
        <v>460</v>
      </c>
      <c r="AT26" s="166">
        <v>8111</v>
      </c>
      <c r="AU26" s="148" t="s">
        <v>208</v>
      </c>
      <c r="AV26" s="167">
        <v>0</v>
      </c>
      <c r="AW26" s="168">
        <f t="shared" si="0"/>
        <v>2.4430722891566266</v>
      </c>
      <c r="AX26" s="168">
        <f>Tableau1[[#This Row],[PRIME MRI ALLIANZ 
ACTUELLE TTC]]/K26</f>
        <v>0</v>
      </c>
      <c r="AY26" s="169">
        <v>0</v>
      </c>
      <c r="AZ26" s="170">
        <f>SUM(Tableau1[[#This Row],[PRIME MRI ALLIANZ 
ACTUELLE TTC]]+Tableau1[[#This Row],[FG]])</f>
        <v>0</v>
      </c>
      <c r="BA26" s="148" t="s">
        <v>165</v>
      </c>
      <c r="BB26" s="148" t="s">
        <v>200</v>
      </c>
      <c r="BC26" s="148" t="s">
        <v>200</v>
      </c>
      <c r="BD26" s="148" t="s">
        <v>200</v>
      </c>
      <c r="BE26" s="171" t="s">
        <v>234</v>
      </c>
      <c r="BF26" s="172">
        <v>4</v>
      </c>
      <c r="BG26" s="173">
        <v>2924</v>
      </c>
      <c r="BH26" s="171" t="s">
        <v>150</v>
      </c>
      <c r="BI26" s="172">
        <v>0</v>
      </c>
      <c r="BJ26" s="174">
        <v>0</v>
      </c>
      <c r="BK26" s="171" t="s">
        <v>234</v>
      </c>
      <c r="BL26" s="172">
        <v>2</v>
      </c>
      <c r="BM26" s="174">
        <v>211</v>
      </c>
      <c r="BN26" s="175" t="s">
        <v>234</v>
      </c>
      <c r="BO26" s="176">
        <v>5</v>
      </c>
      <c r="BP26" s="225">
        <f>0+0+420+5415+1455</f>
        <v>7290</v>
      </c>
      <c r="BQ26" s="176"/>
      <c r="BR26" s="176"/>
      <c r="BS26" s="176"/>
      <c r="BT26" s="177">
        <f>Tableau1[[#This Row],[NBRE     SIN 2013]]+Tableau1[[#This Row],[NBRE     SIN 2014]]+Tableau1[[#This Row],[NBRE     SIN 2015]]+Tableau1[[#This Row],[NBRE     SIN 2012]]</f>
        <v>11</v>
      </c>
      <c r="BU26" s="178">
        <f>Tableau1[[#This Row],[ Montant SIN 2012]]+Tableau1[[#This Row],[ Montant SIN 2013]]+Tableau1[[#This Row],[ Montant SIN 2014]]+Tableau1[[#This Row],[ Montant SIN 2015]]</f>
        <v>10425</v>
      </c>
      <c r="BV26" s="179">
        <f t="shared" si="1"/>
        <v>0</v>
      </c>
      <c r="BW26" s="180" t="e">
        <f>Tableau1[[#This Row],[Sinistres]]/Tableau1[[#This Row],[P  = Prime HT N + (Primes HT N-1/N-2/N-3)*0,85)]]</f>
        <v>#DIV/0!</v>
      </c>
      <c r="BX26" s="172"/>
    </row>
    <row r="27" spans="1:76" s="181" customFormat="1" ht="15" x14ac:dyDescent="0.25">
      <c r="A27" s="145" t="s">
        <v>223</v>
      </c>
      <c r="B27" s="146">
        <v>9192</v>
      </c>
      <c r="C27" s="147" t="s">
        <v>359</v>
      </c>
      <c r="D27" s="148" t="s">
        <v>218</v>
      </c>
      <c r="E27" s="149" t="s">
        <v>372</v>
      </c>
      <c r="F27" s="149" t="s">
        <v>373</v>
      </c>
      <c r="G27" s="150" t="s">
        <v>374</v>
      </c>
      <c r="H27" s="151">
        <v>75011</v>
      </c>
      <c r="I27" s="151" t="s">
        <v>48</v>
      </c>
      <c r="J27" s="152">
        <v>25</v>
      </c>
      <c r="K27" s="153">
        <v>1670</v>
      </c>
      <c r="L27" s="153"/>
      <c r="M27" s="153"/>
      <c r="N27" s="153">
        <f>Tableau1[[#This Row],[SURFACE TOTALE (SHOB)]]*Tableau1[[#This Row],[Surface Commerciale]]</f>
        <v>400.8</v>
      </c>
      <c r="O27" s="153"/>
      <c r="P27" s="153"/>
      <c r="Q27" s="153"/>
      <c r="R27" s="154" t="s">
        <v>187</v>
      </c>
      <c r="S27" s="155">
        <v>0.24</v>
      </c>
      <c r="T27" s="156"/>
      <c r="U27" s="157" t="s">
        <v>246</v>
      </c>
      <c r="V27" s="157">
        <v>1</v>
      </c>
      <c r="W27" s="157">
        <v>1</v>
      </c>
      <c r="X27" s="158" t="s">
        <v>376</v>
      </c>
      <c r="Y27" s="159" t="s">
        <v>226</v>
      </c>
      <c r="Z27" s="160" t="s">
        <v>227</v>
      </c>
      <c r="AA27" s="150" t="s">
        <v>247</v>
      </c>
      <c r="AB27" s="150" t="s">
        <v>248</v>
      </c>
      <c r="AC27" s="161"/>
      <c r="AD27" s="150"/>
      <c r="AE27" s="150"/>
      <c r="AF27" s="150"/>
      <c r="AG27" s="150">
        <v>20880035898</v>
      </c>
      <c r="AH27" s="162"/>
      <c r="AI27" s="163"/>
      <c r="AJ27" s="153"/>
      <c r="AK27" s="156" t="s">
        <v>375</v>
      </c>
      <c r="AL27" s="161" t="s">
        <v>233</v>
      </c>
      <c r="AM27" s="164">
        <v>42005</v>
      </c>
      <c r="AN27" s="164"/>
      <c r="AO27" s="115"/>
      <c r="AP27" s="116"/>
      <c r="AQ27" s="188" t="s">
        <v>392</v>
      </c>
      <c r="AR27" s="164"/>
      <c r="AS27" s="165" t="s">
        <v>365</v>
      </c>
      <c r="AT27" s="166">
        <v>7832</v>
      </c>
      <c r="AU27" s="148" t="s">
        <v>208</v>
      </c>
      <c r="AV27" s="167">
        <v>0</v>
      </c>
      <c r="AW27" s="168">
        <f t="shared" si="0"/>
        <v>4.6898203592814367</v>
      </c>
      <c r="AX27" s="168">
        <f>Tableau1[[#This Row],[PRIME MRI ALLIANZ 
ACTUELLE TTC]]/K27</f>
        <v>0</v>
      </c>
      <c r="AY27" s="169">
        <v>0</v>
      </c>
      <c r="AZ27" s="170">
        <f>SUM(Tableau1[[#This Row],[PRIME MRI ALLIANZ 
ACTUELLE TTC]]+Tableau1[[#This Row],[FG]])</f>
        <v>0</v>
      </c>
      <c r="BA27" s="148" t="s">
        <v>165</v>
      </c>
      <c r="BB27" s="148" t="s">
        <v>202</v>
      </c>
      <c r="BC27" s="148" t="s">
        <v>202</v>
      </c>
      <c r="BD27" s="148" t="s">
        <v>200</v>
      </c>
      <c r="BE27" s="171"/>
      <c r="BF27" s="172"/>
      <c r="BG27" s="173"/>
      <c r="BH27" s="171"/>
      <c r="BI27" s="172"/>
      <c r="BJ27" s="174"/>
      <c r="BK27" s="171"/>
      <c r="BL27" s="172"/>
      <c r="BM27" s="174"/>
      <c r="BN27" s="175"/>
      <c r="BO27" s="176"/>
      <c r="BP27" s="225"/>
      <c r="BQ27" s="176"/>
      <c r="BR27" s="176"/>
      <c r="BS27" s="176"/>
      <c r="BT27" s="177">
        <f>Tableau1[[#This Row],[NBRE     SIN 2013]]+Tableau1[[#This Row],[NBRE     SIN 2014]]+Tableau1[[#This Row],[NBRE     SIN 2015]]+Tableau1[[#This Row],[NBRE     SIN 2012]]</f>
        <v>0</v>
      </c>
      <c r="BU27" s="178">
        <f>Tableau1[[#This Row],[ Montant SIN 2012]]+Tableau1[[#This Row],[ Montant SIN 2013]]+Tableau1[[#This Row],[ Montant SIN 2014]]+Tableau1[[#This Row],[ Montant SIN 2015]]</f>
        <v>0</v>
      </c>
      <c r="BV27" s="179">
        <f t="shared" si="1"/>
        <v>0</v>
      </c>
      <c r="BW27" s="180" t="e">
        <f>Tableau1[[#This Row],[Sinistres]]/Tableau1[[#This Row],[P  = Prime HT N + (Primes HT N-1/N-2/N-3)*0,85)]]</f>
        <v>#DIV/0!</v>
      </c>
      <c r="BX27" s="172"/>
    </row>
    <row r="28" spans="1:76" s="181" customFormat="1" ht="15" x14ac:dyDescent="0.25">
      <c r="A28" s="145" t="s">
        <v>223</v>
      </c>
      <c r="B28" s="146">
        <v>9239</v>
      </c>
      <c r="C28" s="147" t="s">
        <v>359</v>
      </c>
      <c r="D28" s="148" t="s">
        <v>218</v>
      </c>
      <c r="E28" s="149" t="s">
        <v>377</v>
      </c>
      <c r="F28" s="149" t="s">
        <v>378</v>
      </c>
      <c r="G28" s="150"/>
      <c r="H28" s="151">
        <v>75011</v>
      </c>
      <c r="I28" s="151" t="s">
        <v>48</v>
      </c>
      <c r="J28" s="152"/>
      <c r="K28" s="153">
        <v>2268</v>
      </c>
      <c r="L28" s="153"/>
      <c r="M28" s="153"/>
      <c r="N28" s="153">
        <f>Tableau1[[#This Row],[SURFACE TOTALE (SHOB)]]*Tableau1[[#This Row],[Surface Commerciale]]</f>
        <v>544.31999999999994</v>
      </c>
      <c r="O28" s="153"/>
      <c r="P28" s="153"/>
      <c r="Q28" s="153"/>
      <c r="R28" s="154" t="s">
        <v>187</v>
      </c>
      <c r="S28" s="155">
        <v>0.24</v>
      </c>
      <c r="T28" s="156" t="s">
        <v>379</v>
      </c>
      <c r="U28" s="157">
        <v>1949</v>
      </c>
      <c r="V28" s="157">
        <v>3</v>
      </c>
      <c r="W28" s="157">
        <v>1</v>
      </c>
      <c r="X28" s="158" t="s">
        <v>380</v>
      </c>
      <c r="Y28" s="159" t="s">
        <v>226</v>
      </c>
      <c r="Z28" s="160" t="s">
        <v>227</v>
      </c>
      <c r="AA28" s="150" t="s">
        <v>247</v>
      </c>
      <c r="AB28" s="150" t="s">
        <v>248</v>
      </c>
      <c r="AC28" s="161"/>
      <c r="AD28" s="150"/>
      <c r="AE28" s="150"/>
      <c r="AF28" s="150"/>
      <c r="AG28" s="150">
        <v>20880032798</v>
      </c>
      <c r="AH28" s="162"/>
      <c r="AI28" s="163"/>
      <c r="AJ28" s="153"/>
      <c r="AK28" s="156" t="s">
        <v>150</v>
      </c>
      <c r="AL28" s="161" t="s">
        <v>233</v>
      </c>
      <c r="AM28" s="164">
        <v>42005</v>
      </c>
      <c r="AN28" s="164"/>
      <c r="AO28" s="115"/>
      <c r="AP28" s="116"/>
      <c r="AQ28" s="188"/>
      <c r="AR28" s="164"/>
      <c r="AS28" s="165" t="s">
        <v>381</v>
      </c>
      <c r="AT28" s="166">
        <v>4721</v>
      </c>
      <c r="AU28" s="148" t="s">
        <v>208</v>
      </c>
      <c r="AV28" s="167">
        <v>0</v>
      </c>
      <c r="AW28" s="168">
        <f t="shared" si="0"/>
        <v>2.0815696649029984</v>
      </c>
      <c r="AX28" s="168">
        <f>Tableau1[[#This Row],[PRIME MRI ALLIANZ 
ACTUELLE TTC]]/K28</f>
        <v>0</v>
      </c>
      <c r="AY28" s="169">
        <v>0</v>
      </c>
      <c r="AZ28" s="170">
        <f>SUM(Tableau1[[#This Row],[PRIME MRI ALLIANZ 
ACTUELLE TTC]]+Tableau1[[#This Row],[FG]])</f>
        <v>0</v>
      </c>
      <c r="BA28" s="148" t="s">
        <v>165</v>
      </c>
      <c r="BB28" s="148" t="s">
        <v>202</v>
      </c>
      <c r="BC28" s="148" t="s">
        <v>202</v>
      </c>
      <c r="BD28" s="148" t="s">
        <v>200</v>
      </c>
      <c r="BE28" s="171" t="s">
        <v>234</v>
      </c>
      <c r="BF28" s="172">
        <v>1</v>
      </c>
      <c r="BG28" s="173">
        <v>472</v>
      </c>
      <c r="BH28" s="171" t="s">
        <v>234</v>
      </c>
      <c r="BI28" s="172">
        <v>1</v>
      </c>
      <c r="BJ28" s="174">
        <v>3673</v>
      </c>
      <c r="BK28" s="171" t="s">
        <v>234</v>
      </c>
      <c r="BL28" s="172">
        <v>1</v>
      </c>
      <c r="BM28" s="174">
        <v>2405</v>
      </c>
      <c r="BN28" s="175" t="s">
        <v>150</v>
      </c>
      <c r="BO28" s="176">
        <v>0</v>
      </c>
      <c r="BP28" s="225">
        <v>0</v>
      </c>
      <c r="BQ28" s="176"/>
      <c r="BR28" s="176"/>
      <c r="BS28" s="176"/>
      <c r="BT28" s="177">
        <f>Tableau1[[#This Row],[NBRE     SIN 2013]]+Tableau1[[#This Row],[NBRE     SIN 2014]]+Tableau1[[#This Row],[NBRE     SIN 2015]]+Tableau1[[#This Row],[NBRE     SIN 2012]]</f>
        <v>3</v>
      </c>
      <c r="BU28" s="178">
        <f>Tableau1[[#This Row],[ Montant SIN 2012]]+Tableau1[[#This Row],[ Montant SIN 2013]]+Tableau1[[#This Row],[ Montant SIN 2014]]+Tableau1[[#This Row],[ Montant SIN 2015]]</f>
        <v>6550</v>
      </c>
      <c r="BV28" s="179">
        <f t="shared" si="1"/>
        <v>0</v>
      </c>
      <c r="BW28" s="180" t="e">
        <f>Tableau1[[#This Row],[Sinistres]]/Tableau1[[#This Row],[P  = Prime HT N + (Primes HT N-1/N-2/N-3)*0,85)]]</f>
        <v>#DIV/0!</v>
      </c>
      <c r="BX28" s="172"/>
    </row>
    <row r="29" spans="1:76" s="181" customFormat="1" ht="15" x14ac:dyDescent="0.25">
      <c r="A29" s="145" t="s">
        <v>223</v>
      </c>
      <c r="B29" s="146">
        <v>9218</v>
      </c>
      <c r="C29" s="147" t="s">
        <v>359</v>
      </c>
      <c r="D29" s="148" t="s">
        <v>218</v>
      </c>
      <c r="E29" s="149" t="s">
        <v>385</v>
      </c>
      <c r="F29" s="149" t="s">
        <v>382</v>
      </c>
      <c r="G29" s="150"/>
      <c r="H29" s="151">
        <v>75003</v>
      </c>
      <c r="I29" s="151" t="s">
        <v>48</v>
      </c>
      <c r="J29" s="152">
        <v>24</v>
      </c>
      <c r="K29" s="153">
        <v>1850</v>
      </c>
      <c r="L29" s="153"/>
      <c r="M29" s="153"/>
      <c r="N29" s="153">
        <f>Tableau1[[#This Row],[SURFACE TOTALE (SHOB)]]*Tableau1[[#This Row],[Surface Commerciale]]</f>
        <v>444</v>
      </c>
      <c r="O29" s="153"/>
      <c r="P29" s="153"/>
      <c r="Q29" s="153"/>
      <c r="R29" s="154" t="s">
        <v>187</v>
      </c>
      <c r="S29" s="155">
        <v>0.24</v>
      </c>
      <c r="T29" s="156"/>
      <c r="U29" s="157" t="s">
        <v>246</v>
      </c>
      <c r="V29" s="157">
        <v>1</v>
      </c>
      <c r="W29" s="157">
        <v>1</v>
      </c>
      <c r="X29" s="158" t="s">
        <v>363</v>
      </c>
      <c r="Y29" s="159" t="s">
        <v>226</v>
      </c>
      <c r="Z29" s="160" t="s">
        <v>227</v>
      </c>
      <c r="AA29" s="150" t="s">
        <v>247</v>
      </c>
      <c r="AB29" s="150" t="s">
        <v>248</v>
      </c>
      <c r="AC29" s="161"/>
      <c r="AD29" s="150"/>
      <c r="AE29" s="150"/>
      <c r="AF29" s="150"/>
      <c r="AG29" s="150">
        <v>20880036398</v>
      </c>
      <c r="AH29" s="162"/>
      <c r="AI29" s="163"/>
      <c r="AJ29" s="153"/>
      <c r="AK29" s="156" t="s">
        <v>150</v>
      </c>
      <c r="AL29" s="161" t="s">
        <v>233</v>
      </c>
      <c r="AM29" s="164">
        <v>42005</v>
      </c>
      <c r="AN29" s="164"/>
      <c r="AO29" s="115"/>
      <c r="AP29" s="116"/>
      <c r="AQ29" s="188" t="s">
        <v>392</v>
      </c>
      <c r="AR29" s="164"/>
      <c r="AS29" s="165"/>
      <c r="AT29" s="166">
        <v>6740</v>
      </c>
      <c r="AU29" s="148" t="s">
        <v>208</v>
      </c>
      <c r="AV29" s="167">
        <v>0</v>
      </c>
      <c r="AW29" s="168">
        <f t="shared" si="0"/>
        <v>3.6432432432432433</v>
      </c>
      <c r="AX29" s="168">
        <f>Tableau1[[#This Row],[PRIME MRI ALLIANZ 
ACTUELLE TTC]]/K29</f>
        <v>0</v>
      </c>
      <c r="AY29" s="169">
        <v>0</v>
      </c>
      <c r="AZ29" s="170">
        <f>SUM(Tableau1[[#This Row],[PRIME MRI ALLIANZ 
ACTUELLE TTC]]+Tableau1[[#This Row],[FG]])</f>
        <v>0</v>
      </c>
      <c r="BA29" s="148" t="s">
        <v>165</v>
      </c>
      <c r="BB29" s="148" t="s">
        <v>202</v>
      </c>
      <c r="BC29" s="148" t="s">
        <v>202</v>
      </c>
      <c r="BD29" s="148" t="s">
        <v>200</v>
      </c>
      <c r="BE29" s="171" t="s">
        <v>234</v>
      </c>
      <c r="BF29" s="172">
        <v>1</v>
      </c>
      <c r="BG29" s="173">
        <v>1562</v>
      </c>
      <c r="BH29" s="171" t="s">
        <v>234</v>
      </c>
      <c r="BI29" s="172">
        <v>3</v>
      </c>
      <c r="BJ29" s="174">
        <f>0+0+5364</f>
        <v>5364</v>
      </c>
      <c r="BK29" s="171" t="s">
        <v>150</v>
      </c>
      <c r="BL29" s="172">
        <v>0</v>
      </c>
      <c r="BM29" s="174">
        <v>0</v>
      </c>
      <c r="BN29" s="175" t="s">
        <v>150</v>
      </c>
      <c r="BO29" s="176">
        <v>0</v>
      </c>
      <c r="BP29" s="225">
        <v>0</v>
      </c>
      <c r="BQ29" s="176"/>
      <c r="BR29" s="176"/>
      <c r="BS29" s="176"/>
      <c r="BT29" s="177">
        <f>Tableau1[[#This Row],[NBRE     SIN 2013]]+Tableau1[[#This Row],[NBRE     SIN 2014]]+Tableau1[[#This Row],[NBRE     SIN 2015]]+Tableau1[[#This Row],[NBRE     SIN 2012]]</f>
        <v>4</v>
      </c>
      <c r="BU29" s="178">
        <f>Tableau1[[#This Row],[ Montant SIN 2012]]+Tableau1[[#This Row],[ Montant SIN 2013]]+Tableau1[[#This Row],[ Montant SIN 2014]]+Tableau1[[#This Row],[ Montant SIN 2015]]</f>
        <v>6926</v>
      </c>
      <c r="BV29" s="179">
        <f t="shared" si="1"/>
        <v>0</v>
      </c>
      <c r="BW29" s="180" t="e">
        <f>Tableau1[[#This Row],[Sinistres]]/Tableau1[[#This Row],[P  = Prime HT N + (Primes HT N-1/N-2/N-3)*0,85)]]</f>
        <v>#DIV/0!</v>
      </c>
      <c r="BX29" s="172"/>
    </row>
    <row r="30" spans="1:76" s="24" customFormat="1" ht="15" x14ac:dyDescent="0.25">
      <c r="A30" s="88" t="s">
        <v>223</v>
      </c>
      <c r="B30" s="84">
        <v>9113</v>
      </c>
      <c r="C30" s="79" t="s">
        <v>224</v>
      </c>
      <c r="D30" s="45" t="s">
        <v>218</v>
      </c>
      <c r="E30" s="81" t="s">
        <v>401</v>
      </c>
      <c r="F30" s="81" t="s">
        <v>386</v>
      </c>
      <c r="G30" s="84"/>
      <c r="H30" s="83">
        <v>75011</v>
      </c>
      <c r="I30" s="83" t="s">
        <v>48</v>
      </c>
      <c r="J30" s="83">
        <v>21</v>
      </c>
      <c r="K30" s="103">
        <v>2176</v>
      </c>
      <c r="L30" s="102"/>
      <c r="M30" s="103"/>
      <c r="N30" s="102">
        <f>Tableau1[[#This Row],[SURFACE TOTALE (SHOB)]]*Tableau1[[#This Row],[Surface Commerciale]]</f>
        <v>522.24</v>
      </c>
      <c r="O30" s="103"/>
      <c r="P30" s="103"/>
      <c r="Q30" s="64"/>
      <c r="R30" s="39" t="s">
        <v>187</v>
      </c>
      <c r="S30" s="40">
        <v>0.24</v>
      </c>
      <c r="T30" s="67"/>
      <c r="U30" s="50">
        <v>1989</v>
      </c>
      <c r="V30" s="50">
        <v>1</v>
      </c>
      <c r="W30" s="50">
        <v>2</v>
      </c>
      <c r="X30" s="51" t="s">
        <v>380</v>
      </c>
      <c r="Y30" s="63" t="s">
        <v>226</v>
      </c>
      <c r="Z30" s="52" t="s">
        <v>227</v>
      </c>
      <c r="AA30" s="84" t="s">
        <v>247</v>
      </c>
      <c r="AB30" s="84" t="s">
        <v>229</v>
      </c>
      <c r="AC30" s="61"/>
      <c r="AD30" s="61"/>
      <c r="AE30" s="61"/>
      <c r="AF30" s="61"/>
      <c r="AG30" s="84" t="s">
        <v>387</v>
      </c>
      <c r="AH30" s="53"/>
      <c r="AI30" s="64"/>
      <c r="AJ30" s="64"/>
      <c r="AK30" s="67" t="s">
        <v>150</v>
      </c>
      <c r="AL30" s="61" t="s">
        <v>233</v>
      </c>
      <c r="AM30" s="85">
        <v>42278</v>
      </c>
      <c r="AN30" s="54"/>
      <c r="AO30" s="115" t="s">
        <v>272</v>
      </c>
      <c r="AP30" s="116">
        <v>9584369</v>
      </c>
      <c r="AQ30" s="186">
        <v>42339</v>
      </c>
      <c r="AR30" s="54"/>
      <c r="AS30" s="84" t="s">
        <v>398</v>
      </c>
      <c r="AT30" s="119">
        <v>6556</v>
      </c>
      <c r="AU30" s="45" t="s">
        <v>208</v>
      </c>
      <c r="AV30" s="125">
        <v>6355</v>
      </c>
      <c r="AW30" s="127">
        <f>SUM(AT30/K30)</f>
        <v>3.0128676470588234</v>
      </c>
      <c r="AX30" s="127">
        <f>Tableau1[[#This Row],[PRIME MRI ALLIANZ 
ACTUELLE TTC]]/K30</f>
        <v>2.9204963235294117</v>
      </c>
      <c r="AY30" s="69">
        <v>250</v>
      </c>
      <c r="AZ30" s="70">
        <f>SUM(Tableau1[[#This Row],[PRIME MRI ALLIANZ 
ACTUELLE TTC]]+Tableau1[[#This Row],[FG]])</f>
        <v>6605</v>
      </c>
      <c r="BA30" s="45" t="s">
        <v>165</v>
      </c>
      <c r="BB30" s="45" t="s">
        <v>202</v>
      </c>
      <c r="BC30" s="45" t="s">
        <v>200</v>
      </c>
      <c r="BD30" s="45" t="s">
        <v>202</v>
      </c>
      <c r="BE30" s="55" t="s">
        <v>150</v>
      </c>
      <c r="BF30" s="49">
        <v>0</v>
      </c>
      <c r="BG30" s="94">
        <v>0</v>
      </c>
      <c r="BH30" s="55" t="s">
        <v>234</v>
      </c>
      <c r="BI30" s="49">
        <v>1</v>
      </c>
      <c r="BJ30" s="56">
        <v>3407</v>
      </c>
      <c r="BK30" s="55" t="s">
        <v>234</v>
      </c>
      <c r="BL30" s="49">
        <v>2</v>
      </c>
      <c r="BM30" s="56">
        <f>0+4634</f>
        <v>4634</v>
      </c>
      <c r="BN30" s="55" t="s">
        <v>234</v>
      </c>
      <c r="BO30" s="49">
        <v>1</v>
      </c>
      <c r="BP30" s="224">
        <v>1600</v>
      </c>
      <c r="BQ30" s="38"/>
      <c r="BR30" s="38"/>
      <c r="BS30" s="38"/>
      <c r="BT30" s="98">
        <f>Tableau1[[#This Row],[NBRE     SIN 2013]]+Tableau1[[#This Row],[NBRE     SIN 2014]]+Tableau1[[#This Row],[NBRE     SIN 2015]]+Tableau1[[#This Row],[NBRE     SIN 2012]]</f>
        <v>4</v>
      </c>
      <c r="BU30" s="96">
        <f>Tableau1[[#This Row],[ Montant SIN 2012]]+Tableau1[[#This Row],[ Montant SIN 2013]]+Tableau1[[#This Row],[ Montant SIN 2014]]+Tableau1[[#This Row],[ Montant SIN 2015]]</f>
        <v>9641</v>
      </c>
      <c r="BV30" s="68">
        <f t="shared" si="1"/>
        <v>19401.815000000002</v>
      </c>
      <c r="BW30" s="74">
        <f>Tableau1[[#This Row],[Sinistres]]/Tableau1[[#This Row],[P  = Prime HT N + (Primes HT N-1/N-2/N-3)*0,85)]]</f>
        <v>0.49691227341359551</v>
      </c>
      <c r="BX30" s="49"/>
    </row>
    <row r="31" spans="1:76" s="24" customFormat="1" ht="15" x14ac:dyDescent="0.25">
      <c r="A31" s="88" t="s">
        <v>223</v>
      </c>
      <c r="B31" s="84">
        <v>9017</v>
      </c>
      <c r="C31" s="79" t="s">
        <v>224</v>
      </c>
      <c r="D31" s="45" t="s">
        <v>218</v>
      </c>
      <c r="E31" s="81" t="s">
        <v>400</v>
      </c>
      <c r="F31" s="81" t="s">
        <v>399</v>
      </c>
      <c r="G31" s="84"/>
      <c r="H31" s="83">
        <v>75011</v>
      </c>
      <c r="I31" s="83" t="s">
        <v>48</v>
      </c>
      <c r="J31" s="83">
        <v>23</v>
      </c>
      <c r="K31" s="103">
        <v>845</v>
      </c>
      <c r="L31" s="102"/>
      <c r="M31" s="103"/>
      <c r="N31" s="102">
        <f>Tableau1[[#This Row],[SURFACE TOTALE (SHOB)]]*Tableau1[[#This Row],[Surface Commerciale]]</f>
        <v>202.79999999999998</v>
      </c>
      <c r="O31" s="103"/>
      <c r="P31" s="103"/>
      <c r="Q31" s="64"/>
      <c r="R31" s="39" t="s">
        <v>187</v>
      </c>
      <c r="S31" s="40">
        <v>0.24</v>
      </c>
      <c r="T31" s="67"/>
      <c r="U31" s="50" t="s">
        <v>246</v>
      </c>
      <c r="V31" s="50">
        <v>3</v>
      </c>
      <c r="W31" s="50">
        <v>1</v>
      </c>
      <c r="X31" s="51" t="s">
        <v>380</v>
      </c>
      <c r="Y31" s="63" t="s">
        <v>226</v>
      </c>
      <c r="Z31" s="52" t="s">
        <v>227</v>
      </c>
      <c r="AA31" s="84" t="s">
        <v>247</v>
      </c>
      <c r="AB31" s="84" t="s">
        <v>229</v>
      </c>
      <c r="AC31" s="61"/>
      <c r="AD31" s="61"/>
      <c r="AE31" s="61"/>
      <c r="AF31" s="61"/>
      <c r="AG31" s="84" t="s">
        <v>393</v>
      </c>
      <c r="AH31" s="53"/>
      <c r="AI31" s="64"/>
      <c r="AJ31" s="64"/>
      <c r="AK31" s="67" t="s">
        <v>150</v>
      </c>
      <c r="AL31" s="61" t="s">
        <v>233</v>
      </c>
      <c r="AM31" s="85">
        <v>42095</v>
      </c>
      <c r="AN31" s="54"/>
      <c r="AO31" s="115" t="s">
        <v>384</v>
      </c>
      <c r="AP31" s="116">
        <v>9516466</v>
      </c>
      <c r="AQ31" s="186">
        <v>42461</v>
      </c>
      <c r="AR31" s="54"/>
      <c r="AS31" s="84" t="s">
        <v>417</v>
      </c>
      <c r="AT31" s="119">
        <v>3771</v>
      </c>
      <c r="AU31" s="45" t="s">
        <v>208</v>
      </c>
      <c r="AV31" s="125">
        <v>3195</v>
      </c>
      <c r="AW31" s="127">
        <f t="shared" ref="AW31:AW57" si="2">SUM(AT31/K31)</f>
        <v>4.4627218934911239</v>
      </c>
      <c r="AX31" s="127">
        <f>Tableau1[[#This Row],[PRIME MRI ALLIANZ 
ACTUELLE TTC]]/K31</f>
        <v>3.7810650887573964</v>
      </c>
      <c r="AY31" s="69">
        <v>200</v>
      </c>
      <c r="AZ31" s="70">
        <f>SUM(Tableau1[[#This Row],[PRIME MRI ALLIANZ 
ACTUELLE TTC]]+Tableau1[[#This Row],[FG]])</f>
        <v>3395</v>
      </c>
      <c r="BA31" s="45" t="s">
        <v>165</v>
      </c>
      <c r="BB31" s="45" t="s">
        <v>202</v>
      </c>
      <c r="BC31" s="45" t="s">
        <v>200</v>
      </c>
      <c r="BD31" s="45" t="s">
        <v>202</v>
      </c>
      <c r="BE31" s="55" t="s">
        <v>150</v>
      </c>
      <c r="BF31" s="49">
        <v>0</v>
      </c>
      <c r="BG31" s="94">
        <v>0</v>
      </c>
      <c r="BH31" s="55" t="s">
        <v>150</v>
      </c>
      <c r="BI31" s="49">
        <v>0</v>
      </c>
      <c r="BJ31" s="56">
        <v>0</v>
      </c>
      <c r="BK31" s="55" t="s">
        <v>234</v>
      </c>
      <c r="BL31" s="49">
        <v>1</v>
      </c>
      <c r="BM31" s="56">
        <v>451</v>
      </c>
      <c r="BN31" s="55" t="s">
        <v>150</v>
      </c>
      <c r="BO31" s="49">
        <v>0</v>
      </c>
      <c r="BP31" s="224">
        <v>0</v>
      </c>
      <c r="BQ31" s="38"/>
      <c r="BR31" s="38"/>
      <c r="BS31" s="38"/>
      <c r="BT31" s="98">
        <f>Tableau1[[#This Row],[NBRE     SIN 2013]]+Tableau1[[#This Row],[NBRE     SIN 2014]]+Tableau1[[#This Row],[NBRE     SIN 2015]]+Tableau1[[#This Row],[NBRE     SIN 2012]]</f>
        <v>1</v>
      </c>
      <c r="BU31" s="96">
        <f>Tableau1[[#This Row],[ Montant SIN 2012]]+Tableau1[[#This Row],[ Montant SIN 2013]]+Tableau1[[#This Row],[ Montant SIN 2014]]+Tableau1[[#This Row],[ Montant SIN 2015]]</f>
        <v>451</v>
      </c>
      <c r="BV31" s="68">
        <f t="shared" si="1"/>
        <v>9754.3349999999991</v>
      </c>
      <c r="BW31" s="74">
        <f>Tableau1[[#This Row],[Sinistres]]/Tableau1[[#This Row],[P  = Prime HT N + (Primes HT N-1/N-2/N-3)*0,85)]]</f>
        <v>4.6235853084807939E-2</v>
      </c>
      <c r="BX31" s="49"/>
    </row>
    <row r="32" spans="1:76" s="181" customFormat="1" ht="42.75" x14ac:dyDescent="0.25">
      <c r="A32" s="145" t="s">
        <v>223</v>
      </c>
      <c r="B32" s="146">
        <v>9178</v>
      </c>
      <c r="C32" s="147" t="s">
        <v>224</v>
      </c>
      <c r="D32" s="148" t="s">
        <v>218</v>
      </c>
      <c r="E32" s="149" t="s">
        <v>395</v>
      </c>
      <c r="F32" s="149" t="s">
        <v>394</v>
      </c>
      <c r="G32" s="150"/>
      <c r="H32" s="151">
        <v>75010</v>
      </c>
      <c r="I32" s="151" t="s">
        <v>48</v>
      </c>
      <c r="J32" s="152">
        <v>20</v>
      </c>
      <c r="K32" s="153">
        <v>1317</v>
      </c>
      <c r="L32" s="153"/>
      <c r="M32" s="153"/>
      <c r="N32" s="153">
        <f>Tableau1[[#This Row],[SURFACE TOTALE (SHOB)]]*Tableau1[[#This Row],[Surface Commerciale]]</f>
        <v>316.08</v>
      </c>
      <c r="O32" s="153"/>
      <c r="P32" s="153"/>
      <c r="Q32" s="153"/>
      <c r="R32" s="154" t="s">
        <v>187</v>
      </c>
      <c r="S32" s="155">
        <v>0.24</v>
      </c>
      <c r="T32" s="156"/>
      <c r="U32" s="157" t="s">
        <v>246</v>
      </c>
      <c r="V32" s="157">
        <v>1</v>
      </c>
      <c r="W32" s="157">
        <v>1</v>
      </c>
      <c r="X32" s="158" t="s">
        <v>363</v>
      </c>
      <c r="Y32" s="159" t="s">
        <v>226</v>
      </c>
      <c r="Z32" s="160" t="s">
        <v>227</v>
      </c>
      <c r="AA32" s="150" t="s">
        <v>247</v>
      </c>
      <c r="AB32" s="150" t="s">
        <v>229</v>
      </c>
      <c r="AC32" s="161"/>
      <c r="AD32" s="150"/>
      <c r="AE32" s="150"/>
      <c r="AF32" s="150"/>
      <c r="AG32" s="150" t="s">
        <v>396</v>
      </c>
      <c r="AH32" s="162"/>
      <c r="AI32" s="163"/>
      <c r="AJ32" s="153"/>
      <c r="AK32" s="156" t="s">
        <v>150</v>
      </c>
      <c r="AL32" s="161" t="s">
        <v>233</v>
      </c>
      <c r="AM32" s="164">
        <v>42005</v>
      </c>
      <c r="AN32" s="164"/>
      <c r="AO32" s="115"/>
      <c r="AP32" s="116" t="s">
        <v>452</v>
      </c>
      <c r="AQ32" s="188"/>
      <c r="AR32" s="164"/>
      <c r="AS32" s="165" t="s">
        <v>397</v>
      </c>
      <c r="AT32" s="166">
        <v>3807</v>
      </c>
      <c r="AU32" s="148" t="s">
        <v>208</v>
      </c>
      <c r="AV32" s="167">
        <v>0</v>
      </c>
      <c r="AW32" s="168">
        <f t="shared" si="2"/>
        <v>2.8906605922551254</v>
      </c>
      <c r="AX32" s="168">
        <f>Tableau1[[#This Row],[PRIME MRI ALLIANZ 
ACTUELLE TTC]]/K32</f>
        <v>0</v>
      </c>
      <c r="AY32" s="169">
        <v>0</v>
      </c>
      <c r="AZ32" s="170">
        <f>SUM(Tableau1[[#This Row],[PRIME MRI ALLIANZ 
ACTUELLE TTC]]+Tableau1[[#This Row],[FG]])</f>
        <v>0</v>
      </c>
      <c r="BA32" s="148" t="s">
        <v>165</v>
      </c>
      <c r="BB32" s="148" t="s">
        <v>200</v>
      </c>
      <c r="BC32" s="148" t="s">
        <v>202</v>
      </c>
      <c r="BD32" s="148" t="s">
        <v>200</v>
      </c>
      <c r="BE32" s="171" t="s">
        <v>234</v>
      </c>
      <c r="BF32" s="172">
        <v>1</v>
      </c>
      <c r="BG32" s="173">
        <v>908</v>
      </c>
      <c r="BH32" s="171" t="s">
        <v>234</v>
      </c>
      <c r="BI32" s="172">
        <v>2</v>
      </c>
      <c r="BJ32" s="174">
        <v>0</v>
      </c>
      <c r="BK32" s="171" t="s">
        <v>234</v>
      </c>
      <c r="BL32" s="172">
        <v>1</v>
      </c>
      <c r="BM32" s="174">
        <v>0</v>
      </c>
      <c r="BN32" s="175" t="s">
        <v>150</v>
      </c>
      <c r="BO32" s="176">
        <v>0</v>
      </c>
      <c r="BP32" s="225">
        <v>0</v>
      </c>
      <c r="BQ32" s="176"/>
      <c r="BR32" s="176"/>
      <c r="BS32" s="176"/>
      <c r="BT32" s="177">
        <f>Tableau1[[#This Row],[NBRE     SIN 2013]]+Tableau1[[#This Row],[NBRE     SIN 2014]]+Tableau1[[#This Row],[NBRE     SIN 2015]]+Tableau1[[#This Row],[NBRE     SIN 2012]]</f>
        <v>4</v>
      </c>
      <c r="BU32" s="178">
        <f>Tableau1[[#This Row],[ Montant SIN 2012]]+Tableau1[[#This Row],[ Montant SIN 2013]]+Tableau1[[#This Row],[ Montant SIN 2014]]+Tableau1[[#This Row],[ Montant SIN 2015]]</f>
        <v>908</v>
      </c>
      <c r="BV32" s="179">
        <f t="shared" si="1"/>
        <v>0</v>
      </c>
      <c r="BW32" s="180" t="e">
        <f>Tableau1[[#This Row],[Sinistres]]/Tableau1[[#This Row],[P  = Prime HT N + (Primes HT N-1/N-2/N-3)*0,85)]]</f>
        <v>#DIV/0!</v>
      </c>
      <c r="BX32" s="172"/>
    </row>
    <row r="33" spans="1:76" s="181" customFormat="1" ht="28.5" x14ac:dyDescent="0.25">
      <c r="A33" s="145" t="s">
        <v>223</v>
      </c>
      <c r="B33" s="146">
        <v>9146</v>
      </c>
      <c r="C33" s="147" t="s">
        <v>224</v>
      </c>
      <c r="D33" s="148" t="s">
        <v>218</v>
      </c>
      <c r="E33" s="149" t="s">
        <v>402</v>
      </c>
      <c r="F33" s="149" t="s">
        <v>403</v>
      </c>
      <c r="G33" s="150"/>
      <c r="H33" s="151">
        <v>75011</v>
      </c>
      <c r="I33" s="151" t="s">
        <v>48</v>
      </c>
      <c r="J33" s="152">
        <v>24</v>
      </c>
      <c r="K33" s="153">
        <v>1600</v>
      </c>
      <c r="L33" s="153"/>
      <c r="M33" s="153"/>
      <c r="N33" s="153">
        <f>Tableau1[[#This Row],[SURFACE TOTALE (SHOB)]]*Tableau1[[#This Row],[Surface Commerciale]]</f>
        <v>384</v>
      </c>
      <c r="O33" s="153"/>
      <c r="P33" s="153"/>
      <c r="Q33" s="153"/>
      <c r="R33" s="154" t="s">
        <v>187</v>
      </c>
      <c r="S33" s="155">
        <v>0.24</v>
      </c>
      <c r="T33" s="156"/>
      <c r="U33" s="157" t="s">
        <v>246</v>
      </c>
      <c r="V33" s="157">
        <v>1</v>
      </c>
      <c r="W33" s="157">
        <v>1</v>
      </c>
      <c r="X33" s="158" t="s">
        <v>404</v>
      </c>
      <c r="Y33" s="159" t="s">
        <v>226</v>
      </c>
      <c r="Z33" s="160" t="s">
        <v>227</v>
      </c>
      <c r="AA33" s="150" t="s">
        <v>247</v>
      </c>
      <c r="AB33" s="150" t="s">
        <v>248</v>
      </c>
      <c r="AC33" s="161"/>
      <c r="AD33" s="150"/>
      <c r="AE33" s="150"/>
      <c r="AF33" s="150"/>
      <c r="AG33" s="150">
        <v>20880034298</v>
      </c>
      <c r="AH33" s="162"/>
      <c r="AI33" s="163"/>
      <c r="AJ33" s="153"/>
      <c r="AK33" s="156" t="s">
        <v>150</v>
      </c>
      <c r="AL33" s="161" t="s">
        <v>233</v>
      </c>
      <c r="AM33" s="164">
        <v>42005</v>
      </c>
      <c r="AN33" s="164"/>
      <c r="AO33" s="115"/>
      <c r="AP33" s="116" t="s">
        <v>454</v>
      </c>
      <c r="AQ33" s="188"/>
      <c r="AR33" s="164"/>
      <c r="AS33" s="165"/>
      <c r="AT33" s="166">
        <v>4580</v>
      </c>
      <c r="AU33" s="148" t="s">
        <v>208</v>
      </c>
      <c r="AV33" s="167">
        <v>0</v>
      </c>
      <c r="AW33" s="168">
        <f t="shared" si="2"/>
        <v>2.8624999999999998</v>
      </c>
      <c r="AX33" s="168">
        <f>Tableau1[[#This Row],[PRIME MRI ALLIANZ 
ACTUELLE TTC]]/K33</f>
        <v>0</v>
      </c>
      <c r="AY33" s="169">
        <v>0</v>
      </c>
      <c r="AZ33" s="170">
        <f>SUM(Tableau1[[#This Row],[PRIME MRI ALLIANZ 
ACTUELLE TTC]]+Tableau1[[#This Row],[FG]])</f>
        <v>0</v>
      </c>
      <c r="BA33" s="148" t="s">
        <v>165</v>
      </c>
      <c r="BB33" s="148" t="s">
        <v>202</v>
      </c>
      <c r="BC33" s="148" t="s">
        <v>202</v>
      </c>
      <c r="BD33" s="148" t="s">
        <v>200</v>
      </c>
      <c r="BE33" s="171" t="s">
        <v>234</v>
      </c>
      <c r="BF33" s="172">
        <v>1</v>
      </c>
      <c r="BG33" s="173">
        <v>847</v>
      </c>
      <c r="BH33" s="171" t="s">
        <v>150</v>
      </c>
      <c r="BI33" s="172">
        <v>0</v>
      </c>
      <c r="BJ33" s="174">
        <v>0</v>
      </c>
      <c r="BK33" s="171" t="s">
        <v>234</v>
      </c>
      <c r="BL33" s="172">
        <v>2</v>
      </c>
      <c r="BM33" s="174">
        <v>211</v>
      </c>
      <c r="BN33" s="175" t="s">
        <v>234</v>
      </c>
      <c r="BO33" s="176">
        <v>1</v>
      </c>
      <c r="BP33" s="225">
        <v>15924</v>
      </c>
      <c r="BQ33" s="176"/>
      <c r="BR33" s="176"/>
      <c r="BS33" s="176"/>
      <c r="BT33" s="177">
        <f>Tableau1[[#This Row],[NBRE     SIN 2013]]+Tableau1[[#This Row],[NBRE     SIN 2014]]+Tableau1[[#This Row],[NBRE     SIN 2015]]+Tableau1[[#This Row],[NBRE     SIN 2012]]</f>
        <v>4</v>
      </c>
      <c r="BU33" s="178">
        <f>Tableau1[[#This Row],[ Montant SIN 2012]]+Tableau1[[#This Row],[ Montant SIN 2013]]+Tableau1[[#This Row],[ Montant SIN 2014]]+Tableau1[[#This Row],[ Montant SIN 2015]]</f>
        <v>16982</v>
      </c>
      <c r="BV33" s="179">
        <f t="shared" si="1"/>
        <v>0</v>
      </c>
      <c r="BW33" s="180" t="e">
        <f>Tableau1[[#This Row],[Sinistres]]/Tableau1[[#This Row],[P  = Prime HT N + (Primes HT N-1/N-2/N-3)*0,85)]]</f>
        <v>#DIV/0!</v>
      </c>
      <c r="BX33" s="172"/>
    </row>
    <row r="34" spans="1:76" s="181" customFormat="1" ht="30" x14ac:dyDescent="0.25">
      <c r="A34" s="145" t="s">
        <v>223</v>
      </c>
      <c r="B34" s="146">
        <v>9149</v>
      </c>
      <c r="C34" s="147" t="s">
        <v>224</v>
      </c>
      <c r="D34" s="148" t="s">
        <v>218</v>
      </c>
      <c r="E34" s="149" t="s">
        <v>405</v>
      </c>
      <c r="F34" s="149" t="s">
        <v>434</v>
      </c>
      <c r="G34" s="150"/>
      <c r="H34" s="151">
        <v>75011</v>
      </c>
      <c r="I34" s="151" t="s">
        <v>48</v>
      </c>
      <c r="J34" s="152"/>
      <c r="K34" s="153">
        <v>976</v>
      </c>
      <c r="L34" s="153"/>
      <c r="M34" s="153"/>
      <c r="N34" s="153">
        <f>Tableau1[[#This Row],[SURFACE TOTALE (SHOB)]]*Tableau1[[#This Row],[Surface Commerciale]]</f>
        <v>0</v>
      </c>
      <c r="O34" s="153"/>
      <c r="P34" s="153"/>
      <c r="Q34" s="153"/>
      <c r="R34" s="154" t="s">
        <v>187</v>
      </c>
      <c r="S34" s="155">
        <v>0</v>
      </c>
      <c r="T34" s="156"/>
      <c r="U34" s="157" t="s">
        <v>246</v>
      </c>
      <c r="V34" s="157">
        <v>2</v>
      </c>
      <c r="W34" s="157">
        <v>3</v>
      </c>
      <c r="X34" s="158" t="s">
        <v>435</v>
      </c>
      <c r="Y34" s="159"/>
      <c r="Z34" s="160" t="s">
        <v>227</v>
      </c>
      <c r="AA34" s="150" t="s">
        <v>247</v>
      </c>
      <c r="AB34" s="150" t="s">
        <v>436</v>
      </c>
      <c r="AC34" s="161"/>
      <c r="AD34" s="150"/>
      <c r="AE34" s="150"/>
      <c r="AF34" s="150"/>
      <c r="AG34" s="150" t="s">
        <v>406</v>
      </c>
      <c r="AH34" s="162"/>
      <c r="AI34" s="163"/>
      <c r="AJ34" s="153"/>
      <c r="AK34" s="156" t="s">
        <v>407</v>
      </c>
      <c r="AL34" s="161" t="s">
        <v>233</v>
      </c>
      <c r="AM34" s="164">
        <v>42005</v>
      </c>
      <c r="AN34" s="164"/>
      <c r="AO34" s="115"/>
      <c r="AP34" s="116" t="s">
        <v>482</v>
      </c>
      <c r="AQ34" s="188"/>
      <c r="AR34" s="164"/>
      <c r="AS34" s="165"/>
      <c r="AT34" s="166">
        <v>3343</v>
      </c>
      <c r="AU34" s="148" t="s">
        <v>208</v>
      </c>
      <c r="AV34" s="167">
        <v>0</v>
      </c>
      <c r="AW34" s="168">
        <f t="shared" si="2"/>
        <v>3.425204918032787</v>
      </c>
      <c r="AX34" s="168">
        <f>Tableau1[[#This Row],[PRIME MRI ALLIANZ 
ACTUELLE TTC]]/K34</f>
        <v>0</v>
      </c>
      <c r="AY34" s="169">
        <v>0</v>
      </c>
      <c r="AZ34" s="170">
        <f>SUM(Tableau1[[#This Row],[PRIME MRI ALLIANZ 
ACTUELLE TTC]]+Tableau1[[#This Row],[FG]])</f>
        <v>0</v>
      </c>
      <c r="BA34" s="148" t="s">
        <v>165</v>
      </c>
      <c r="BB34" s="148" t="s">
        <v>202</v>
      </c>
      <c r="BC34" s="148"/>
      <c r="BD34" s="148"/>
      <c r="BE34" s="171" t="s">
        <v>234</v>
      </c>
      <c r="BF34" s="172">
        <v>2</v>
      </c>
      <c r="BG34" s="173">
        <f>1987+214</f>
        <v>2201</v>
      </c>
      <c r="BH34" s="171" t="s">
        <v>150</v>
      </c>
      <c r="BI34" s="172">
        <v>0</v>
      </c>
      <c r="BJ34" s="174">
        <v>0</v>
      </c>
      <c r="BK34" s="171" t="s">
        <v>234</v>
      </c>
      <c r="BL34" s="172">
        <v>1</v>
      </c>
      <c r="BM34" s="174">
        <v>4647</v>
      </c>
      <c r="BN34" s="175" t="s">
        <v>150</v>
      </c>
      <c r="BO34" s="176">
        <v>0</v>
      </c>
      <c r="BP34" s="225">
        <v>0</v>
      </c>
      <c r="BQ34" s="176"/>
      <c r="BR34" s="176"/>
      <c r="BS34" s="176"/>
      <c r="BT34" s="177">
        <f>Tableau1[[#This Row],[NBRE     SIN 2013]]+Tableau1[[#This Row],[NBRE     SIN 2014]]+Tableau1[[#This Row],[NBRE     SIN 2015]]+Tableau1[[#This Row],[NBRE     SIN 2012]]</f>
        <v>3</v>
      </c>
      <c r="BU34" s="178">
        <f>Tableau1[[#This Row],[ Montant SIN 2012]]+Tableau1[[#This Row],[ Montant SIN 2013]]+Tableau1[[#This Row],[ Montant SIN 2014]]+Tableau1[[#This Row],[ Montant SIN 2015]]</f>
        <v>6848</v>
      </c>
      <c r="BV34" s="179">
        <f t="shared" si="1"/>
        <v>0</v>
      </c>
      <c r="BW34" s="180" t="e">
        <f>Tableau1[[#This Row],[Sinistres]]/Tableau1[[#This Row],[P  = Prime HT N + (Primes HT N-1/N-2/N-3)*0,85)]]</f>
        <v>#DIV/0!</v>
      </c>
      <c r="BX34" s="172"/>
    </row>
    <row r="35" spans="1:76" s="24" customFormat="1" ht="15" x14ac:dyDescent="0.25">
      <c r="A35" s="88" t="s">
        <v>223</v>
      </c>
      <c r="B35" s="87">
        <v>9075</v>
      </c>
      <c r="C35" s="82" t="s">
        <v>224</v>
      </c>
      <c r="D35" s="45" t="s">
        <v>218</v>
      </c>
      <c r="E35" s="81" t="s">
        <v>408</v>
      </c>
      <c r="F35" s="81" t="s">
        <v>424</v>
      </c>
      <c r="G35" s="84"/>
      <c r="H35" s="83">
        <v>75010</v>
      </c>
      <c r="I35" s="83" t="s">
        <v>48</v>
      </c>
      <c r="J35" s="39">
        <v>17</v>
      </c>
      <c r="K35" s="102">
        <v>1540</v>
      </c>
      <c r="L35" s="102"/>
      <c r="M35" s="102"/>
      <c r="N35" s="102">
        <f>Tableau1[[#This Row],[SURFACE TOTALE (SHOB)]]*Tableau1[[#This Row],[Surface Commerciale]]</f>
        <v>369.59999999999997</v>
      </c>
      <c r="O35" s="102"/>
      <c r="P35" s="102"/>
      <c r="Q35" s="103"/>
      <c r="R35" s="39" t="s">
        <v>187</v>
      </c>
      <c r="S35" s="40">
        <v>0.24</v>
      </c>
      <c r="T35" s="67"/>
      <c r="U35" s="50" t="s">
        <v>246</v>
      </c>
      <c r="V35" s="50">
        <v>2</v>
      </c>
      <c r="W35" s="50">
        <v>1</v>
      </c>
      <c r="X35" s="51" t="s">
        <v>425</v>
      </c>
      <c r="Y35" s="63" t="s">
        <v>226</v>
      </c>
      <c r="Z35" s="52" t="s">
        <v>227</v>
      </c>
      <c r="AA35" s="84" t="s">
        <v>247</v>
      </c>
      <c r="AB35" s="84" t="s">
        <v>229</v>
      </c>
      <c r="AC35" s="61"/>
      <c r="AD35" s="84"/>
      <c r="AE35" s="84"/>
      <c r="AF35" s="84"/>
      <c r="AG35" s="99" t="s">
        <v>409</v>
      </c>
      <c r="AH35" s="53"/>
      <c r="AI35" s="64"/>
      <c r="AJ35" s="64"/>
      <c r="AK35" s="67" t="s">
        <v>150</v>
      </c>
      <c r="AL35" s="61" t="s">
        <v>233</v>
      </c>
      <c r="AM35" s="54">
        <v>42005</v>
      </c>
      <c r="AN35" s="54"/>
      <c r="AO35" s="115" t="s">
        <v>384</v>
      </c>
      <c r="AP35" s="116">
        <v>9819059</v>
      </c>
      <c r="AQ35" s="186">
        <v>42410</v>
      </c>
      <c r="AR35" s="54"/>
      <c r="AS35" s="84" t="s">
        <v>457</v>
      </c>
      <c r="AT35" s="119">
        <v>4975</v>
      </c>
      <c r="AU35" s="45" t="s">
        <v>208</v>
      </c>
      <c r="AV35" s="125">
        <v>4475</v>
      </c>
      <c r="AW35" s="127">
        <f t="shared" si="2"/>
        <v>3.2305194805194803</v>
      </c>
      <c r="AX35" s="127">
        <f>Tableau1[[#This Row],[PRIME MRI ALLIANZ 
ACTUELLE TTC]]/K35</f>
        <v>2.9058441558441559</v>
      </c>
      <c r="AY35" s="69">
        <v>150</v>
      </c>
      <c r="AZ35" s="70">
        <f>SUM(Tableau1[[#This Row],[PRIME MRI ALLIANZ 
ACTUELLE TTC]]+Tableau1[[#This Row],[FG]])</f>
        <v>4625</v>
      </c>
      <c r="BA35" s="45" t="s">
        <v>165</v>
      </c>
      <c r="BB35" s="45" t="s">
        <v>202</v>
      </c>
      <c r="BC35" s="45" t="s">
        <v>202</v>
      </c>
      <c r="BD35" s="45" t="s">
        <v>200</v>
      </c>
      <c r="BE35" s="55" t="s">
        <v>150</v>
      </c>
      <c r="BF35" s="49">
        <v>0</v>
      </c>
      <c r="BG35" s="94">
        <v>0</v>
      </c>
      <c r="BH35" s="55" t="s">
        <v>150</v>
      </c>
      <c r="BI35" s="49">
        <v>0</v>
      </c>
      <c r="BJ35" s="56">
        <v>0</v>
      </c>
      <c r="BK35" s="55" t="s">
        <v>337</v>
      </c>
      <c r="BL35" s="49">
        <v>2</v>
      </c>
      <c r="BM35" s="56">
        <v>2103</v>
      </c>
      <c r="BN35" s="55" t="s">
        <v>318</v>
      </c>
      <c r="BO35" s="49">
        <v>2</v>
      </c>
      <c r="BP35" s="224">
        <f>1833+586</f>
        <v>2419</v>
      </c>
      <c r="BQ35" s="38"/>
      <c r="BR35" s="38"/>
      <c r="BS35" s="38"/>
      <c r="BT35" s="98">
        <f>Tableau1[[#This Row],[NBRE     SIN 2013]]+Tableau1[[#This Row],[NBRE     SIN 2014]]+Tableau1[[#This Row],[NBRE     SIN 2015]]+Tableau1[[#This Row],[NBRE     SIN 2012]]</f>
        <v>4</v>
      </c>
      <c r="BU35" s="96">
        <f>Tableau1[[#This Row],[ Montant SIN 2012]]+Tableau1[[#This Row],[ Montant SIN 2013]]+Tableau1[[#This Row],[ Montant SIN 2014]]+Tableau1[[#This Row],[ Montant SIN 2015]]</f>
        <v>4522</v>
      </c>
      <c r="BV35" s="68">
        <f t="shared" si="1"/>
        <v>13662.174999999999</v>
      </c>
      <c r="BW35" s="74">
        <f>Tableau1[[#This Row],[Sinistres]]/Tableau1[[#This Row],[P  = Prime HT N + (Primes HT N-1/N-2/N-3)*0,85)]]</f>
        <v>0.33098683042780525</v>
      </c>
      <c r="BX35" s="49"/>
    </row>
    <row r="36" spans="1:76" s="24" customFormat="1" ht="25.5" x14ac:dyDescent="0.25">
      <c r="A36" s="88" t="s">
        <v>223</v>
      </c>
      <c r="B36" s="87">
        <v>9164</v>
      </c>
      <c r="C36" s="79" t="s">
        <v>224</v>
      </c>
      <c r="D36" s="45" t="s">
        <v>218</v>
      </c>
      <c r="E36" s="81" t="s">
        <v>410</v>
      </c>
      <c r="F36" s="81" t="s">
        <v>426</v>
      </c>
      <c r="G36" s="84"/>
      <c r="H36" s="83">
        <v>75019</v>
      </c>
      <c r="I36" s="83" t="s">
        <v>48</v>
      </c>
      <c r="J36" s="39">
        <v>42</v>
      </c>
      <c r="K36" s="102">
        <v>2030</v>
      </c>
      <c r="L36" s="102"/>
      <c r="M36" s="102"/>
      <c r="N36" s="102">
        <f>Tableau1[[#This Row],[SURFACE TOTALE (SHOB)]]*Tableau1[[#This Row],[Surface Commerciale]]</f>
        <v>487.2</v>
      </c>
      <c r="O36" s="102"/>
      <c r="P36" s="102"/>
      <c r="Q36" s="102"/>
      <c r="R36" s="39" t="s">
        <v>187</v>
      </c>
      <c r="S36" s="40">
        <v>0.24</v>
      </c>
      <c r="T36" s="66"/>
      <c r="U36" s="50" t="s">
        <v>246</v>
      </c>
      <c r="V36" s="50">
        <v>4</v>
      </c>
      <c r="W36" s="50">
        <v>1</v>
      </c>
      <c r="X36" s="51" t="s">
        <v>429</v>
      </c>
      <c r="Y36" s="63" t="s">
        <v>226</v>
      </c>
      <c r="Z36" s="52" t="s">
        <v>227</v>
      </c>
      <c r="AA36" s="84" t="s">
        <v>247</v>
      </c>
      <c r="AB36" s="84" t="s">
        <v>248</v>
      </c>
      <c r="AC36" s="61"/>
      <c r="AD36" s="61"/>
      <c r="AE36" s="61"/>
      <c r="AF36" s="61"/>
      <c r="AG36" s="91">
        <v>20880034598</v>
      </c>
      <c r="AH36" s="53"/>
      <c r="AI36" s="62"/>
      <c r="AJ36" s="64"/>
      <c r="AK36" s="66" t="s">
        <v>150</v>
      </c>
      <c r="AL36" s="61" t="s">
        <v>233</v>
      </c>
      <c r="AM36" s="54">
        <v>42005</v>
      </c>
      <c r="AN36" s="54"/>
      <c r="AO36" s="115"/>
      <c r="AP36" s="116"/>
      <c r="AQ36" s="186"/>
      <c r="AR36" s="54"/>
      <c r="AS36" s="84"/>
      <c r="AT36" s="119">
        <v>5815</v>
      </c>
      <c r="AU36" s="45" t="s">
        <v>208</v>
      </c>
      <c r="AV36" s="125">
        <v>5900</v>
      </c>
      <c r="AW36" s="127">
        <f t="shared" si="2"/>
        <v>2.8645320197044337</v>
      </c>
      <c r="AX36" s="127">
        <f>Tableau1[[#This Row],[PRIME MRI ALLIANZ 
ACTUELLE TTC]]/K36</f>
        <v>2.9064039408866993</v>
      </c>
      <c r="AY36" s="69">
        <v>200</v>
      </c>
      <c r="AZ36" s="70">
        <f>SUM(Tableau1[[#This Row],[PRIME MRI ALLIANZ 
ACTUELLE TTC]]+Tableau1[[#This Row],[FG]])</f>
        <v>6100</v>
      </c>
      <c r="BA36" s="45" t="s">
        <v>165</v>
      </c>
      <c r="BB36" s="45" t="s">
        <v>202</v>
      </c>
      <c r="BC36" s="45" t="s">
        <v>202</v>
      </c>
      <c r="BD36" s="45" t="s">
        <v>200</v>
      </c>
      <c r="BE36" s="55" t="s">
        <v>234</v>
      </c>
      <c r="BF36" s="49">
        <v>1</v>
      </c>
      <c r="BG36" s="94">
        <v>1010</v>
      </c>
      <c r="BH36" s="55" t="s">
        <v>150</v>
      </c>
      <c r="BI36" s="49">
        <v>0</v>
      </c>
      <c r="BJ36" s="56">
        <v>0</v>
      </c>
      <c r="BK36" s="55" t="s">
        <v>430</v>
      </c>
      <c r="BL36" s="49">
        <v>3</v>
      </c>
      <c r="BM36" s="56">
        <v>8707</v>
      </c>
      <c r="BN36" s="55" t="s">
        <v>150</v>
      </c>
      <c r="BO36" s="49">
        <v>0</v>
      </c>
      <c r="BP36" s="224">
        <v>0</v>
      </c>
      <c r="BQ36" s="38"/>
      <c r="BR36" s="38"/>
      <c r="BS36" s="38"/>
      <c r="BT36" s="98">
        <f>Tableau1[[#This Row],[NBRE     SIN 2013]]+Tableau1[[#This Row],[NBRE     SIN 2014]]+Tableau1[[#This Row],[NBRE     SIN 2015]]+Tableau1[[#This Row],[NBRE     SIN 2012]]</f>
        <v>4</v>
      </c>
      <c r="BU36" s="96">
        <f>Tableau1[[#This Row],[ Montant SIN 2012]]+Tableau1[[#This Row],[ Montant SIN 2013]]+Tableau1[[#This Row],[ Montant SIN 2014]]+Tableau1[[#This Row],[ Montant SIN 2015]]</f>
        <v>9717</v>
      </c>
      <c r="BV36" s="68">
        <f t="shared" si="1"/>
        <v>18012.699999999997</v>
      </c>
      <c r="BW36" s="74">
        <f>Tableau1[[#This Row],[Sinistres]]/Tableau1[[#This Row],[P  = Prime HT N + (Primes HT N-1/N-2/N-3)*0,85)]]</f>
        <v>0.53945271947015172</v>
      </c>
      <c r="BX36" s="49"/>
    </row>
    <row r="37" spans="1:76" s="181" customFormat="1" ht="28.5" x14ac:dyDescent="0.25">
      <c r="A37" s="145" t="s">
        <v>223</v>
      </c>
      <c r="B37" s="146">
        <v>9056</v>
      </c>
      <c r="C37" s="147" t="s">
        <v>224</v>
      </c>
      <c r="D37" s="148" t="s">
        <v>218</v>
      </c>
      <c r="E37" s="149" t="s">
        <v>411</v>
      </c>
      <c r="F37" s="149" t="s">
        <v>431</v>
      </c>
      <c r="G37" s="150"/>
      <c r="H37" s="151">
        <v>75011</v>
      </c>
      <c r="I37" s="151" t="s">
        <v>48</v>
      </c>
      <c r="J37" s="152">
        <v>48</v>
      </c>
      <c r="K37" s="153">
        <v>3694</v>
      </c>
      <c r="L37" s="153"/>
      <c r="M37" s="153"/>
      <c r="N37" s="153">
        <f>Tableau1[[#This Row],[SURFACE TOTALE (SHOB)]]*Tableau1[[#This Row],[Surface Commerciale]]</f>
        <v>886.56</v>
      </c>
      <c r="O37" s="153"/>
      <c r="P37" s="153"/>
      <c r="Q37" s="153"/>
      <c r="R37" s="154" t="s">
        <v>187</v>
      </c>
      <c r="S37" s="155">
        <v>0.24</v>
      </c>
      <c r="T37" s="156"/>
      <c r="U37" s="157" t="s">
        <v>246</v>
      </c>
      <c r="V37" s="157">
        <v>2</v>
      </c>
      <c r="W37" s="157">
        <v>1</v>
      </c>
      <c r="X37" s="158" t="s">
        <v>432</v>
      </c>
      <c r="Y37" s="159" t="s">
        <v>226</v>
      </c>
      <c r="Z37" s="160" t="s">
        <v>227</v>
      </c>
      <c r="AA37" s="150" t="s">
        <v>247</v>
      </c>
      <c r="AB37" s="150" t="s">
        <v>248</v>
      </c>
      <c r="AC37" s="161"/>
      <c r="AD37" s="150"/>
      <c r="AE37" s="150"/>
      <c r="AF37" s="150"/>
      <c r="AG37" s="150">
        <v>20880033498</v>
      </c>
      <c r="AH37" s="162"/>
      <c r="AI37" s="163"/>
      <c r="AJ37" s="153"/>
      <c r="AK37" s="156" t="s">
        <v>150</v>
      </c>
      <c r="AL37" s="161" t="s">
        <v>233</v>
      </c>
      <c r="AM37" s="164">
        <v>42005</v>
      </c>
      <c r="AN37" s="164"/>
      <c r="AO37" s="115"/>
      <c r="AP37" s="116" t="s">
        <v>455</v>
      </c>
      <c r="AQ37" s="188"/>
      <c r="AR37" s="164"/>
      <c r="AS37" s="165"/>
      <c r="AT37" s="166">
        <v>9866</v>
      </c>
      <c r="AU37" s="148" t="s">
        <v>208</v>
      </c>
      <c r="AV37" s="167">
        <v>0</v>
      </c>
      <c r="AW37" s="168">
        <f t="shared" si="2"/>
        <v>2.6708175419599351</v>
      </c>
      <c r="AX37" s="168">
        <f>Tableau1[[#This Row],[PRIME MRI ALLIANZ 
ACTUELLE TTC]]/K37</f>
        <v>0</v>
      </c>
      <c r="AY37" s="169">
        <v>0</v>
      </c>
      <c r="AZ37" s="170">
        <f>SUM(Tableau1[[#This Row],[PRIME MRI ALLIANZ 
ACTUELLE TTC]]+Tableau1[[#This Row],[FG]])</f>
        <v>0</v>
      </c>
      <c r="BA37" s="148" t="s">
        <v>165</v>
      </c>
      <c r="BB37" s="148" t="s">
        <v>202</v>
      </c>
      <c r="BC37" s="148" t="s">
        <v>200</v>
      </c>
      <c r="BD37" s="148" t="s">
        <v>200</v>
      </c>
      <c r="BE37" s="171" t="s">
        <v>234</v>
      </c>
      <c r="BF37" s="172">
        <v>2</v>
      </c>
      <c r="BG37" s="173">
        <f>545+400</f>
        <v>945</v>
      </c>
      <c r="BH37" s="171" t="s">
        <v>433</v>
      </c>
      <c r="BI37" s="172">
        <v>1</v>
      </c>
      <c r="BJ37" s="174">
        <v>1747</v>
      </c>
      <c r="BK37" s="171" t="s">
        <v>234</v>
      </c>
      <c r="BL37" s="172">
        <v>0</v>
      </c>
      <c r="BM37" s="174">
        <v>0</v>
      </c>
      <c r="BN37" s="175" t="s">
        <v>234</v>
      </c>
      <c r="BO37" s="176">
        <v>3</v>
      </c>
      <c r="BP37" s="225">
        <f>2132+1747</f>
        <v>3879</v>
      </c>
      <c r="BQ37" s="176"/>
      <c r="BR37" s="176"/>
      <c r="BS37" s="176"/>
      <c r="BT37" s="177">
        <f>Tableau1[[#This Row],[NBRE     SIN 2013]]+Tableau1[[#This Row],[NBRE     SIN 2014]]+Tableau1[[#This Row],[NBRE     SIN 2015]]+Tableau1[[#This Row],[NBRE     SIN 2012]]</f>
        <v>6</v>
      </c>
      <c r="BU37" s="178">
        <f>Tableau1[[#This Row],[ Montant SIN 2012]]+Tableau1[[#This Row],[ Montant SIN 2013]]+Tableau1[[#This Row],[ Montant SIN 2014]]+Tableau1[[#This Row],[ Montant SIN 2015]]</f>
        <v>6571</v>
      </c>
      <c r="BV37" s="179">
        <f t="shared" si="1"/>
        <v>0</v>
      </c>
      <c r="BW37" s="180" t="e">
        <f>Tableau1[[#This Row],[Sinistres]]/Tableau1[[#This Row],[P  = Prime HT N + (Primes HT N-1/N-2/N-3)*0,85)]]</f>
        <v>#DIV/0!</v>
      </c>
      <c r="BX37" s="172"/>
    </row>
    <row r="38" spans="1:76" s="24" customFormat="1" ht="38.25" x14ac:dyDescent="0.25">
      <c r="A38" s="88" t="s">
        <v>223</v>
      </c>
      <c r="B38" s="87">
        <v>9046</v>
      </c>
      <c r="C38" s="82" t="s">
        <v>224</v>
      </c>
      <c r="D38" s="45" t="s">
        <v>218</v>
      </c>
      <c r="E38" s="81" t="s">
        <v>412</v>
      </c>
      <c r="F38" s="81" t="s">
        <v>418</v>
      </c>
      <c r="G38" s="84"/>
      <c r="H38" s="83">
        <v>75011</v>
      </c>
      <c r="I38" s="83" t="s">
        <v>48</v>
      </c>
      <c r="J38" s="39">
        <v>66</v>
      </c>
      <c r="K38" s="103">
        <v>2672</v>
      </c>
      <c r="L38" s="102"/>
      <c r="M38" s="103"/>
      <c r="N38" s="102">
        <f>Tableau1[[#This Row],[SURFACE TOTALE (SHOB)]]*Tableau1[[#This Row],[Surface Commerciale]]</f>
        <v>0</v>
      </c>
      <c r="O38" s="103"/>
      <c r="P38" s="103"/>
      <c r="Q38" s="64"/>
      <c r="R38" s="39" t="s">
        <v>187</v>
      </c>
      <c r="S38" s="40">
        <v>0</v>
      </c>
      <c r="T38" s="67"/>
      <c r="U38" s="50" t="s">
        <v>246</v>
      </c>
      <c r="V38" s="50">
        <v>3</v>
      </c>
      <c r="W38" s="50" t="s">
        <v>419</v>
      </c>
      <c r="X38" s="51" t="s">
        <v>420</v>
      </c>
      <c r="Y38" s="63" t="s">
        <v>226</v>
      </c>
      <c r="Z38" s="52" t="s">
        <v>227</v>
      </c>
      <c r="AA38" s="84" t="s">
        <v>247</v>
      </c>
      <c r="AB38" s="84" t="s">
        <v>229</v>
      </c>
      <c r="AC38" s="61"/>
      <c r="AD38" s="84"/>
      <c r="AE38" s="84"/>
      <c r="AF38" s="84"/>
      <c r="AG38" s="84" t="s">
        <v>421</v>
      </c>
      <c r="AH38" s="53"/>
      <c r="AI38" s="64"/>
      <c r="AJ38" s="64"/>
      <c r="AK38" s="67" t="s">
        <v>413</v>
      </c>
      <c r="AL38" s="61" t="s">
        <v>233</v>
      </c>
      <c r="AM38" s="54">
        <v>42095</v>
      </c>
      <c r="AN38" s="54"/>
      <c r="AO38" s="115" t="s">
        <v>272</v>
      </c>
      <c r="AP38" s="116">
        <v>10223709</v>
      </c>
      <c r="AQ38" s="186">
        <v>42461</v>
      </c>
      <c r="AR38" s="54"/>
      <c r="AS38" s="95"/>
      <c r="AT38" s="119">
        <v>8680</v>
      </c>
      <c r="AU38" s="45" t="s">
        <v>208</v>
      </c>
      <c r="AV38" s="125">
        <v>7640</v>
      </c>
      <c r="AW38" s="127">
        <f t="shared" si="2"/>
        <v>3.2485029940119761</v>
      </c>
      <c r="AX38" s="127">
        <f>Tableau1[[#This Row],[PRIME MRI ALLIANZ 
ACTUELLE TTC]]/K38</f>
        <v>2.8592814371257487</v>
      </c>
      <c r="AY38" s="69">
        <v>500</v>
      </c>
      <c r="AZ38" s="70">
        <f>SUM(Tableau1[[#This Row],[PRIME MRI ALLIANZ 
ACTUELLE TTC]]+Tableau1[[#This Row],[FG]])</f>
        <v>8140</v>
      </c>
      <c r="BA38" s="45" t="s">
        <v>165</v>
      </c>
      <c r="BB38" s="45" t="s">
        <v>202</v>
      </c>
      <c r="BC38" s="45" t="s">
        <v>200</v>
      </c>
      <c r="BD38" s="45" t="s">
        <v>200</v>
      </c>
      <c r="BE38" s="55" t="s">
        <v>355</v>
      </c>
      <c r="BF38" s="49">
        <v>2</v>
      </c>
      <c r="BG38" s="94">
        <f>1300+137.14</f>
        <v>1437.1399999999999</v>
      </c>
      <c r="BH38" s="55" t="s">
        <v>250</v>
      </c>
      <c r="BI38" s="49">
        <v>1</v>
      </c>
      <c r="BJ38" s="56">
        <v>433</v>
      </c>
      <c r="BK38" s="55" t="s">
        <v>150</v>
      </c>
      <c r="BL38" s="49">
        <v>0</v>
      </c>
      <c r="BM38" s="56">
        <v>0</v>
      </c>
      <c r="BN38" s="55" t="s">
        <v>234</v>
      </c>
      <c r="BO38" s="49">
        <v>1</v>
      </c>
      <c r="BP38" s="224">
        <v>945</v>
      </c>
      <c r="BQ38" s="38"/>
      <c r="BR38" s="38"/>
      <c r="BS38" s="38"/>
      <c r="BT38" s="98">
        <f>Tableau1[[#This Row],[NBRE     SIN 2013]]+Tableau1[[#This Row],[NBRE     SIN 2014]]+Tableau1[[#This Row],[NBRE     SIN 2015]]+Tableau1[[#This Row],[NBRE     SIN 2012]]</f>
        <v>4</v>
      </c>
      <c r="BU38" s="96">
        <f>Tableau1[[#This Row],[ Montant SIN 2012]]+Tableau1[[#This Row],[ Montant SIN 2013]]+Tableau1[[#This Row],[ Montant SIN 2014]]+Tableau1[[#This Row],[ Montant SIN 2015]]</f>
        <v>2815.14</v>
      </c>
      <c r="BV38" s="68">
        <f t="shared" si="1"/>
        <v>23324.92</v>
      </c>
      <c r="BW38" s="74">
        <f>Tableau1[[#This Row],[Sinistres]]/Tableau1[[#This Row],[P  = Prime HT N + (Primes HT N-1/N-2/N-3)*0,85)]]</f>
        <v>0.12069237536506021</v>
      </c>
      <c r="BX38" s="49"/>
    </row>
    <row r="39" spans="1:76" s="24" customFormat="1" ht="15" x14ac:dyDescent="0.25">
      <c r="A39" s="88" t="s">
        <v>223</v>
      </c>
      <c r="B39" s="87">
        <v>9168</v>
      </c>
      <c r="C39" s="79" t="s">
        <v>224</v>
      </c>
      <c r="D39" s="45" t="s">
        <v>218</v>
      </c>
      <c r="E39" s="81" t="s">
        <v>414</v>
      </c>
      <c r="F39" s="81" t="s">
        <v>427</v>
      </c>
      <c r="G39" s="84" t="s">
        <v>428</v>
      </c>
      <c r="H39" s="83">
        <v>75011</v>
      </c>
      <c r="I39" s="83" t="s">
        <v>48</v>
      </c>
      <c r="J39" s="39">
        <v>18</v>
      </c>
      <c r="K39" s="102">
        <v>1400</v>
      </c>
      <c r="L39" s="102"/>
      <c r="M39" s="62"/>
      <c r="N39" s="102">
        <f>Tableau1[[#This Row],[SURFACE TOTALE (SHOB)]]*Tableau1[[#This Row],[Surface Commerciale]]</f>
        <v>336</v>
      </c>
      <c r="O39" s="62"/>
      <c r="P39" s="62"/>
      <c r="Q39" s="62"/>
      <c r="R39" s="39" t="s">
        <v>187</v>
      </c>
      <c r="S39" s="40">
        <v>0.24</v>
      </c>
      <c r="T39" s="66"/>
      <c r="U39" s="50" t="s">
        <v>246</v>
      </c>
      <c r="V39" s="50">
        <v>1</v>
      </c>
      <c r="W39" s="50">
        <v>1</v>
      </c>
      <c r="X39" s="51" t="s">
        <v>404</v>
      </c>
      <c r="Y39" s="63" t="s">
        <v>226</v>
      </c>
      <c r="Z39" s="52" t="s">
        <v>227</v>
      </c>
      <c r="AA39" s="84" t="s">
        <v>247</v>
      </c>
      <c r="AB39" s="84" t="s">
        <v>229</v>
      </c>
      <c r="AC39" s="61"/>
      <c r="AD39" s="84"/>
      <c r="AE39" s="84"/>
      <c r="AF39" s="84"/>
      <c r="AG39" s="99" t="s">
        <v>422</v>
      </c>
      <c r="AH39" s="53"/>
      <c r="AI39" s="62"/>
      <c r="AJ39" s="64"/>
      <c r="AK39" s="66" t="s">
        <v>150</v>
      </c>
      <c r="AL39" s="61" t="s">
        <v>233</v>
      </c>
      <c r="AM39" s="54">
        <v>42095</v>
      </c>
      <c r="AN39" s="54"/>
      <c r="AO39" s="115" t="s">
        <v>272</v>
      </c>
      <c r="AP39" s="116">
        <v>9516433</v>
      </c>
      <c r="AQ39" s="186">
        <v>42461</v>
      </c>
      <c r="AR39" s="54"/>
      <c r="AS39" s="84" t="s">
        <v>423</v>
      </c>
      <c r="AT39" s="119">
        <v>4070</v>
      </c>
      <c r="AU39" s="45" t="s">
        <v>208</v>
      </c>
      <c r="AV39" s="125">
        <v>3540</v>
      </c>
      <c r="AW39" s="127">
        <f t="shared" si="2"/>
        <v>2.907142857142857</v>
      </c>
      <c r="AX39" s="127">
        <f>Tableau1[[#This Row],[PRIME MRI ALLIANZ 
ACTUELLE TTC]]/K39</f>
        <v>2.5285714285714285</v>
      </c>
      <c r="AY39" s="69">
        <v>200</v>
      </c>
      <c r="AZ39" s="70">
        <f>SUM(Tableau1[[#This Row],[PRIME MRI ALLIANZ 
ACTUELLE TTC]]+Tableau1[[#This Row],[FG]])</f>
        <v>3740</v>
      </c>
      <c r="BA39" s="45" t="s">
        <v>165</v>
      </c>
      <c r="BB39" s="45" t="s">
        <v>200</v>
      </c>
      <c r="BC39" s="45" t="s">
        <v>200</v>
      </c>
      <c r="BD39" s="45" t="s">
        <v>202</v>
      </c>
      <c r="BE39" s="55" t="s">
        <v>234</v>
      </c>
      <c r="BF39" s="49">
        <v>0</v>
      </c>
      <c r="BG39" s="94">
        <v>0</v>
      </c>
      <c r="BH39" s="55" t="s">
        <v>150</v>
      </c>
      <c r="BI39" s="49">
        <v>2</v>
      </c>
      <c r="BJ39" s="56">
        <v>1589</v>
      </c>
      <c r="BK39" s="55" t="s">
        <v>150</v>
      </c>
      <c r="BL39" s="49">
        <v>0</v>
      </c>
      <c r="BM39" s="56">
        <v>0</v>
      </c>
      <c r="BN39" s="55" t="s">
        <v>150</v>
      </c>
      <c r="BO39" s="49">
        <v>0</v>
      </c>
      <c r="BP39" s="224">
        <v>0</v>
      </c>
      <c r="BQ39" s="38"/>
      <c r="BR39" s="38"/>
      <c r="BS39" s="38"/>
      <c r="BT39" s="98">
        <f>Tableau1[[#This Row],[NBRE     SIN 2013]]+Tableau1[[#This Row],[NBRE     SIN 2014]]+Tableau1[[#This Row],[NBRE     SIN 2015]]+Tableau1[[#This Row],[NBRE     SIN 2012]]</f>
        <v>2</v>
      </c>
      <c r="BU39" s="96">
        <f>Tableau1[[#This Row],[ Montant SIN 2012]]+Tableau1[[#This Row],[ Montant SIN 2013]]+Tableau1[[#This Row],[ Montant SIN 2014]]+Tableau1[[#This Row],[ Montant SIN 2015]]</f>
        <v>1589</v>
      </c>
      <c r="BV39" s="68">
        <f t="shared" si="1"/>
        <v>10807.62</v>
      </c>
      <c r="BW39" s="74">
        <f>Tableau1[[#This Row],[Sinistres]]/Tableau1[[#This Row],[P  = Prime HT N + (Primes HT N-1/N-2/N-3)*0,85)]]</f>
        <v>0.14702589469281857</v>
      </c>
      <c r="BX39" s="49"/>
    </row>
    <row r="40" spans="1:76" s="24" customFormat="1" ht="15" x14ac:dyDescent="0.25">
      <c r="A40" s="88" t="s">
        <v>223</v>
      </c>
      <c r="B40" s="87"/>
      <c r="C40" s="79" t="s">
        <v>224</v>
      </c>
      <c r="D40" s="45" t="s">
        <v>218</v>
      </c>
      <c r="E40" s="81" t="s">
        <v>415</v>
      </c>
      <c r="F40" s="81"/>
      <c r="G40" s="84"/>
      <c r="H40" s="83"/>
      <c r="I40" s="83"/>
      <c r="J40" s="39"/>
      <c r="K40" s="103">
        <v>2093</v>
      </c>
      <c r="L40" s="102"/>
      <c r="M40" s="102"/>
      <c r="N40" s="102">
        <f>Tableau1[[#This Row],[SURFACE TOTALE (SHOB)]]*Tableau1[[#This Row],[Surface Commerciale]]</f>
        <v>0</v>
      </c>
      <c r="O40" s="102"/>
      <c r="P40" s="102"/>
      <c r="Q40" s="103"/>
      <c r="R40" s="39"/>
      <c r="S40" s="40">
        <v>0</v>
      </c>
      <c r="T40" s="67"/>
      <c r="U40" s="50"/>
      <c r="V40" s="50"/>
      <c r="W40" s="50"/>
      <c r="X40" s="51"/>
      <c r="Y40" s="63"/>
      <c r="Z40" s="52"/>
      <c r="AA40" s="84"/>
      <c r="AB40" s="84"/>
      <c r="AC40" s="61"/>
      <c r="AD40" s="61"/>
      <c r="AE40" s="61"/>
      <c r="AF40" s="61"/>
      <c r="AG40" s="91"/>
      <c r="AH40" s="53"/>
      <c r="AI40" s="64"/>
      <c r="AJ40" s="64"/>
      <c r="AK40" s="67"/>
      <c r="AL40" s="61" t="s">
        <v>233</v>
      </c>
      <c r="AM40" s="54">
        <v>42186</v>
      </c>
      <c r="AN40" s="54"/>
      <c r="AO40" s="115"/>
      <c r="AP40" s="116"/>
      <c r="AQ40" s="186"/>
      <c r="AR40" s="54"/>
      <c r="AS40" s="84" t="s">
        <v>437</v>
      </c>
      <c r="AT40" s="119">
        <v>7062</v>
      </c>
      <c r="AU40" s="45" t="s">
        <v>208</v>
      </c>
      <c r="AV40" s="125">
        <v>6000</v>
      </c>
      <c r="AW40" s="127">
        <f t="shared" si="2"/>
        <v>3.3741041567128525</v>
      </c>
      <c r="AX40" s="127">
        <f>Tableau1[[#This Row],[PRIME MRI ALLIANZ 
ACTUELLE TTC]]/K40</f>
        <v>2.8666985188724321</v>
      </c>
      <c r="AY40" s="69">
        <v>150</v>
      </c>
      <c r="AZ40" s="70">
        <f>SUM(Tableau1[[#This Row],[PRIME MRI ALLIANZ 
ACTUELLE TTC]]+Tableau1[[#This Row],[FG]])</f>
        <v>6150</v>
      </c>
      <c r="BA40" s="45"/>
      <c r="BB40" s="45"/>
      <c r="BC40" s="45"/>
      <c r="BD40" s="45"/>
      <c r="BE40" s="55"/>
      <c r="BF40" s="49"/>
      <c r="BG40" s="94"/>
      <c r="BH40" s="55"/>
      <c r="BI40" s="49"/>
      <c r="BJ40" s="56"/>
      <c r="BK40" s="55"/>
      <c r="BL40" s="49"/>
      <c r="BM40" s="56"/>
      <c r="BN40" s="55"/>
      <c r="BO40" s="49"/>
      <c r="BP40" s="224"/>
      <c r="BQ40" s="38"/>
      <c r="BR40" s="38"/>
      <c r="BS40" s="38"/>
      <c r="BT40" s="98">
        <f>Tableau1[[#This Row],[NBRE     SIN 2013]]+Tableau1[[#This Row],[NBRE     SIN 2014]]+Tableau1[[#This Row],[NBRE     SIN 2015]]+Tableau1[[#This Row],[NBRE     SIN 2012]]</f>
        <v>0</v>
      </c>
      <c r="BU40" s="96">
        <f>Tableau1[[#This Row],[ Montant SIN 2012]]+Tableau1[[#This Row],[ Montant SIN 2013]]+Tableau1[[#This Row],[ Montant SIN 2014]]+Tableau1[[#This Row],[ Montant SIN 2015]]</f>
        <v>0</v>
      </c>
      <c r="BV40" s="68">
        <f t="shared" si="1"/>
        <v>18318</v>
      </c>
      <c r="BW40" s="74">
        <f>Tableau1[[#This Row],[Sinistres]]/Tableau1[[#This Row],[P  = Prime HT N + (Primes HT N-1/N-2/N-3)*0,85)]]</f>
        <v>0</v>
      </c>
      <c r="BX40" s="49"/>
    </row>
    <row r="41" spans="1:76" s="24" customFormat="1" ht="15" x14ac:dyDescent="0.25">
      <c r="A41" s="88" t="s">
        <v>223</v>
      </c>
      <c r="B41" s="100">
        <v>9258</v>
      </c>
      <c r="C41" s="129" t="s">
        <v>359</v>
      </c>
      <c r="D41" s="45" t="s">
        <v>218</v>
      </c>
      <c r="E41" s="81" t="s">
        <v>439</v>
      </c>
      <c r="F41" s="130" t="s">
        <v>440</v>
      </c>
      <c r="G41" s="130"/>
      <c r="H41" s="138">
        <v>75011</v>
      </c>
      <c r="I41" s="83" t="s">
        <v>48</v>
      </c>
      <c r="J41" s="77">
        <v>60</v>
      </c>
      <c r="K41" s="131">
        <v>3155</v>
      </c>
      <c r="L41" s="131"/>
      <c r="M41" s="131"/>
      <c r="N41" s="102">
        <f>Tableau1[[#This Row],[SURFACE TOTALE (SHOB)]]*Tableau1[[#This Row],[Surface Commerciale]]</f>
        <v>0</v>
      </c>
      <c r="O41" s="131"/>
      <c r="P41" s="131"/>
      <c r="Q41" s="131"/>
      <c r="R41" s="39"/>
      <c r="S41" s="49"/>
      <c r="T41" s="139" t="s">
        <v>441</v>
      </c>
      <c r="U41" s="50">
        <v>1948</v>
      </c>
      <c r="V41" s="50">
        <v>1</v>
      </c>
      <c r="W41" s="50">
        <v>1</v>
      </c>
      <c r="X41" s="50">
        <v>7</v>
      </c>
      <c r="Y41" s="137"/>
      <c r="Z41" s="49" t="s">
        <v>227</v>
      </c>
      <c r="AA41" s="130" t="s">
        <v>444</v>
      </c>
      <c r="AB41" s="84" t="s">
        <v>436</v>
      </c>
      <c r="AC41" s="101"/>
      <c r="AD41" s="101"/>
      <c r="AE41" s="130"/>
      <c r="AF41" s="140"/>
      <c r="AG41" s="130" t="s">
        <v>442</v>
      </c>
      <c r="AH41" s="133"/>
      <c r="AI41" s="141"/>
      <c r="AJ41" s="134"/>
      <c r="AK41" s="139" t="s">
        <v>443</v>
      </c>
      <c r="AL41" s="61" t="s">
        <v>233</v>
      </c>
      <c r="AM41" s="135">
        <v>42005</v>
      </c>
      <c r="AN41" s="54"/>
      <c r="AO41" s="186" t="s">
        <v>384</v>
      </c>
      <c r="AP41" s="116">
        <v>9840087</v>
      </c>
      <c r="AQ41" s="186">
        <v>42400</v>
      </c>
      <c r="AR41" s="135"/>
      <c r="AS41" s="84" t="s">
        <v>453</v>
      </c>
      <c r="AT41" s="119">
        <v>5147</v>
      </c>
      <c r="AU41" s="45" t="s">
        <v>208</v>
      </c>
      <c r="AV41" s="125">
        <v>5890</v>
      </c>
      <c r="AW41" s="127">
        <f t="shared" si="2"/>
        <v>1.631378763866878</v>
      </c>
      <c r="AX41" s="127">
        <f>Tableau1[[#This Row],[PRIME MRI ALLIANZ 
ACTUELLE TTC]]/K41</f>
        <v>1.866877971473851</v>
      </c>
      <c r="AY41" s="142">
        <v>50</v>
      </c>
      <c r="AZ41" s="70">
        <f>SUM(Tableau1[[#This Row],[PRIME MRI ALLIANZ 
ACTUELLE TTC]]+Tableau1[[#This Row],[FG]])</f>
        <v>5940</v>
      </c>
      <c r="BA41" s="49" t="s">
        <v>165</v>
      </c>
      <c r="BB41" s="49"/>
      <c r="BC41" s="49"/>
      <c r="BD41" s="49"/>
      <c r="BE41" s="49" t="s">
        <v>234</v>
      </c>
      <c r="BF41" s="49">
        <v>1</v>
      </c>
      <c r="BG41" s="38">
        <v>807</v>
      </c>
      <c r="BH41" s="49" t="s">
        <v>234</v>
      </c>
      <c r="BI41" s="49">
        <v>3</v>
      </c>
      <c r="BJ41" s="38">
        <f>2284+345+2983</f>
        <v>5612</v>
      </c>
      <c r="BK41" s="49" t="s">
        <v>234</v>
      </c>
      <c r="BL41" s="49">
        <v>2</v>
      </c>
      <c r="BM41" s="38">
        <f>536+336</f>
        <v>872</v>
      </c>
      <c r="BN41" s="49" t="s">
        <v>234</v>
      </c>
      <c r="BO41" s="49">
        <v>1</v>
      </c>
      <c r="BP41" s="224">
        <f>1100+4802</f>
        <v>5902</v>
      </c>
      <c r="BQ41" s="38"/>
      <c r="BR41" s="38"/>
      <c r="BS41" s="38"/>
      <c r="BT41" s="98">
        <f>Tableau1[[#This Row],[NBRE     SIN 2013]]+Tableau1[[#This Row],[NBRE     SIN 2014]]+Tableau1[[#This Row],[NBRE     SIN 2015]]+Tableau1[[#This Row],[NBRE     SIN 2012]]</f>
        <v>7</v>
      </c>
      <c r="BU41" s="96">
        <f>Tableau1[[#This Row],[ Montant SIN 2012]]+Tableau1[[#This Row],[ Montant SIN 2013]]+Tableau1[[#This Row],[ Montant SIN 2014]]+Tableau1[[#This Row],[ Montant SIN 2015]]</f>
        <v>13193</v>
      </c>
      <c r="BV41" s="144">
        <f>((((AV41)*0.86)+(((AV41*3)*0.86)*0.85)))</f>
        <v>17982.169999999998</v>
      </c>
      <c r="BW41" s="74">
        <f>Tableau1[[#This Row],[Sinistres]]/Tableau1[[#This Row],[P  = Prime HT N + (Primes HT N-1/N-2/N-3)*0,85)]]</f>
        <v>0.73367118651419716</v>
      </c>
      <c r="BX41" s="49" t="s">
        <v>456</v>
      </c>
    </row>
    <row r="42" spans="1:76" s="24" customFormat="1" ht="15" x14ac:dyDescent="0.25">
      <c r="A42" s="88" t="s">
        <v>223</v>
      </c>
      <c r="B42" s="100">
        <v>9277</v>
      </c>
      <c r="C42" s="129" t="s">
        <v>359</v>
      </c>
      <c r="D42" s="45" t="s">
        <v>218</v>
      </c>
      <c r="E42" s="81" t="s">
        <v>445</v>
      </c>
      <c r="F42" s="130" t="s">
        <v>446</v>
      </c>
      <c r="G42" s="130"/>
      <c r="H42" s="138">
        <v>75010</v>
      </c>
      <c r="I42" s="83" t="s">
        <v>48</v>
      </c>
      <c r="J42" s="77" t="s">
        <v>358</v>
      </c>
      <c r="K42" s="131">
        <v>2498</v>
      </c>
      <c r="L42" s="131"/>
      <c r="M42" s="131"/>
      <c r="N42" s="102">
        <f>Tableau1[[#This Row],[SURFACE TOTALE (SHOB)]]*Tableau1[[#This Row],[Surface Commerciale]]</f>
        <v>599.52</v>
      </c>
      <c r="O42" s="131"/>
      <c r="P42" s="131"/>
      <c r="Q42" s="131"/>
      <c r="R42" s="39" t="s">
        <v>187</v>
      </c>
      <c r="S42" s="49">
        <v>0.24</v>
      </c>
      <c r="T42" s="139" t="s">
        <v>441</v>
      </c>
      <c r="U42" s="50" t="s">
        <v>246</v>
      </c>
      <c r="V42" s="50">
        <v>6</v>
      </c>
      <c r="W42" s="50">
        <v>1</v>
      </c>
      <c r="X42" s="50">
        <v>6</v>
      </c>
      <c r="Y42" s="137"/>
      <c r="Z42" s="49" t="s">
        <v>227</v>
      </c>
      <c r="AA42" s="130" t="s">
        <v>447</v>
      </c>
      <c r="AB42" s="84" t="s">
        <v>448</v>
      </c>
      <c r="AC42" s="101"/>
      <c r="AD42" s="101"/>
      <c r="AE42" s="130"/>
      <c r="AF42" s="140"/>
      <c r="AG42" s="130">
        <v>4037022404</v>
      </c>
      <c r="AH42" s="133"/>
      <c r="AI42" s="141"/>
      <c r="AJ42" s="134"/>
      <c r="AK42" s="139" t="s">
        <v>150</v>
      </c>
      <c r="AL42" s="61" t="s">
        <v>233</v>
      </c>
      <c r="AM42" s="135">
        <v>42005</v>
      </c>
      <c r="AN42" s="54"/>
      <c r="AO42" s="115" t="s">
        <v>272</v>
      </c>
      <c r="AP42" s="116">
        <v>10188030</v>
      </c>
      <c r="AQ42" s="186">
        <v>42386</v>
      </c>
      <c r="AR42" s="54" t="s">
        <v>450</v>
      </c>
      <c r="AS42" s="130"/>
      <c r="AT42" s="119">
        <v>7647</v>
      </c>
      <c r="AU42" s="45" t="s">
        <v>208</v>
      </c>
      <c r="AV42" s="125">
        <v>7650</v>
      </c>
      <c r="AW42" s="127">
        <f t="shared" si="2"/>
        <v>3.0612489991993597</v>
      </c>
      <c r="AX42" s="127">
        <f>Tableau1[[#This Row],[PRIME MRI ALLIANZ 
ACTUELLE TTC]]/K42</f>
        <v>3.0624499599679744</v>
      </c>
      <c r="AY42" s="142">
        <v>400</v>
      </c>
      <c r="AZ42" s="70">
        <f>SUM(Tableau1[[#This Row],[PRIME MRI ALLIANZ 
ACTUELLE TTC]]+Tableau1[[#This Row],[FG]])</f>
        <v>8050</v>
      </c>
      <c r="BA42" s="49" t="s">
        <v>165</v>
      </c>
      <c r="BB42" s="49"/>
      <c r="BC42" s="49"/>
      <c r="BD42" s="49"/>
      <c r="BE42" s="49" t="s">
        <v>150</v>
      </c>
      <c r="BF42" s="49">
        <v>0</v>
      </c>
      <c r="BG42" s="38">
        <v>0</v>
      </c>
      <c r="BH42" s="49" t="s">
        <v>449</v>
      </c>
      <c r="BI42" s="49">
        <v>2</v>
      </c>
      <c r="BJ42" s="38">
        <f>2454+211</f>
        <v>2665</v>
      </c>
      <c r="BK42" s="49" t="s">
        <v>234</v>
      </c>
      <c r="BL42" s="49">
        <v>3</v>
      </c>
      <c r="BM42" s="38">
        <f>1680+1221+1152</f>
        <v>4053</v>
      </c>
      <c r="BN42" s="49" t="s">
        <v>449</v>
      </c>
      <c r="BO42" s="49">
        <v>2</v>
      </c>
      <c r="BP42" s="224">
        <f>1714+1509</f>
        <v>3223</v>
      </c>
      <c r="BQ42" s="38"/>
      <c r="BR42" s="38"/>
      <c r="BS42" s="38"/>
      <c r="BT42" s="98">
        <f>Tableau1[[#This Row],[NBRE     SIN 2013]]+Tableau1[[#This Row],[NBRE     SIN 2014]]+Tableau1[[#This Row],[NBRE     SIN 2015]]+Tableau1[[#This Row],[NBRE     SIN 2012]]</f>
        <v>7</v>
      </c>
      <c r="BU42" s="143">
        <f>Tableau1[[#This Row],[ Montant SIN 2012]]+Tableau1[[#This Row],[ Montant SIN 2013]]+Tableau1[[#This Row],[ Montant SIN 2014]]+Tableau1[[#This Row],[ Montant SIN 2015]]</f>
        <v>9941</v>
      </c>
      <c r="BV42" s="144">
        <f t="shared" ref="BV42:BV57" si="3">((((AV42)*0.86)+(((AV42*3)*0.86)*0.85)))</f>
        <v>23355.45</v>
      </c>
      <c r="BW42" s="74">
        <f>Tableau1[[#This Row],[Sinistres]]/Tableau1[[#This Row],[P  = Prime HT N + (Primes HT N-1/N-2/N-3)*0,85)]]</f>
        <v>0.42563941178611414</v>
      </c>
      <c r="BX42" s="136"/>
    </row>
    <row r="43" spans="1:76" s="181" customFormat="1" ht="28.5" x14ac:dyDescent="0.25">
      <c r="A43" s="145" t="s">
        <v>223</v>
      </c>
      <c r="B43" s="146">
        <v>9118</v>
      </c>
      <c r="C43" s="147" t="s">
        <v>359</v>
      </c>
      <c r="D43" s="148" t="s">
        <v>218</v>
      </c>
      <c r="E43" s="149" t="s">
        <v>458</v>
      </c>
      <c r="F43" s="149" t="s">
        <v>458</v>
      </c>
      <c r="G43" s="150"/>
      <c r="H43" s="151">
        <v>75011</v>
      </c>
      <c r="I43" s="151" t="s">
        <v>48</v>
      </c>
      <c r="J43" s="152">
        <v>45</v>
      </c>
      <c r="K43" s="153">
        <v>2700</v>
      </c>
      <c r="L43" s="153"/>
      <c r="M43" s="153"/>
      <c r="N43" s="153">
        <f>Tableau1[[#This Row],[SURFACE TOTALE (SHOB)]]*Tableau1[[#This Row],[Surface Commerciale]]</f>
        <v>648</v>
      </c>
      <c r="O43" s="153"/>
      <c r="P43" s="153"/>
      <c r="Q43" s="153"/>
      <c r="R43" s="154" t="s">
        <v>187</v>
      </c>
      <c r="S43" s="155">
        <v>0.24</v>
      </c>
      <c r="T43" s="156" t="s">
        <v>441</v>
      </c>
      <c r="U43" s="157">
        <v>1948</v>
      </c>
      <c r="V43" s="157">
        <v>2</v>
      </c>
      <c r="W43" s="157">
        <v>1</v>
      </c>
      <c r="X43" s="158" t="s">
        <v>404</v>
      </c>
      <c r="Y43" s="159" t="s">
        <v>226</v>
      </c>
      <c r="Z43" s="160" t="s">
        <v>227</v>
      </c>
      <c r="AA43" s="150" t="s">
        <v>247</v>
      </c>
      <c r="AB43" s="150" t="s">
        <v>448</v>
      </c>
      <c r="AC43" s="161"/>
      <c r="AD43" s="150"/>
      <c r="AE43" s="150"/>
      <c r="AF43" s="150"/>
      <c r="AG43" s="150">
        <v>20880032398</v>
      </c>
      <c r="AH43" s="162"/>
      <c r="AI43" s="163"/>
      <c r="AJ43" s="153"/>
      <c r="AK43" s="156" t="s">
        <v>150</v>
      </c>
      <c r="AL43" s="161" t="s">
        <v>233</v>
      </c>
      <c r="AM43" s="164">
        <v>42644</v>
      </c>
      <c r="AN43" s="164"/>
      <c r="AO43" s="115"/>
      <c r="AP43" s="116" t="s">
        <v>481</v>
      </c>
      <c r="AQ43" s="188"/>
      <c r="AR43" s="164"/>
      <c r="AS43" s="165" t="s">
        <v>459</v>
      </c>
      <c r="AT43" s="166">
        <v>8465</v>
      </c>
      <c r="AU43" s="148" t="s">
        <v>208</v>
      </c>
      <c r="AV43" s="167">
        <v>0</v>
      </c>
      <c r="AW43" s="168">
        <f t="shared" si="2"/>
        <v>3.1351851851851853</v>
      </c>
      <c r="AX43" s="168">
        <f>Tableau1[[#This Row],[PRIME MRI ALLIANZ 
ACTUELLE TTC]]/K43</f>
        <v>0</v>
      </c>
      <c r="AY43" s="169">
        <v>0</v>
      </c>
      <c r="AZ43" s="170">
        <f>SUM(Tableau1[[#This Row],[PRIME MRI ALLIANZ 
ACTUELLE TTC]]+Tableau1[[#This Row],[FG]])</f>
        <v>0</v>
      </c>
      <c r="BA43" s="148" t="s">
        <v>165</v>
      </c>
      <c r="BB43" s="148" t="s">
        <v>200</v>
      </c>
      <c r="BC43" s="148" t="s">
        <v>200</v>
      </c>
      <c r="BD43" s="148" t="s">
        <v>200</v>
      </c>
      <c r="BE43" s="171" t="s">
        <v>150</v>
      </c>
      <c r="BF43" s="172">
        <v>0</v>
      </c>
      <c r="BG43" s="173">
        <v>0</v>
      </c>
      <c r="BH43" s="171" t="s">
        <v>234</v>
      </c>
      <c r="BI43" s="172">
        <v>3</v>
      </c>
      <c r="BJ43" s="174">
        <f>946+823+1349</f>
        <v>3118</v>
      </c>
      <c r="BK43" s="171" t="s">
        <v>318</v>
      </c>
      <c r="BL43" s="172">
        <v>1</v>
      </c>
      <c r="BM43" s="174">
        <v>581</v>
      </c>
      <c r="BN43" s="175" t="s">
        <v>150</v>
      </c>
      <c r="BO43" s="176">
        <v>0</v>
      </c>
      <c r="BP43" s="225">
        <v>0</v>
      </c>
      <c r="BQ43" s="176"/>
      <c r="BR43" s="176"/>
      <c r="BS43" s="176"/>
      <c r="BT43" s="177">
        <f>Tableau1[[#This Row],[NBRE     SIN 2013]]+Tableau1[[#This Row],[NBRE     SIN 2014]]+Tableau1[[#This Row],[NBRE     SIN 2015]]+Tableau1[[#This Row],[NBRE     SIN 2012]]</f>
        <v>4</v>
      </c>
      <c r="BU43" s="178">
        <f>Tableau1[[#This Row],[ Montant SIN 2012]]+Tableau1[[#This Row],[ Montant SIN 2013]]+Tableau1[[#This Row],[ Montant SIN 2014]]+Tableau1[[#This Row],[ Montant SIN 2015]]</f>
        <v>3699</v>
      </c>
      <c r="BV43" s="179">
        <f t="shared" si="3"/>
        <v>0</v>
      </c>
      <c r="BW43" s="180" t="e">
        <f>Tableau1[[#This Row],[Sinistres]]/Tableau1[[#This Row],[P  = Prime HT N + (Primes HT N-1/N-2/N-3)*0,85)]]</f>
        <v>#DIV/0!</v>
      </c>
      <c r="BX43" s="172"/>
    </row>
    <row r="44" spans="1:76" s="181" customFormat="1" ht="25.5" x14ac:dyDescent="0.25">
      <c r="A44" s="145" t="s">
        <v>223</v>
      </c>
      <c r="B44" s="146">
        <v>9219</v>
      </c>
      <c r="C44" s="147" t="s">
        <v>359</v>
      </c>
      <c r="D44" s="148" t="s">
        <v>218</v>
      </c>
      <c r="E44" s="149" t="s">
        <v>461</v>
      </c>
      <c r="F44" s="149" t="s">
        <v>462</v>
      </c>
      <c r="G44" s="150"/>
      <c r="H44" s="151">
        <v>75003</v>
      </c>
      <c r="I44" s="151" t="s">
        <v>48</v>
      </c>
      <c r="J44" s="152">
        <v>22</v>
      </c>
      <c r="K44" s="153">
        <v>1500</v>
      </c>
      <c r="L44" s="153"/>
      <c r="M44" s="153"/>
      <c r="N44" s="153">
        <f>Tableau1[[#This Row],[SURFACE TOTALE (SHOB)]]*Tableau1[[#This Row],[Surface Commerciale]]</f>
        <v>360</v>
      </c>
      <c r="O44" s="153"/>
      <c r="P44" s="153"/>
      <c r="Q44" s="153"/>
      <c r="R44" s="154" t="s">
        <v>187</v>
      </c>
      <c r="S44" s="155">
        <v>0.24</v>
      </c>
      <c r="T44" s="156" t="s">
        <v>441</v>
      </c>
      <c r="U44" s="157" t="s">
        <v>246</v>
      </c>
      <c r="V44" s="157">
        <v>2</v>
      </c>
      <c r="W44" s="157">
        <v>1</v>
      </c>
      <c r="X44" s="158">
        <v>5</v>
      </c>
      <c r="Y44" s="159" t="s">
        <v>226</v>
      </c>
      <c r="Z44" s="160" t="s">
        <v>227</v>
      </c>
      <c r="AA44" s="150" t="s">
        <v>247</v>
      </c>
      <c r="AB44" s="150" t="s">
        <v>448</v>
      </c>
      <c r="AC44" s="161"/>
      <c r="AD44" s="150"/>
      <c r="AE44" s="150"/>
      <c r="AF44" s="150"/>
      <c r="AG44" s="150">
        <v>20880038498</v>
      </c>
      <c r="AH44" s="162"/>
      <c r="AI44" s="163"/>
      <c r="AJ44" s="153"/>
      <c r="AK44" s="156" t="s">
        <v>150</v>
      </c>
      <c r="AL44" s="161" t="s">
        <v>233</v>
      </c>
      <c r="AM44" s="164">
        <v>42370</v>
      </c>
      <c r="AN44" s="164"/>
      <c r="AO44" s="115"/>
      <c r="AP44" s="116" t="s">
        <v>488</v>
      </c>
      <c r="AQ44" s="188"/>
      <c r="AR44" s="164"/>
      <c r="AS44" s="165" t="s">
        <v>464</v>
      </c>
      <c r="AT44" s="166">
        <v>11764</v>
      </c>
      <c r="AU44" s="148" t="s">
        <v>208</v>
      </c>
      <c r="AV44" s="167">
        <v>0</v>
      </c>
      <c r="AW44" s="168">
        <f t="shared" si="2"/>
        <v>7.8426666666666662</v>
      </c>
      <c r="AX44" s="168">
        <f>Tableau1[[#This Row],[PRIME MRI ALLIANZ 
ACTUELLE TTC]]/K44</f>
        <v>0</v>
      </c>
      <c r="AY44" s="169">
        <v>0</v>
      </c>
      <c r="AZ44" s="170">
        <f>SUM(Tableau1[[#This Row],[PRIME MRI ALLIANZ 
ACTUELLE TTC]]+Tableau1[[#This Row],[FG]])</f>
        <v>0</v>
      </c>
      <c r="BA44" s="148" t="s">
        <v>165</v>
      </c>
      <c r="BB44" s="148" t="s">
        <v>200</v>
      </c>
      <c r="BC44" s="148" t="s">
        <v>200</v>
      </c>
      <c r="BD44" s="148" t="s">
        <v>200</v>
      </c>
      <c r="BE44" s="171" t="s">
        <v>234</v>
      </c>
      <c r="BF44" s="172">
        <v>5</v>
      </c>
      <c r="BG44" s="173">
        <f>0+0+0+0+450</f>
        <v>450</v>
      </c>
      <c r="BH44" s="171" t="s">
        <v>463</v>
      </c>
      <c r="BI44" s="172">
        <v>4</v>
      </c>
      <c r="BJ44" s="174">
        <f>0+0+205+3662</f>
        <v>3867</v>
      </c>
      <c r="BK44" s="171" t="s">
        <v>234</v>
      </c>
      <c r="BL44" s="172">
        <v>1</v>
      </c>
      <c r="BM44" s="174">
        <v>1383</v>
      </c>
      <c r="BN44" s="175" t="s">
        <v>150</v>
      </c>
      <c r="BO44" s="176">
        <v>0</v>
      </c>
      <c r="BP44" s="225">
        <v>0</v>
      </c>
      <c r="BQ44" s="176"/>
      <c r="BR44" s="176"/>
      <c r="BS44" s="176"/>
      <c r="BT44" s="177">
        <f>Tableau1[[#This Row],[NBRE     SIN 2013]]+Tableau1[[#This Row],[NBRE     SIN 2014]]+Tableau1[[#This Row],[NBRE     SIN 2015]]+Tableau1[[#This Row],[NBRE     SIN 2012]]</f>
        <v>10</v>
      </c>
      <c r="BU44" s="178">
        <f>Tableau1[[#This Row],[ Montant SIN 2012]]+Tableau1[[#This Row],[ Montant SIN 2013]]+Tableau1[[#This Row],[ Montant SIN 2014]]+Tableau1[[#This Row],[ Montant SIN 2015]]</f>
        <v>5700</v>
      </c>
      <c r="BV44" s="179">
        <f t="shared" si="3"/>
        <v>0</v>
      </c>
      <c r="BW44" s="180" t="e">
        <f>Tableau1[[#This Row],[Sinistres]]/Tableau1[[#This Row],[P  = Prime HT N + (Primes HT N-1/N-2/N-3)*0,85)]]</f>
        <v>#DIV/0!</v>
      </c>
      <c r="BX44" s="172"/>
    </row>
    <row r="45" spans="1:76" s="181" customFormat="1" ht="51" x14ac:dyDescent="0.25">
      <c r="A45" s="145" t="s">
        <v>223</v>
      </c>
      <c r="B45" s="146">
        <v>9282</v>
      </c>
      <c r="C45" s="147" t="s">
        <v>359</v>
      </c>
      <c r="D45" s="148" t="s">
        <v>218</v>
      </c>
      <c r="E45" s="149" t="s">
        <v>466</v>
      </c>
      <c r="F45" s="149" t="s">
        <v>467</v>
      </c>
      <c r="G45" s="150"/>
      <c r="H45" s="151">
        <v>75008</v>
      </c>
      <c r="I45" s="151" t="s">
        <v>48</v>
      </c>
      <c r="J45" s="152"/>
      <c r="K45" s="153">
        <v>4850</v>
      </c>
      <c r="L45" s="153"/>
      <c r="M45" s="153"/>
      <c r="N45" s="153">
        <f>Tableau1[[#This Row],[SURFACE TOTALE (SHOB)]]*Tableau1[[#This Row],[Surface Commerciale]]</f>
        <v>1164</v>
      </c>
      <c r="O45" s="153"/>
      <c r="P45" s="153"/>
      <c r="Q45" s="153"/>
      <c r="R45" s="154" t="s">
        <v>187</v>
      </c>
      <c r="S45" s="155">
        <v>0.24</v>
      </c>
      <c r="T45" s="156" t="s">
        <v>441</v>
      </c>
      <c r="U45" s="157">
        <v>1970</v>
      </c>
      <c r="V45" s="157"/>
      <c r="W45" s="157"/>
      <c r="X45" s="158">
        <v>6</v>
      </c>
      <c r="Y45" s="159"/>
      <c r="Z45" s="160" t="s">
        <v>227</v>
      </c>
      <c r="AA45" s="150" t="s">
        <v>468</v>
      </c>
      <c r="AB45" s="150" t="s">
        <v>248</v>
      </c>
      <c r="AC45" s="161"/>
      <c r="AD45" s="150"/>
      <c r="AE45" s="150"/>
      <c r="AF45" s="150"/>
      <c r="AG45" s="150">
        <v>4655254004</v>
      </c>
      <c r="AH45" s="162"/>
      <c r="AI45" s="163"/>
      <c r="AJ45" s="153"/>
      <c r="AK45" s="156" t="s">
        <v>150</v>
      </c>
      <c r="AL45" s="161" t="s">
        <v>233</v>
      </c>
      <c r="AM45" s="164">
        <v>42461</v>
      </c>
      <c r="AN45" s="164"/>
      <c r="AO45" s="115"/>
      <c r="AP45" s="116" t="s">
        <v>488</v>
      </c>
      <c r="AQ45" s="188"/>
      <c r="AR45" s="164"/>
      <c r="AS45" s="165" t="s">
        <v>483</v>
      </c>
      <c r="AT45" s="166">
        <v>7320</v>
      </c>
      <c r="AU45" s="148" t="s">
        <v>208</v>
      </c>
      <c r="AV45" s="167">
        <v>0</v>
      </c>
      <c r="AW45" s="168">
        <f t="shared" si="2"/>
        <v>1.5092783505154639</v>
      </c>
      <c r="AX45" s="168">
        <f>Tableau1[[#This Row],[PRIME MRI ALLIANZ 
ACTUELLE TTC]]/K45</f>
        <v>0</v>
      </c>
      <c r="AY45" s="169">
        <v>0</v>
      </c>
      <c r="AZ45" s="170">
        <f>SUM(Tableau1[[#This Row],[PRIME MRI ALLIANZ 
ACTUELLE TTC]]+Tableau1[[#This Row],[FG]])</f>
        <v>0</v>
      </c>
      <c r="BA45" s="148"/>
      <c r="BB45" s="148"/>
      <c r="BC45" s="148"/>
      <c r="BD45" s="148"/>
      <c r="BE45" s="171" t="s">
        <v>150</v>
      </c>
      <c r="BF45" s="172">
        <v>0</v>
      </c>
      <c r="BG45" s="173">
        <v>0</v>
      </c>
      <c r="BH45" s="171" t="s">
        <v>234</v>
      </c>
      <c r="BI45" s="172">
        <v>2</v>
      </c>
      <c r="BJ45" s="174">
        <f>6023+909</f>
        <v>6932</v>
      </c>
      <c r="BK45" s="171" t="s">
        <v>469</v>
      </c>
      <c r="BL45" s="172">
        <v>3</v>
      </c>
      <c r="BM45" s="174">
        <f>11507+22343+205</f>
        <v>34055</v>
      </c>
      <c r="BN45" s="175" t="s">
        <v>234</v>
      </c>
      <c r="BO45" s="176">
        <v>1</v>
      </c>
      <c r="BP45" s="225">
        <v>1032</v>
      </c>
      <c r="BQ45" s="176"/>
      <c r="BR45" s="176"/>
      <c r="BS45" s="176"/>
      <c r="BT45" s="177">
        <f>Tableau1[[#This Row],[NBRE     SIN 2013]]+Tableau1[[#This Row],[NBRE     SIN 2014]]+Tableau1[[#This Row],[NBRE     SIN 2015]]+Tableau1[[#This Row],[NBRE     SIN 2012]]</f>
        <v>6</v>
      </c>
      <c r="BU45" s="178">
        <f>Tableau1[[#This Row],[ Montant SIN 2012]]+Tableau1[[#This Row],[ Montant SIN 2013]]+Tableau1[[#This Row],[ Montant SIN 2014]]+Tableau1[[#This Row],[ Montant SIN 2015]]</f>
        <v>42019</v>
      </c>
      <c r="BV45" s="179">
        <f t="shared" si="3"/>
        <v>0</v>
      </c>
      <c r="BW45" s="180" t="e">
        <f>Tableau1[[#This Row],[Sinistres]]/Tableau1[[#This Row],[P  = Prime HT N + (Primes HT N-1/N-2/N-3)*0,85)]]</f>
        <v>#DIV/0!</v>
      </c>
      <c r="BX45" s="172" t="s">
        <v>484</v>
      </c>
    </row>
    <row r="46" spans="1:76" s="24" customFormat="1" ht="15" x14ac:dyDescent="0.25">
      <c r="A46" s="88" t="s">
        <v>223</v>
      </c>
      <c r="B46" s="100">
        <v>9177</v>
      </c>
      <c r="C46" s="82" t="s">
        <v>224</v>
      </c>
      <c r="D46" s="45" t="s">
        <v>218</v>
      </c>
      <c r="E46" s="81" t="s">
        <v>416</v>
      </c>
      <c r="F46" s="84" t="s">
        <v>479</v>
      </c>
      <c r="G46" s="183"/>
      <c r="H46" s="184">
        <v>75011</v>
      </c>
      <c r="I46" s="83" t="s">
        <v>48</v>
      </c>
      <c r="J46" s="77">
        <v>30</v>
      </c>
      <c r="K46" s="50">
        <v>1375</v>
      </c>
      <c r="L46" s="50"/>
      <c r="M46" s="50"/>
      <c r="N46" s="102">
        <f>Tableau1[[#This Row],[SURFACE TOTALE (SHOB)]]*Tableau1[[#This Row],[Surface Commerciale]]</f>
        <v>330</v>
      </c>
      <c r="O46" s="50"/>
      <c r="P46" s="50"/>
      <c r="Q46" s="50"/>
      <c r="R46" s="39" t="s">
        <v>187</v>
      </c>
      <c r="S46" s="49">
        <v>0.24</v>
      </c>
      <c r="T46" s="139" t="s">
        <v>441</v>
      </c>
      <c r="U46" s="50" t="s">
        <v>246</v>
      </c>
      <c r="V46" s="50">
        <v>1</v>
      </c>
      <c r="W46" s="50">
        <v>1</v>
      </c>
      <c r="X46" s="50">
        <v>7</v>
      </c>
      <c r="Y46" s="137" t="s">
        <v>226</v>
      </c>
      <c r="Z46" s="49" t="s">
        <v>227</v>
      </c>
      <c r="AA46" s="84" t="s">
        <v>247</v>
      </c>
      <c r="AB46" s="84" t="s">
        <v>248</v>
      </c>
      <c r="AC46" s="101"/>
      <c r="AD46" s="101"/>
      <c r="AE46" s="183"/>
      <c r="AF46" s="140"/>
      <c r="AG46" s="183">
        <v>20880041398</v>
      </c>
      <c r="AH46" s="53"/>
      <c r="AI46" s="141"/>
      <c r="AJ46" s="182"/>
      <c r="AK46" s="139" t="s">
        <v>150</v>
      </c>
      <c r="AL46" s="61" t="s">
        <v>233</v>
      </c>
      <c r="AM46" s="54">
        <v>42552</v>
      </c>
      <c r="AN46" s="54"/>
      <c r="AO46" s="227" t="s">
        <v>272</v>
      </c>
      <c r="AP46" s="228">
        <v>9520043</v>
      </c>
      <c r="AQ46" s="186">
        <v>42552</v>
      </c>
      <c r="AR46" s="54"/>
      <c r="AS46" s="84" t="s">
        <v>507</v>
      </c>
      <c r="AT46" s="119">
        <v>3555</v>
      </c>
      <c r="AU46" s="45" t="s">
        <v>208</v>
      </c>
      <c r="AV46" s="125">
        <v>3055</v>
      </c>
      <c r="AW46" s="127">
        <f t="shared" si="2"/>
        <v>2.5854545454545454</v>
      </c>
      <c r="AX46" s="127">
        <f>Tableau1[[#This Row],[PRIME MRI ALLIANZ 
ACTUELLE TTC]]/K46</f>
        <v>2.2218181818181817</v>
      </c>
      <c r="AY46" s="185">
        <v>100</v>
      </c>
      <c r="AZ46" s="70">
        <f>SUM(Tableau1[[#This Row],[PRIME MRI ALLIANZ 
ACTUELLE TTC]]+Tableau1[[#This Row],[FG]])</f>
        <v>3155</v>
      </c>
      <c r="BA46" s="49" t="s">
        <v>165</v>
      </c>
      <c r="BB46" s="49"/>
      <c r="BC46" s="49"/>
      <c r="BD46" s="49"/>
      <c r="BE46" s="49" t="s">
        <v>150</v>
      </c>
      <c r="BF46" s="49">
        <v>0</v>
      </c>
      <c r="BG46" s="38">
        <v>0</v>
      </c>
      <c r="BH46" s="49" t="s">
        <v>150</v>
      </c>
      <c r="BI46" s="49">
        <v>0</v>
      </c>
      <c r="BJ46" s="38">
        <v>0</v>
      </c>
      <c r="BK46" s="49" t="s">
        <v>470</v>
      </c>
      <c r="BL46" s="49">
        <v>2</v>
      </c>
      <c r="BM46" s="38">
        <f>2193+147</f>
        <v>2340</v>
      </c>
      <c r="BN46" s="49" t="s">
        <v>234</v>
      </c>
      <c r="BO46" s="49"/>
      <c r="BP46" s="224">
        <v>2375</v>
      </c>
      <c r="BQ46" s="38"/>
      <c r="BR46" s="38"/>
      <c r="BS46" s="38"/>
      <c r="BT46" s="177">
        <f>Tableau1[[#This Row],[NBRE     SIN 2013]]+Tableau1[[#This Row],[NBRE     SIN 2014]]+Tableau1[[#This Row],[NBRE     SIN 2015]]+Tableau1[[#This Row],[NBRE     SIN 2012]]</f>
        <v>2</v>
      </c>
      <c r="BU46" s="178">
        <f>Tableau1[[#This Row],[ Montant SIN 2012]]+Tableau1[[#This Row],[ Montant SIN 2013]]+Tableau1[[#This Row],[ Montant SIN 2014]]+Tableau1[[#This Row],[ Montant SIN 2015]]</f>
        <v>4715</v>
      </c>
      <c r="BV46" s="179">
        <f t="shared" si="3"/>
        <v>9326.9150000000009</v>
      </c>
      <c r="BW46" s="180">
        <f>Tableau1[[#This Row],[Sinistres]]/Tableau1[[#This Row],[P  = Prime HT N + (Primes HT N-1/N-2/N-3)*0,85)]]</f>
        <v>0.50552621097115169</v>
      </c>
      <c r="BX46" s="49"/>
    </row>
    <row r="47" spans="1:76" s="181" customFormat="1" ht="28.5" x14ac:dyDescent="0.25">
      <c r="A47" s="145" t="s">
        <v>223</v>
      </c>
      <c r="B47" s="146">
        <v>9158</v>
      </c>
      <c r="C47" s="147" t="s">
        <v>224</v>
      </c>
      <c r="D47" s="148" t="s">
        <v>218</v>
      </c>
      <c r="E47" s="149" t="s">
        <v>471</v>
      </c>
      <c r="F47" s="149" t="s">
        <v>471</v>
      </c>
      <c r="G47" s="150"/>
      <c r="H47" s="151">
        <v>75005</v>
      </c>
      <c r="I47" s="151" t="s">
        <v>48</v>
      </c>
      <c r="J47" s="152"/>
      <c r="K47" s="153">
        <v>2296</v>
      </c>
      <c r="L47" s="153"/>
      <c r="M47" s="153"/>
      <c r="N47" s="153">
        <f>Tableau1[[#This Row],[SURFACE TOTALE (SHOB)]]*Tableau1[[#This Row],[Surface Commerciale]]</f>
        <v>0</v>
      </c>
      <c r="O47" s="153"/>
      <c r="P47" s="153"/>
      <c r="Q47" s="153"/>
      <c r="R47" s="154"/>
      <c r="S47" s="155"/>
      <c r="T47" s="156" t="s">
        <v>472</v>
      </c>
      <c r="U47" s="157" t="s">
        <v>246</v>
      </c>
      <c r="V47" s="157"/>
      <c r="W47" s="157"/>
      <c r="X47" s="158"/>
      <c r="Y47" s="159"/>
      <c r="Z47" s="160"/>
      <c r="AA47" s="150" t="s">
        <v>247</v>
      </c>
      <c r="AB47" s="150" t="s">
        <v>229</v>
      </c>
      <c r="AC47" s="161"/>
      <c r="AD47" s="150"/>
      <c r="AE47" s="150"/>
      <c r="AF47" s="150"/>
      <c r="AG47" s="150" t="s">
        <v>473</v>
      </c>
      <c r="AH47" s="162"/>
      <c r="AI47" s="163"/>
      <c r="AJ47" s="153"/>
      <c r="AK47" s="156" t="s">
        <v>150</v>
      </c>
      <c r="AL47" s="161" t="s">
        <v>233</v>
      </c>
      <c r="AM47" s="164">
        <v>42552</v>
      </c>
      <c r="AN47" s="164"/>
      <c r="AO47" s="115"/>
      <c r="AP47" s="116" t="s">
        <v>508</v>
      </c>
      <c r="AQ47" s="188"/>
      <c r="AR47" s="164"/>
      <c r="AS47" s="165" t="s">
        <v>480</v>
      </c>
      <c r="AT47" s="166">
        <v>6005</v>
      </c>
      <c r="AU47" s="148" t="s">
        <v>208</v>
      </c>
      <c r="AV47" s="167">
        <v>5155</v>
      </c>
      <c r="AW47" s="168">
        <f t="shared" si="2"/>
        <v>2.615418118466899</v>
      </c>
      <c r="AX47" s="168">
        <f>Tableau1[[#This Row],[PRIME MRI ALLIANZ 
ACTUELLE TTC]]/K47</f>
        <v>2.2452090592334493</v>
      </c>
      <c r="AY47" s="169">
        <v>100</v>
      </c>
      <c r="AZ47" s="170">
        <f>SUM(Tableau1[[#This Row],[PRIME MRI ALLIANZ 
ACTUELLE TTC]]+Tableau1[[#This Row],[FG]])</f>
        <v>5255</v>
      </c>
      <c r="BA47" s="148" t="s">
        <v>165</v>
      </c>
      <c r="BB47" s="148"/>
      <c r="BC47" s="148"/>
      <c r="BD47" s="148"/>
      <c r="BE47" s="171" t="s">
        <v>150</v>
      </c>
      <c r="BF47" s="172">
        <v>0</v>
      </c>
      <c r="BG47" s="173">
        <v>0</v>
      </c>
      <c r="BH47" s="171" t="s">
        <v>150</v>
      </c>
      <c r="BI47" s="172">
        <v>0</v>
      </c>
      <c r="BJ47" s="174">
        <v>0</v>
      </c>
      <c r="BK47" s="171" t="s">
        <v>150</v>
      </c>
      <c r="BL47" s="172">
        <v>0</v>
      </c>
      <c r="BM47" s="174">
        <v>0</v>
      </c>
      <c r="BN47" s="175" t="s">
        <v>150</v>
      </c>
      <c r="BO47" s="176">
        <v>0</v>
      </c>
      <c r="BP47" s="225">
        <v>0</v>
      </c>
      <c r="BQ47" s="176"/>
      <c r="BR47" s="176"/>
      <c r="BS47" s="176"/>
      <c r="BT47" s="177">
        <f>Tableau1[[#This Row],[NBRE     SIN 2013]]+Tableau1[[#This Row],[NBRE     SIN 2014]]+Tableau1[[#This Row],[NBRE     SIN 2015]]+Tableau1[[#This Row],[NBRE     SIN 2012]]</f>
        <v>0</v>
      </c>
      <c r="BU47" s="178">
        <f>Tableau1[[#This Row],[ Montant SIN 2012]]+Tableau1[[#This Row],[ Montant SIN 2013]]+Tableau1[[#This Row],[ Montant SIN 2014]]+Tableau1[[#This Row],[ Montant SIN 2015]]</f>
        <v>0</v>
      </c>
      <c r="BV47" s="179">
        <f t="shared" si="3"/>
        <v>15738.215</v>
      </c>
      <c r="BW47" s="180">
        <f>Tableau1[[#This Row],[Sinistres]]/Tableau1[[#This Row],[P  = Prime HT N + (Primes HT N-1/N-2/N-3)*0,85)]]</f>
        <v>0</v>
      </c>
      <c r="BX47" s="172"/>
    </row>
    <row r="48" spans="1:76" s="24" customFormat="1" ht="15" x14ac:dyDescent="0.25">
      <c r="A48" s="88" t="s">
        <v>223</v>
      </c>
      <c r="B48" s="100">
        <v>9103</v>
      </c>
      <c r="C48" s="82" t="s">
        <v>224</v>
      </c>
      <c r="D48" s="45" t="s">
        <v>218</v>
      </c>
      <c r="E48" s="81" t="s">
        <v>283</v>
      </c>
      <c r="F48" s="84" t="s">
        <v>485</v>
      </c>
      <c r="G48" s="183"/>
      <c r="H48" s="184">
        <v>75011</v>
      </c>
      <c r="I48" s="83" t="s">
        <v>48</v>
      </c>
      <c r="J48" s="77">
        <v>23</v>
      </c>
      <c r="K48" s="50">
        <v>1270</v>
      </c>
      <c r="L48" s="50"/>
      <c r="M48" s="50"/>
      <c r="N48" s="102">
        <f>Tableau1[[#This Row],[SURFACE TOTALE (SHOB)]]*Tableau1[[#This Row],[Surface Commerciale]]</f>
        <v>304.8</v>
      </c>
      <c r="O48" s="50"/>
      <c r="P48" s="50"/>
      <c r="Q48" s="50"/>
      <c r="R48" s="39" t="s">
        <v>184</v>
      </c>
      <c r="S48" s="49">
        <v>0.24</v>
      </c>
      <c r="T48" s="139" t="s">
        <v>474</v>
      </c>
      <c r="U48" s="50" t="s">
        <v>246</v>
      </c>
      <c r="V48" s="50"/>
      <c r="W48" s="50"/>
      <c r="X48" s="50"/>
      <c r="Y48" s="137"/>
      <c r="Z48" s="49"/>
      <c r="AA48" s="84" t="s">
        <v>247</v>
      </c>
      <c r="AB48" s="84" t="s">
        <v>229</v>
      </c>
      <c r="AC48" s="101"/>
      <c r="AD48" s="101"/>
      <c r="AE48" s="183"/>
      <c r="AF48" s="140"/>
      <c r="AG48" s="84" t="s">
        <v>475</v>
      </c>
      <c r="AH48" s="53"/>
      <c r="AI48" s="141"/>
      <c r="AJ48" s="182"/>
      <c r="AK48" s="139" t="s">
        <v>150</v>
      </c>
      <c r="AL48" s="61" t="s">
        <v>233</v>
      </c>
      <c r="AM48" s="54">
        <v>42644</v>
      </c>
      <c r="AN48" s="54"/>
      <c r="AO48" s="117" t="s">
        <v>272</v>
      </c>
      <c r="AP48" s="267">
        <v>9518893</v>
      </c>
      <c r="AQ48" s="268">
        <v>42644</v>
      </c>
      <c r="AR48" s="54"/>
      <c r="AS48" s="84" t="s">
        <v>491</v>
      </c>
      <c r="AT48" s="119">
        <v>5533</v>
      </c>
      <c r="AU48" s="45" t="s">
        <v>208</v>
      </c>
      <c r="AV48" s="125">
        <v>4555</v>
      </c>
      <c r="AW48" s="127">
        <f t="shared" si="2"/>
        <v>4.3566929133858272</v>
      </c>
      <c r="AX48" s="127">
        <f>Tableau1[[#This Row],[PRIME MRI ALLIANZ 
ACTUELLE TTC]]/K48</f>
        <v>3.5866141732283463</v>
      </c>
      <c r="AY48" s="185">
        <v>200</v>
      </c>
      <c r="AZ48" s="70">
        <f>SUM(Tableau1[[#This Row],[PRIME MRI ALLIANZ 
ACTUELLE TTC]]+Tableau1[[#This Row],[FG]])</f>
        <v>4755</v>
      </c>
      <c r="BA48" s="49" t="s">
        <v>165</v>
      </c>
      <c r="BB48" s="49"/>
      <c r="BC48" s="49"/>
      <c r="BD48" s="49"/>
      <c r="BE48" s="49" t="s">
        <v>150</v>
      </c>
      <c r="BF48" s="49">
        <v>0</v>
      </c>
      <c r="BG48" s="38">
        <v>0</v>
      </c>
      <c r="BH48" s="49" t="s">
        <v>150</v>
      </c>
      <c r="BI48" s="49">
        <v>0</v>
      </c>
      <c r="BJ48" s="38">
        <v>0</v>
      </c>
      <c r="BK48" s="49" t="s">
        <v>150</v>
      </c>
      <c r="BL48" s="49">
        <v>0</v>
      </c>
      <c r="BM48" s="38">
        <v>0</v>
      </c>
      <c r="BN48" s="49" t="s">
        <v>150</v>
      </c>
      <c r="BO48" s="49">
        <v>0</v>
      </c>
      <c r="BP48" s="224">
        <v>0</v>
      </c>
      <c r="BQ48" s="38"/>
      <c r="BR48" s="38"/>
      <c r="BS48" s="38"/>
      <c r="BT48" s="177">
        <f>Tableau1[[#This Row],[NBRE     SIN 2013]]+Tableau1[[#This Row],[NBRE     SIN 2014]]+Tableau1[[#This Row],[NBRE     SIN 2015]]+Tableau1[[#This Row],[NBRE     SIN 2012]]</f>
        <v>0</v>
      </c>
      <c r="BU48" s="178">
        <f>Tableau1[[#This Row],[ Montant SIN 2012]]+Tableau1[[#This Row],[ Montant SIN 2013]]+Tableau1[[#This Row],[ Montant SIN 2014]]+Tableau1[[#This Row],[ Montant SIN 2015]]</f>
        <v>0</v>
      </c>
      <c r="BV48" s="179">
        <f t="shared" si="3"/>
        <v>13906.414999999999</v>
      </c>
      <c r="BW48" s="180">
        <f>Tableau1[[#This Row],[Sinistres]]/Tableau1[[#This Row],[P  = Prime HT N + (Primes HT N-1/N-2/N-3)*0,85)]]</f>
        <v>0</v>
      </c>
      <c r="BX48" s="49"/>
    </row>
    <row r="49" spans="1:76" s="24" customFormat="1" ht="15" x14ac:dyDescent="0.25">
      <c r="A49" s="88" t="s">
        <v>223</v>
      </c>
      <c r="B49" s="100">
        <v>9132</v>
      </c>
      <c r="C49" s="82" t="s">
        <v>224</v>
      </c>
      <c r="D49" s="45" t="s">
        <v>218</v>
      </c>
      <c r="E49" s="81" t="s">
        <v>476</v>
      </c>
      <c r="F49" s="84" t="s">
        <v>490</v>
      </c>
      <c r="G49" s="183"/>
      <c r="H49" s="184">
        <v>75011</v>
      </c>
      <c r="I49" s="83" t="s">
        <v>48</v>
      </c>
      <c r="J49" s="77"/>
      <c r="K49" s="50">
        <v>1330</v>
      </c>
      <c r="L49" s="50"/>
      <c r="M49" s="50"/>
      <c r="N49" s="102">
        <f>Tableau1[[#This Row],[SURFACE TOTALE (SHOB)]]*Tableau1[[#This Row],[Surface Commerciale]]</f>
        <v>0</v>
      </c>
      <c r="O49" s="50"/>
      <c r="P49" s="50"/>
      <c r="Q49" s="50"/>
      <c r="R49" s="39"/>
      <c r="S49" s="49"/>
      <c r="T49" s="139"/>
      <c r="U49" s="50" t="s">
        <v>246</v>
      </c>
      <c r="V49" s="50"/>
      <c r="W49" s="50"/>
      <c r="X49" s="50"/>
      <c r="Y49" s="137"/>
      <c r="Z49" s="49"/>
      <c r="AA49" s="84" t="s">
        <v>247</v>
      </c>
      <c r="AB49" s="84" t="s">
        <v>229</v>
      </c>
      <c r="AC49" s="101"/>
      <c r="AD49" s="101"/>
      <c r="AE49" s="183"/>
      <c r="AF49" s="140"/>
      <c r="AG49" s="84" t="s">
        <v>477</v>
      </c>
      <c r="AH49" s="53"/>
      <c r="AI49" s="141"/>
      <c r="AJ49" s="182"/>
      <c r="AK49" s="139" t="s">
        <v>150</v>
      </c>
      <c r="AL49" s="61" t="s">
        <v>233</v>
      </c>
      <c r="AM49" s="54">
        <v>42552</v>
      </c>
      <c r="AN49" s="54"/>
      <c r="AO49" s="54"/>
      <c r="AP49" s="54" t="s">
        <v>478</v>
      </c>
      <c r="AQ49" s="54"/>
      <c r="AR49" s="54"/>
      <c r="AS49" s="183"/>
      <c r="AT49" s="119"/>
      <c r="AU49" s="45" t="s">
        <v>208</v>
      </c>
      <c r="AV49" s="125">
        <v>6205</v>
      </c>
      <c r="AW49" s="127">
        <f t="shared" si="2"/>
        <v>0</v>
      </c>
      <c r="AX49" s="127">
        <f>Tableau1[[#This Row],[PRIME MRI ALLIANZ 
ACTUELLE TTC]]/K49</f>
        <v>4.6654135338345863</v>
      </c>
      <c r="AY49" s="185">
        <v>50</v>
      </c>
      <c r="AZ49" s="70">
        <f>SUM(Tableau1[[#This Row],[PRIME MRI ALLIANZ 
ACTUELLE TTC]]+Tableau1[[#This Row],[FG]])</f>
        <v>6255</v>
      </c>
      <c r="BA49" s="49" t="s">
        <v>165</v>
      </c>
      <c r="BB49" s="49"/>
      <c r="BC49" s="49"/>
      <c r="BD49" s="49"/>
      <c r="BE49" s="49"/>
      <c r="BF49" s="49"/>
      <c r="BG49" s="38">
        <v>2399</v>
      </c>
      <c r="BH49" s="49"/>
      <c r="BI49" s="49"/>
      <c r="BJ49" s="38">
        <v>1991</v>
      </c>
      <c r="BK49" s="49"/>
      <c r="BL49" s="49"/>
      <c r="BM49" s="38">
        <v>5256</v>
      </c>
      <c r="BN49" s="49"/>
      <c r="BO49" s="49"/>
      <c r="BP49" s="224">
        <v>1735</v>
      </c>
      <c r="BQ49" s="38"/>
      <c r="BR49" s="38"/>
      <c r="BS49" s="38"/>
      <c r="BT49" s="177">
        <f>Tableau1[[#This Row],[NBRE     SIN 2013]]+Tableau1[[#This Row],[NBRE     SIN 2014]]+Tableau1[[#This Row],[NBRE     SIN 2015]]+Tableau1[[#This Row],[NBRE     SIN 2012]]</f>
        <v>0</v>
      </c>
      <c r="BU49" s="178">
        <f>Tableau1[[#This Row],[ Montant SIN 2012]]+Tableau1[[#This Row],[ Montant SIN 2013]]+Tableau1[[#This Row],[ Montant SIN 2014]]+Tableau1[[#This Row],[ Montant SIN 2015]]</f>
        <v>11381</v>
      </c>
      <c r="BV49" s="179">
        <f t="shared" si="3"/>
        <v>18943.864999999998</v>
      </c>
      <c r="BW49" s="180">
        <f>Tableau1[[#This Row],[Sinistres]]/Tableau1[[#This Row],[P  = Prime HT N + (Primes HT N-1/N-2/N-3)*0,85)]]</f>
        <v>0.60077497385037326</v>
      </c>
      <c r="BX49" s="49"/>
    </row>
    <row r="50" spans="1:76" s="24" customFormat="1" ht="25.5" x14ac:dyDescent="0.25">
      <c r="A50" s="88" t="s">
        <v>223</v>
      </c>
      <c r="B50" s="100">
        <v>9186</v>
      </c>
      <c r="C50" s="82" t="s">
        <v>359</v>
      </c>
      <c r="D50" s="45" t="s">
        <v>218</v>
      </c>
      <c r="E50" s="81" t="s">
        <v>493</v>
      </c>
      <c r="F50" s="84" t="s">
        <v>493</v>
      </c>
      <c r="G50" s="130"/>
      <c r="H50" s="138">
        <v>75011</v>
      </c>
      <c r="I50" s="83" t="s">
        <v>48</v>
      </c>
      <c r="J50" s="77"/>
      <c r="K50" s="131">
        <v>2766</v>
      </c>
      <c r="L50" s="131"/>
      <c r="M50" s="131"/>
      <c r="N50" s="102">
        <f>Tableau1[[#This Row],[SURFACE TOTALE (SHOB)]]*Tableau1[[#This Row],[Surface Commerciale]]</f>
        <v>0</v>
      </c>
      <c r="O50" s="131"/>
      <c r="P50" s="131"/>
      <c r="Q50" s="131"/>
      <c r="R50" s="39"/>
      <c r="S50" s="49"/>
      <c r="T50" s="139"/>
      <c r="U50" s="50" t="s">
        <v>246</v>
      </c>
      <c r="V50" s="50"/>
      <c r="W50" s="50"/>
      <c r="X50" s="50"/>
      <c r="Y50" s="137"/>
      <c r="Z50" s="49"/>
      <c r="AA50" s="84" t="s">
        <v>247</v>
      </c>
      <c r="AB50" s="84" t="s">
        <v>448</v>
      </c>
      <c r="AC50" s="101"/>
      <c r="AD50" s="101"/>
      <c r="AE50" s="130"/>
      <c r="AF50" s="140"/>
      <c r="AG50" s="130">
        <v>20880035698</v>
      </c>
      <c r="AH50" s="133"/>
      <c r="AI50" s="141"/>
      <c r="AJ50" s="134"/>
      <c r="AK50" s="139" t="s">
        <v>494</v>
      </c>
      <c r="AL50" s="61" t="s">
        <v>233</v>
      </c>
      <c r="AM50" s="135">
        <v>42370</v>
      </c>
      <c r="AN50" s="54"/>
      <c r="AO50" s="135"/>
      <c r="AP50" s="54" t="s">
        <v>499</v>
      </c>
      <c r="AQ50" s="135"/>
      <c r="AR50" s="135"/>
      <c r="AS50" s="84" t="s">
        <v>500</v>
      </c>
      <c r="AT50" s="119">
        <v>11080</v>
      </c>
      <c r="AU50" s="45" t="s">
        <v>208</v>
      </c>
      <c r="AV50" s="125">
        <v>8855</v>
      </c>
      <c r="AW50" s="127">
        <f t="shared" si="2"/>
        <v>4.0057845263919019</v>
      </c>
      <c r="AX50" s="127">
        <f>Tableau1[[#This Row],[PRIME MRI ALLIANZ 
ACTUELLE TTC]]/K50</f>
        <v>3.2013738250180768</v>
      </c>
      <c r="AY50" s="142">
        <v>300</v>
      </c>
      <c r="AZ50" s="70">
        <f>SUM(Tableau1[[#This Row],[PRIME MRI ALLIANZ 
ACTUELLE TTC]]+Tableau1[[#This Row],[FG]])</f>
        <v>9155</v>
      </c>
      <c r="BA50" s="49" t="s">
        <v>165</v>
      </c>
      <c r="BB50" s="49" t="s">
        <v>202</v>
      </c>
      <c r="BC50" s="49" t="s">
        <v>200</v>
      </c>
      <c r="BD50" s="49" t="s">
        <v>200</v>
      </c>
      <c r="BE50" s="49"/>
      <c r="BF50" s="49"/>
      <c r="BG50" s="38"/>
      <c r="BH50" s="49" t="s">
        <v>498</v>
      </c>
      <c r="BI50" s="49">
        <v>2</v>
      </c>
      <c r="BJ50" s="38">
        <f>0+0</f>
        <v>0</v>
      </c>
      <c r="BK50" s="49" t="s">
        <v>234</v>
      </c>
      <c r="BL50" s="49">
        <v>1</v>
      </c>
      <c r="BM50" s="38">
        <v>0</v>
      </c>
      <c r="BN50" s="49" t="s">
        <v>234</v>
      </c>
      <c r="BO50" s="49">
        <v>1</v>
      </c>
      <c r="BP50" s="224">
        <v>1600</v>
      </c>
      <c r="BQ50" s="38" t="s">
        <v>150</v>
      </c>
      <c r="BR50" s="38">
        <v>0</v>
      </c>
      <c r="BS50" s="38">
        <v>0</v>
      </c>
      <c r="BT50" s="177">
        <f>Tableau1[[#This Row],[NBRE     SIN 2013]]+Tableau1[[#This Row],[NBRE     SIN 2014]]+Tableau1[[#This Row],[NBRE     SIN 2015]]+Tableau1[[#This Row],[NBRE     SIN 2012]]</f>
        <v>4</v>
      </c>
      <c r="BU50" s="178">
        <f>Tableau1[[#This Row],[ Montant SIN 2012]]+Tableau1[[#This Row],[ Montant SIN 2013]]+Tableau1[[#This Row],[ Montant SIN 2014]]+Tableau1[[#This Row],[ Montant SIN 2015]]</f>
        <v>1600</v>
      </c>
      <c r="BV50" s="179">
        <f t="shared" si="3"/>
        <v>27034.314999999999</v>
      </c>
      <c r="BW50" s="180">
        <f>Tableau1[[#This Row],[Sinistres]]/Tableau1[[#This Row],[P  = Prime HT N + (Primes HT N-1/N-2/N-3)*0,85)]]</f>
        <v>5.9184040727497632E-2</v>
      </c>
      <c r="BX50" s="49"/>
    </row>
    <row r="51" spans="1:76" s="24" customFormat="1" ht="38.25" x14ac:dyDescent="0.25">
      <c r="A51" s="88" t="s">
        <v>223</v>
      </c>
      <c r="B51" s="100">
        <v>9243</v>
      </c>
      <c r="C51" s="82" t="s">
        <v>359</v>
      </c>
      <c r="D51" s="45" t="s">
        <v>218</v>
      </c>
      <c r="E51" s="81" t="s">
        <v>501</v>
      </c>
      <c r="F51" s="84" t="s">
        <v>502</v>
      </c>
      <c r="G51" s="130"/>
      <c r="H51" s="138">
        <v>75011</v>
      </c>
      <c r="I51" s="83" t="s">
        <v>48</v>
      </c>
      <c r="J51" s="77"/>
      <c r="K51" s="131">
        <v>1200</v>
      </c>
      <c r="L51" s="131"/>
      <c r="M51" s="131"/>
      <c r="N51" s="102">
        <f>Tableau1[[#This Row],[SURFACE TOTALE (SHOB)]]*Tableau1[[#This Row],[Surface Commerciale]]</f>
        <v>0</v>
      </c>
      <c r="O51" s="131"/>
      <c r="P51" s="131"/>
      <c r="Q51" s="131"/>
      <c r="R51" s="39" t="s">
        <v>163</v>
      </c>
      <c r="S51" s="49">
        <v>0</v>
      </c>
      <c r="T51" s="139"/>
      <c r="U51" s="50" t="s">
        <v>246</v>
      </c>
      <c r="V51" s="50">
        <v>3</v>
      </c>
      <c r="W51" s="50">
        <v>4</v>
      </c>
      <c r="X51" s="50" t="s">
        <v>503</v>
      </c>
      <c r="Y51" s="137"/>
      <c r="Z51" s="49" t="s">
        <v>504</v>
      </c>
      <c r="AA51" s="84" t="s">
        <v>247</v>
      </c>
      <c r="AB51" s="84" t="s">
        <v>448</v>
      </c>
      <c r="AC51" s="101"/>
      <c r="AD51" s="101"/>
      <c r="AE51" s="130"/>
      <c r="AF51" s="140"/>
      <c r="AG51" s="130">
        <v>20880046898</v>
      </c>
      <c r="AH51" s="133"/>
      <c r="AI51" s="141"/>
      <c r="AJ51" s="134"/>
      <c r="AK51" s="139" t="s">
        <v>150</v>
      </c>
      <c r="AL51" s="61" t="s">
        <v>233</v>
      </c>
      <c r="AM51" s="135">
        <v>42370</v>
      </c>
      <c r="AN51" s="54"/>
      <c r="AO51" s="135"/>
      <c r="AP51" s="54" t="s">
        <v>505</v>
      </c>
      <c r="AQ51" s="135"/>
      <c r="AR51" s="135"/>
      <c r="AS51" s="84" t="s">
        <v>506</v>
      </c>
      <c r="AT51" s="119">
        <v>6586</v>
      </c>
      <c r="AU51" s="45" t="s">
        <v>208</v>
      </c>
      <c r="AV51" s="125">
        <v>4385</v>
      </c>
      <c r="AW51" s="127">
        <f t="shared" si="2"/>
        <v>5.4883333333333333</v>
      </c>
      <c r="AX51" s="127">
        <f>Tableau1[[#This Row],[PRIME MRI ALLIANZ 
ACTUELLE TTC]]/K51</f>
        <v>3.6541666666666668</v>
      </c>
      <c r="AY51" s="142">
        <v>200</v>
      </c>
      <c r="AZ51" s="70">
        <f>SUM(Tableau1[[#This Row],[PRIME MRI ALLIANZ 
ACTUELLE TTC]]+Tableau1[[#This Row],[FG]])</f>
        <v>4585</v>
      </c>
      <c r="BA51" s="49"/>
      <c r="BB51" s="49"/>
      <c r="BC51" s="49"/>
      <c r="BD51" s="49"/>
      <c r="BE51" s="49" t="s">
        <v>150</v>
      </c>
      <c r="BF51" s="49">
        <v>0</v>
      </c>
      <c r="BG51" s="38">
        <v>0</v>
      </c>
      <c r="BH51" s="49" t="s">
        <v>150</v>
      </c>
      <c r="BI51" s="49">
        <v>0</v>
      </c>
      <c r="BJ51" s="38">
        <v>0</v>
      </c>
      <c r="BK51" s="49" t="s">
        <v>234</v>
      </c>
      <c r="BL51" s="49">
        <v>1</v>
      </c>
      <c r="BM51" s="38">
        <v>0</v>
      </c>
      <c r="BN51" s="49" t="s">
        <v>234</v>
      </c>
      <c r="BO51" s="49">
        <v>1</v>
      </c>
      <c r="BP51" s="224">
        <v>0</v>
      </c>
      <c r="BQ51" s="38" t="s">
        <v>150</v>
      </c>
      <c r="BR51" s="38">
        <v>0</v>
      </c>
      <c r="BS51" s="38">
        <v>0</v>
      </c>
      <c r="BT51" s="177">
        <f>Tableau1[[#This Row],[NBRE     SIN 2013]]+Tableau1[[#This Row],[NBRE     SIN 2014]]+Tableau1[[#This Row],[NBRE     SIN 2015]]+Tableau1[[#This Row],[NBRE     SIN 2012]]</f>
        <v>2</v>
      </c>
      <c r="BU51" s="178">
        <f>Tableau1[[#This Row],[ Montant SIN 2012]]+Tableau1[[#This Row],[ Montant SIN 2013]]+Tableau1[[#This Row],[ Montant SIN 2014]]+Tableau1[[#This Row],[ Montant SIN 2015]]</f>
        <v>0</v>
      </c>
      <c r="BV51" s="179">
        <f t="shared" si="3"/>
        <v>13387.404999999999</v>
      </c>
      <c r="BW51" s="180">
        <f>Tableau1[[#This Row],[Sinistres]]/Tableau1[[#This Row],[P  = Prime HT N + (Primes HT N-1/N-2/N-3)*0,85)]]</f>
        <v>0</v>
      </c>
      <c r="BX51" s="136"/>
    </row>
    <row r="52" spans="1:76" s="24" customFormat="1" ht="15" x14ac:dyDescent="0.25">
      <c r="A52" s="88" t="s">
        <v>223</v>
      </c>
      <c r="B52" s="100"/>
      <c r="C52" s="129"/>
      <c r="D52" s="45" t="s">
        <v>218</v>
      </c>
      <c r="E52" s="81"/>
      <c r="F52" s="130"/>
      <c r="G52" s="130"/>
      <c r="H52" s="138"/>
      <c r="I52" s="83" t="s">
        <v>48</v>
      </c>
      <c r="J52" s="77"/>
      <c r="K52" s="131"/>
      <c r="L52" s="131"/>
      <c r="M52" s="131"/>
      <c r="N52" s="132">
        <f>Tableau1[[#This Row],[SURFACE TOTALE (SHOB)]]*Tableau1[[#This Row],[Surface Commerciale]]</f>
        <v>0</v>
      </c>
      <c r="O52" s="131"/>
      <c r="P52" s="131"/>
      <c r="Q52" s="131"/>
      <c r="R52" s="39"/>
      <c r="S52" s="49"/>
      <c r="T52" s="139"/>
      <c r="U52" s="50"/>
      <c r="V52" s="50"/>
      <c r="W52" s="50"/>
      <c r="X52" s="50"/>
      <c r="Y52" s="137"/>
      <c r="Z52" s="49"/>
      <c r="AA52" s="130"/>
      <c r="AB52" s="84"/>
      <c r="AC52" s="101"/>
      <c r="AD52" s="101"/>
      <c r="AE52" s="130"/>
      <c r="AF52" s="140"/>
      <c r="AG52" s="130"/>
      <c r="AH52" s="133"/>
      <c r="AI52" s="141"/>
      <c r="AJ52" s="134"/>
      <c r="AK52" s="139"/>
      <c r="AL52" s="61"/>
      <c r="AM52" s="135"/>
      <c r="AN52" s="54"/>
      <c r="AO52" s="135"/>
      <c r="AP52" s="135"/>
      <c r="AQ52" s="135"/>
      <c r="AR52" s="135"/>
      <c r="AS52" s="130"/>
      <c r="AT52" s="119"/>
      <c r="AU52" s="45" t="s">
        <v>208</v>
      </c>
      <c r="AV52" s="125">
        <f>Tableau1[[#This Row],[DERNIERE PRIME STEIN ANNUELLE TTC]]*0.9</f>
        <v>0</v>
      </c>
      <c r="AW52" s="127" t="e">
        <f t="shared" si="2"/>
        <v>#DIV/0!</v>
      </c>
      <c r="AX52" s="127" t="e">
        <f>Tableau1[[#This Row],[PRIME MRI ALLIANZ 
ACTUELLE TTC]]/K52</f>
        <v>#DIV/0!</v>
      </c>
      <c r="AY52" s="142">
        <v>200</v>
      </c>
      <c r="AZ52" s="70">
        <f>SUM(Tableau1[[#This Row],[PRIME MRI ALLIANZ 
ACTUELLE TTC]]+Tableau1[[#This Row],[FG]])</f>
        <v>200</v>
      </c>
      <c r="BA52" s="49"/>
      <c r="BB52" s="49"/>
      <c r="BC52" s="49"/>
      <c r="BD52" s="49"/>
      <c r="BE52" s="49"/>
      <c r="BF52" s="49"/>
      <c r="BG52" s="38"/>
      <c r="BH52" s="49"/>
      <c r="BI52" s="49"/>
      <c r="BJ52" s="38"/>
      <c r="BK52" s="49"/>
      <c r="BL52" s="49"/>
      <c r="BM52" s="38"/>
      <c r="BN52" s="49"/>
      <c r="BO52" s="49"/>
      <c r="BP52" s="224"/>
      <c r="BQ52" s="38"/>
      <c r="BR52" s="38"/>
      <c r="BS52" s="38"/>
      <c r="BT52" s="177">
        <f>Tableau1[[#This Row],[NBRE     SIN 2013]]+Tableau1[[#This Row],[NBRE     SIN 2014]]+Tableau1[[#This Row],[NBRE     SIN 2015]]+Tableau1[[#This Row],[NBRE     SIN 2012]]</f>
        <v>0</v>
      </c>
      <c r="BU52" s="178">
        <f>Tableau1[[#This Row],[ Montant SIN 2012]]+Tableau1[[#This Row],[ Montant SIN 2013]]+Tableau1[[#This Row],[ Montant SIN 2014]]+Tableau1[[#This Row],[ Montant SIN 2015]]</f>
        <v>0</v>
      </c>
      <c r="BV52" s="179">
        <f t="shared" si="3"/>
        <v>0</v>
      </c>
      <c r="BW52" s="180" t="e">
        <f>Tableau1[[#This Row],[Sinistres]]/Tableau1[[#This Row],[P  = Prime HT N + (Primes HT N-1/N-2/N-3)*0,85)]]</f>
        <v>#DIV/0!</v>
      </c>
      <c r="BX52" s="136"/>
    </row>
    <row r="53" spans="1:76" s="24" customFormat="1" ht="15" x14ac:dyDescent="0.25">
      <c r="A53" s="88" t="s">
        <v>223</v>
      </c>
      <c r="B53" s="100"/>
      <c r="C53" s="129"/>
      <c r="D53" s="45" t="s">
        <v>218</v>
      </c>
      <c r="E53" s="81"/>
      <c r="F53" s="130"/>
      <c r="G53" s="130"/>
      <c r="H53" s="138"/>
      <c r="I53" s="83" t="s">
        <v>48</v>
      </c>
      <c r="J53" s="77"/>
      <c r="K53" s="131"/>
      <c r="L53" s="131"/>
      <c r="M53" s="131"/>
      <c r="N53" s="132">
        <f>Tableau1[[#This Row],[SURFACE TOTALE (SHOB)]]*Tableau1[[#This Row],[Surface Commerciale]]</f>
        <v>0</v>
      </c>
      <c r="O53" s="131"/>
      <c r="P53" s="131"/>
      <c r="Q53" s="131"/>
      <c r="R53" s="39"/>
      <c r="S53" s="49"/>
      <c r="T53" s="139"/>
      <c r="U53" s="50"/>
      <c r="V53" s="50"/>
      <c r="W53" s="50"/>
      <c r="X53" s="50"/>
      <c r="Y53" s="137"/>
      <c r="Z53" s="49"/>
      <c r="AA53" s="130"/>
      <c r="AB53" s="84"/>
      <c r="AC53" s="101"/>
      <c r="AD53" s="101"/>
      <c r="AE53" s="130"/>
      <c r="AF53" s="140"/>
      <c r="AG53" s="130"/>
      <c r="AH53" s="133"/>
      <c r="AI53" s="141"/>
      <c r="AJ53" s="134"/>
      <c r="AK53" s="139"/>
      <c r="AL53" s="61"/>
      <c r="AM53" s="135"/>
      <c r="AN53" s="54"/>
      <c r="AO53" s="135"/>
      <c r="AP53" s="135"/>
      <c r="AQ53" s="135"/>
      <c r="AR53" s="135"/>
      <c r="AS53" s="130"/>
      <c r="AT53" s="119"/>
      <c r="AU53" s="45" t="s">
        <v>208</v>
      </c>
      <c r="AV53" s="125">
        <f>Tableau1[[#This Row],[DERNIERE PRIME STEIN ANNUELLE TTC]]*0.9</f>
        <v>0</v>
      </c>
      <c r="AW53" s="127" t="e">
        <f t="shared" si="2"/>
        <v>#DIV/0!</v>
      </c>
      <c r="AX53" s="127" t="e">
        <f>Tableau1[[#This Row],[PRIME MRI ALLIANZ 
ACTUELLE TTC]]/K53</f>
        <v>#DIV/0!</v>
      </c>
      <c r="AY53" s="142">
        <v>200</v>
      </c>
      <c r="AZ53" s="70">
        <f>SUM(Tableau1[[#This Row],[PRIME MRI ALLIANZ 
ACTUELLE TTC]]+Tableau1[[#This Row],[FG]])</f>
        <v>200</v>
      </c>
      <c r="BA53" s="49"/>
      <c r="BB53" s="49"/>
      <c r="BC53" s="49"/>
      <c r="BD53" s="49"/>
      <c r="BE53" s="49"/>
      <c r="BF53" s="49"/>
      <c r="BG53" s="38"/>
      <c r="BH53" s="49"/>
      <c r="BI53" s="49"/>
      <c r="BJ53" s="38"/>
      <c r="BK53" s="49"/>
      <c r="BL53" s="49"/>
      <c r="BM53" s="38"/>
      <c r="BN53" s="49"/>
      <c r="BO53" s="49"/>
      <c r="BP53" s="224"/>
      <c r="BQ53" s="38"/>
      <c r="BR53" s="38"/>
      <c r="BS53" s="38"/>
      <c r="BT53" s="177">
        <f>Tableau1[[#This Row],[NBRE     SIN 2013]]+Tableau1[[#This Row],[NBRE     SIN 2014]]+Tableau1[[#This Row],[NBRE     SIN 2015]]+Tableau1[[#This Row],[NBRE     SIN 2012]]</f>
        <v>0</v>
      </c>
      <c r="BU53" s="178">
        <f>Tableau1[[#This Row],[ Montant SIN 2012]]+Tableau1[[#This Row],[ Montant SIN 2013]]+Tableau1[[#This Row],[ Montant SIN 2014]]+Tableau1[[#This Row],[ Montant SIN 2015]]</f>
        <v>0</v>
      </c>
      <c r="BV53" s="179">
        <f t="shared" si="3"/>
        <v>0</v>
      </c>
      <c r="BW53" s="180" t="e">
        <f>Tableau1[[#This Row],[Sinistres]]/Tableau1[[#This Row],[P  = Prime HT N + (Primes HT N-1/N-2/N-3)*0,85)]]</f>
        <v>#DIV/0!</v>
      </c>
      <c r="BX53" s="136"/>
    </row>
    <row r="54" spans="1:76" s="24" customFormat="1" ht="15" x14ac:dyDescent="0.25">
      <c r="A54" s="88" t="s">
        <v>223</v>
      </c>
      <c r="B54" s="100"/>
      <c r="C54" s="129"/>
      <c r="D54" s="45" t="s">
        <v>218</v>
      </c>
      <c r="E54" s="81"/>
      <c r="F54" s="130"/>
      <c r="G54" s="130"/>
      <c r="H54" s="138"/>
      <c r="I54" s="83" t="s">
        <v>48</v>
      </c>
      <c r="J54" s="77"/>
      <c r="K54" s="131"/>
      <c r="L54" s="131"/>
      <c r="M54" s="131"/>
      <c r="N54" s="132">
        <f>Tableau1[[#This Row],[SURFACE TOTALE (SHOB)]]*Tableau1[[#This Row],[Surface Commerciale]]</f>
        <v>0</v>
      </c>
      <c r="O54" s="131"/>
      <c r="P54" s="131"/>
      <c r="Q54" s="131"/>
      <c r="R54" s="39"/>
      <c r="S54" s="49"/>
      <c r="T54" s="139"/>
      <c r="U54" s="50"/>
      <c r="V54" s="50"/>
      <c r="W54" s="50"/>
      <c r="X54" s="50"/>
      <c r="Y54" s="137"/>
      <c r="Z54" s="49"/>
      <c r="AA54" s="130"/>
      <c r="AB54" s="84"/>
      <c r="AC54" s="101"/>
      <c r="AD54" s="101"/>
      <c r="AE54" s="130"/>
      <c r="AF54" s="140"/>
      <c r="AG54" s="130"/>
      <c r="AH54" s="133"/>
      <c r="AI54" s="141"/>
      <c r="AJ54" s="134"/>
      <c r="AK54" s="139"/>
      <c r="AL54" s="61"/>
      <c r="AM54" s="135"/>
      <c r="AN54" s="54"/>
      <c r="AO54" s="135"/>
      <c r="AP54" s="135"/>
      <c r="AQ54" s="135"/>
      <c r="AR54" s="135"/>
      <c r="AS54" s="130"/>
      <c r="AT54" s="119"/>
      <c r="AU54" s="45" t="s">
        <v>208</v>
      </c>
      <c r="AV54" s="125">
        <f>Tableau1[[#This Row],[DERNIERE PRIME STEIN ANNUELLE TTC]]*0.9</f>
        <v>0</v>
      </c>
      <c r="AW54" s="127" t="e">
        <f t="shared" si="2"/>
        <v>#DIV/0!</v>
      </c>
      <c r="AX54" s="127" t="e">
        <f>Tableau1[[#This Row],[PRIME MRI ALLIANZ 
ACTUELLE TTC]]/K54</f>
        <v>#DIV/0!</v>
      </c>
      <c r="AY54" s="142">
        <v>200</v>
      </c>
      <c r="AZ54" s="70">
        <f>SUM(Tableau1[[#This Row],[PRIME MRI ALLIANZ 
ACTUELLE TTC]]+Tableau1[[#This Row],[FG]])</f>
        <v>200</v>
      </c>
      <c r="BA54" s="49"/>
      <c r="BB54" s="49"/>
      <c r="BC54" s="49"/>
      <c r="BD54" s="49"/>
      <c r="BE54" s="49"/>
      <c r="BF54" s="49"/>
      <c r="BG54" s="38"/>
      <c r="BH54" s="49"/>
      <c r="BI54" s="49"/>
      <c r="BJ54" s="38"/>
      <c r="BK54" s="49"/>
      <c r="BL54" s="49"/>
      <c r="BM54" s="38"/>
      <c r="BN54" s="49"/>
      <c r="BO54" s="49"/>
      <c r="BP54" s="224"/>
      <c r="BQ54" s="38"/>
      <c r="BR54" s="38"/>
      <c r="BS54" s="38"/>
      <c r="BT54" s="177">
        <f>Tableau1[[#This Row],[NBRE     SIN 2013]]+Tableau1[[#This Row],[NBRE     SIN 2014]]+Tableau1[[#This Row],[NBRE     SIN 2015]]+Tableau1[[#This Row],[NBRE     SIN 2012]]</f>
        <v>0</v>
      </c>
      <c r="BU54" s="178">
        <f>Tableau1[[#This Row],[ Montant SIN 2012]]+Tableau1[[#This Row],[ Montant SIN 2013]]+Tableau1[[#This Row],[ Montant SIN 2014]]+Tableau1[[#This Row],[ Montant SIN 2015]]</f>
        <v>0</v>
      </c>
      <c r="BV54" s="179">
        <f t="shared" si="3"/>
        <v>0</v>
      </c>
      <c r="BW54" s="180" t="e">
        <f>Tableau1[[#This Row],[Sinistres]]/Tableau1[[#This Row],[P  = Prime HT N + (Primes HT N-1/N-2/N-3)*0,85)]]</f>
        <v>#DIV/0!</v>
      </c>
      <c r="BX54" s="136"/>
    </row>
    <row r="55" spans="1:76" s="24" customFormat="1" ht="15" x14ac:dyDescent="0.25">
      <c r="A55" s="88" t="s">
        <v>223</v>
      </c>
      <c r="B55" s="100"/>
      <c r="C55" s="129"/>
      <c r="D55" s="45" t="s">
        <v>218</v>
      </c>
      <c r="E55" s="81"/>
      <c r="F55" s="130"/>
      <c r="G55" s="130"/>
      <c r="H55" s="138"/>
      <c r="I55" s="83" t="s">
        <v>48</v>
      </c>
      <c r="J55" s="77"/>
      <c r="K55" s="131"/>
      <c r="L55" s="131"/>
      <c r="M55" s="131"/>
      <c r="N55" s="132">
        <f>Tableau1[[#This Row],[SURFACE TOTALE (SHOB)]]*Tableau1[[#This Row],[Surface Commerciale]]</f>
        <v>0</v>
      </c>
      <c r="O55" s="131"/>
      <c r="P55" s="131"/>
      <c r="Q55" s="131"/>
      <c r="R55" s="39"/>
      <c r="S55" s="49"/>
      <c r="T55" s="139"/>
      <c r="U55" s="50"/>
      <c r="V55" s="50"/>
      <c r="W55" s="50"/>
      <c r="X55" s="50"/>
      <c r="Y55" s="137"/>
      <c r="Z55" s="49"/>
      <c r="AA55" s="130"/>
      <c r="AB55" s="84"/>
      <c r="AC55" s="101"/>
      <c r="AD55" s="101"/>
      <c r="AE55" s="130"/>
      <c r="AF55" s="140"/>
      <c r="AG55" s="130"/>
      <c r="AH55" s="133"/>
      <c r="AI55" s="141"/>
      <c r="AJ55" s="134"/>
      <c r="AK55" s="139"/>
      <c r="AL55" s="61"/>
      <c r="AM55" s="135"/>
      <c r="AN55" s="54"/>
      <c r="AO55" s="135"/>
      <c r="AP55" s="135"/>
      <c r="AQ55" s="135"/>
      <c r="AR55" s="135"/>
      <c r="AS55" s="130"/>
      <c r="AT55" s="119"/>
      <c r="AU55" s="45" t="s">
        <v>208</v>
      </c>
      <c r="AV55" s="125">
        <f>Tableau1[[#This Row],[DERNIERE PRIME STEIN ANNUELLE TTC]]*0.9</f>
        <v>0</v>
      </c>
      <c r="AW55" s="127" t="e">
        <f t="shared" si="2"/>
        <v>#DIV/0!</v>
      </c>
      <c r="AX55" s="127" t="e">
        <f>Tableau1[[#This Row],[PRIME MRI ALLIANZ 
ACTUELLE TTC]]/K55</f>
        <v>#DIV/0!</v>
      </c>
      <c r="AY55" s="142">
        <v>200</v>
      </c>
      <c r="AZ55" s="70">
        <f>SUM(Tableau1[[#This Row],[PRIME MRI ALLIANZ 
ACTUELLE TTC]]+Tableau1[[#This Row],[FG]])</f>
        <v>200</v>
      </c>
      <c r="BA55" s="49"/>
      <c r="BB55" s="49"/>
      <c r="BC55" s="49"/>
      <c r="BD55" s="49"/>
      <c r="BE55" s="49"/>
      <c r="BF55" s="49"/>
      <c r="BG55" s="38"/>
      <c r="BH55" s="49"/>
      <c r="BI55" s="49"/>
      <c r="BJ55" s="38"/>
      <c r="BK55" s="49"/>
      <c r="BL55" s="49"/>
      <c r="BM55" s="38"/>
      <c r="BN55" s="49"/>
      <c r="BO55" s="49"/>
      <c r="BP55" s="224"/>
      <c r="BQ55" s="38"/>
      <c r="BR55" s="38"/>
      <c r="BS55" s="38"/>
      <c r="BT55" s="177">
        <f>Tableau1[[#This Row],[NBRE     SIN 2013]]+Tableau1[[#This Row],[NBRE     SIN 2014]]+Tableau1[[#This Row],[NBRE     SIN 2015]]+Tableau1[[#This Row],[NBRE     SIN 2012]]</f>
        <v>0</v>
      </c>
      <c r="BU55" s="178">
        <f>Tableau1[[#This Row],[ Montant SIN 2012]]+Tableau1[[#This Row],[ Montant SIN 2013]]+Tableau1[[#This Row],[ Montant SIN 2014]]+Tableau1[[#This Row],[ Montant SIN 2015]]</f>
        <v>0</v>
      </c>
      <c r="BV55" s="179">
        <f t="shared" si="3"/>
        <v>0</v>
      </c>
      <c r="BW55" s="180" t="e">
        <f>Tableau1[[#This Row],[Sinistres]]/Tableau1[[#This Row],[P  = Prime HT N + (Primes HT N-1/N-2/N-3)*0,85)]]</f>
        <v>#DIV/0!</v>
      </c>
      <c r="BX55" s="136"/>
    </row>
    <row r="56" spans="1:76" s="24" customFormat="1" ht="15" x14ac:dyDescent="0.25">
      <c r="A56" s="88" t="s">
        <v>223</v>
      </c>
      <c r="B56" s="100"/>
      <c r="C56" s="129"/>
      <c r="D56" s="45" t="s">
        <v>218</v>
      </c>
      <c r="E56" s="81"/>
      <c r="F56" s="130"/>
      <c r="G56" s="130"/>
      <c r="H56" s="138"/>
      <c r="I56" s="83" t="s">
        <v>48</v>
      </c>
      <c r="J56" s="77"/>
      <c r="K56" s="131"/>
      <c r="L56" s="131"/>
      <c r="M56" s="131"/>
      <c r="N56" s="132">
        <f>Tableau1[[#This Row],[SURFACE TOTALE (SHOB)]]*Tableau1[[#This Row],[Surface Commerciale]]</f>
        <v>0</v>
      </c>
      <c r="O56" s="131"/>
      <c r="P56" s="131"/>
      <c r="Q56" s="131"/>
      <c r="R56" s="39"/>
      <c r="S56" s="49"/>
      <c r="T56" s="139"/>
      <c r="U56" s="50"/>
      <c r="V56" s="50"/>
      <c r="W56" s="50"/>
      <c r="X56" s="50"/>
      <c r="Y56" s="137"/>
      <c r="Z56" s="49"/>
      <c r="AA56" s="130"/>
      <c r="AB56" s="84"/>
      <c r="AC56" s="101"/>
      <c r="AD56" s="101"/>
      <c r="AE56" s="130"/>
      <c r="AF56" s="140"/>
      <c r="AG56" s="130"/>
      <c r="AH56" s="133"/>
      <c r="AI56" s="141"/>
      <c r="AJ56" s="134"/>
      <c r="AK56" s="139"/>
      <c r="AL56" s="61"/>
      <c r="AM56" s="135"/>
      <c r="AN56" s="54"/>
      <c r="AO56" s="135"/>
      <c r="AP56" s="135"/>
      <c r="AQ56" s="135"/>
      <c r="AR56" s="135"/>
      <c r="AS56" s="130"/>
      <c r="AT56" s="119"/>
      <c r="AU56" s="45" t="s">
        <v>208</v>
      </c>
      <c r="AV56" s="125">
        <f>Tableau1[[#This Row],[DERNIERE PRIME STEIN ANNUELLE TTC]]*0.9</f>
        <v>0</v>
      </c>
      <c r="AW56" s="127" t="e">
        <f t="shared" si="2"/>
        <v>#DIV/0!</v>
      </c>
      <c r="AX56" s="127" t="e">
        <f>Tableau1[[#This Row],[PRIME MRI ALLIANZ 
ACTUELLE TTC]]/K56</f>
        <v>#DIV/0!</v>
      </c>
      <c r="AY56" s="142">
        <v>200</v>
      </c>
      <c r="AZ56" s="70">
        <f>SUM(Tableau1[[#This Row],[PRIME MRI ALLIANZ 
ACTUELLE TTC]]+Tableau1[[#This Row],[FG]])</f>
        <v>200</v>
      </c>
      <c r="BA56" s="49"/>
      <c r="BB56" s="49"/>
      <c r="BC56" s="49"/>
      <c r="BD56" s="49"/>
      <c r="BE56" s="49"/>
      <c r="BF56" s="49"/>
      <c r="BG56" s="38"/>
      <c r="BH56" s="49"/>
      <c r="BI56" s="49"/>
      <c r="BJ56" s="38"/>
      <c r="BK56" s="49"/>
      <c r="BL56" s="49"/>
      <c r="BM56" s="38"/>
      <c r="BN56" s="49"/>
      <c r="BO56" s="49"/>
      <c r="BP56" s="224"/>
      <c r="BQ56" s="38"/>
      <c r="BR56" s="38"/>
      <c r="BS56" s="38"/>
      <c r="BT56" s="177">
        <f>Tableau1[[#This Row],[NBRE     SIN 2013]]+Tableau1[[#This Row],[NBRE     SIN 2014]]+Tableau1[[#This Row],[NBRE     SIN 2015]]+Tableau1[[#This Row],[NBRE     SIN 2012]]</f>
        <v>0</v>
      </c>
      <c r="BU56" s="178">
        <f>Tableau1[[#This Row],[ Montant SIN 2012]]+Tableau1[[#This Row],[ Montant SIN 2013]]+Tableau1[[#This Row],[ Montant SIN 2014]]+Tableau1[[#This Row],[ Montant SIN 2015]]</f>
        <v>0</v>
      </c>
      <c r="BV56" s="179">
        <f t="shared" si="3"/>
        <v>0</v>
      </c>
      <c r="BW56" s="180" t="e">
        <f>Tableau1[[#This Row],[Sinistres]]/Tableau1[[#This Row],[P  = Prime HT N + (Primes HT N-1/N-2/N-3)*0,85)]]</f>
        <v>#DIV/0!</v>
      </c>
      <c r="BX56" s="136"/>
    </row>
    <row r="57" spans="1:76" s="24" customFormat="1" ht="15" x14ac:dyDescent="0.25">
      <c r="A57" s="88" t="s">
        <v>223</v>
      </c>
      <c r="B57" s="100"/>
      <c r="C57" s="129"/>
      <c r="D57" s="45" t="s">
        <v>218</v>
      </c>
      <c r="E57" s="81"/>
      <c r="F57" s="130"/>
      <c r="G57" s="130"/>
      <c r="H57" s="138"/>
      <c r="I57" s="83" t="s">
        <v>48</v>
      </c>
      <c r="J57" s="77"/>
      <c r="K57" s="131"/>
      <c r="L57" s="131"/>
      <c r="M57" s="131"/>
      <c r="N57" s="132">
        <f>Tableau1[[#This Row],[SURFACE TOTALE (SHOB)]]*Tableau1[[#This Row],[Surface Commerciale]]</f>
        <v>0</v>
      </c>
      <c r="O57" s="131"/>
      <c r="P57" s="131"/>
      <c r="Q57" s="131"/>
      <c r="R57" s="39"/>
      <c r="S57" s="49"/>
      <c r="T57" s="139"/>
      <c r="U57" s="50"/>
      <c r="V57" s="50"/>
      <c r="W57" s="50"/>
      <c r="X57" s="50"/>
      <c r="Y57" s="137"/>
      <c r="Z57" s="49"/>
      <c r="AA57" s="130"/>
      <c r="AB57" s="84"/>
      <c r="AC57" s="101"/>
      <c r="AD57" s="101"/>
      <c r="AE57" s="130"/>
      <c r="AF57" s="140"/>
      <c r="AG57" s="130"/>
      <c r="AH57" s="133"/>
      <c r="AI57" s="141"/>
      <c r="AJ57" s="134"/>
      <c r="AK57" s="139"/>
      <c r="AL57" s="61"/>
      <c r="AM57" s="135"/>
      <c r="AN57" s="54"/>
      <c r="AO57" s="135"/>
      <c r="AP57" s="135"/>
      <c r="AQ57" s="135"/>
      <c r="AR57" s="135"/>
      <c r="AS57" s="130"/>
      <c r="AT57" s="130"/>
      <c r="AU57" s="45" t="s">
        <v>208</v>
      </c>
      <c r="AV57" s="125">
        <f>Tableau1[[#This Row],[DERNIERE PRIME STEIN ANNUELLE TTC]]*0.9</f>
        <v>0</v>
      </c>
      <c r="AW57" s="127" t="e">
        <f t="shared" si="2"/>
        <v>#DIV/0!</v>
      </c>
      <c r="AX57" s="127" t="e">
        <f>Tableau1[[#This Row],[PRIME MRI ALLIANZ 
ACTUELLE TTC]]/K57</f>
        <v>#DIV/0!</v>
      </c>
      <c r="AY57" s="142"/>
      <c r="AZ57" s="70">
        <f>SUM(Tableau1[[#This Row],[PRIME MRI ALLIANZ 
ACTUELLE TTC]]+Tableau1[[#This Row],[FG]])</f>
        <v>0</v>
      </c>
      <c r="BA57" s="49"/>
      <c r="BB57" s="49"/>
      <c r="BC57" s="49"/>
      <c r="BD57" s="49"/>
      <c r="BE57" s="49"/>
      <c r="BF57" s="49"/>
      <c r="BG57" s="38"/>
      <c r="BH57" s="49"/>
      <c r="BI57" s="49"/>
      <c r="BJ57" s="38"/>
      <c r="BK57" s="49"/>
      <c r="BL57" s="49"/>
      <c r="BM57" s="38"/>
      <c r="BN57" s="49"/>
      <c r="BO57" s="49"/>
      <c r="BP57" s="224"/>
      <c r="BQ57" s="38"/>
      <c r="BR57" s="38"/>
      <c r="BS57" s="38"/>
      <c r="BT57" s="98">
        <f>Tableau1[[#This Row],[NBRE     SIN 2013]]+Tableau1[[#This Row],[NBRE     SIN 2014]]+Tableau1[[#This Row],[NBRE     SIN 2015]]+Tableau1[[#This Row],[NBRE     SIN 2012]]</f>
        <v>0</v>
      </c>
      <c r="BU57" s="143">
        <f>Tableau1[[#This Row],[ Montant SIN 2012]]+Tableau1[[#This Row],[ Montant SIN 2013]]+Tableau1[[#This Row],[ Montant SIN 2014]]+Tableau1[[#This Row],[ Montant SIN 2015]]</f>
        <v>0</v>
      </c>
      <c r="BV57" s="144">
        <f t="shared" si="3"/>
        <v>0</v>
      </c>
      <c r="BW57" s="74" t="e">
        <f>Tableau1[[#This Row],[Sinistres]]/Tableau1[[#This Row],[P  = Prime HT N + (Primes HT N-1/N-2/N-3)*0,85)]]</f>
        <v>#DIV/0!</v>
      </c>
      <c r="BX57" s="136"/>
    </row>
    <row r="58" spans="1:76" ht="15" x14ac:dyDescent="0.25">
      <c r="A58" s="189"/>
      <c r="B58" s="189"/>
      <c r="C58" s="190"/>
      <c r="D58" s="190"/>
      <c r="E58" s="191"/>
      <c r="F58" s="192"/>
      <c r="G58" s="192"/>
      <c r="H58" s="192"/>
      <c r="I58" s="192"/>
      <c r="J58" s="193"/>
      <c r="K58" s="194">
        <f>SUBTOTAL(109,Tableau1[SURFACE TOTALE (SHOB)])</f>
        <v>95697</v>
      </c>
      <c r="L58" s="194"/>
      <c r="M58" s="194"/>
      <c r="N58" s="194"/>
      <c r="O58" s="194"/>
      <c r="P58" s="194"/>
      <c r="Q58" s="194"/>
      <c r="R58" s="195"/>
      <c r="S58" s="195"/>
      <c r="T58" s="196"/>
      <c r="U58" s="196"/>
      <c r="V58" s="196"/>
      <c r="W58" s="196"/>
      <c r="X58" s="197"/>
      <c r="Y58" s="195"/>
      <c r="Z58" s="198"/>
      <c r="AA58" s="199"/>
      <c r="AB58" s="200"/>
      <c r="AC58" s="201"/>
      <c r="AD58" s="202"/>
      <c r="AE58" s="199"/>
      <c r="AF58" s="203"/>
      <c r="AG58" s="199"/>
      <c r="AH58" s="204"/>
      <c r="AI58" s="195"/>
      <c r="AJ58" s="205"/>
      <c r="AK58" s="195"/>
      <c r="AL58" s="206"/>
      <c r="AM58" s="207"/>
      <c r="AN58" s="208"/>
      <c r="AO58" s="208"/>
      <c r="AP58" s="208"/>
      <c r="AQ58" s="208"/>
      <c r="AR58" s="208"/>
      <c r="AS58" s="199"/>
      <c r="AT58" s="209">
        <f>SUBTOTAL(109,Tableau1[DERNIERE PRIME STEIN ANNUELLE TTC])</f>
        <v>292946</v>
      </c>
      <c r="AU58" s="199"/>
      <c r="AV58" s="210">
        <f>SUBTOTAL(109,Tableau1[PRIME MRI ALLIANZ 
ACTUELLE TTC])</f>
        <v>184430</v>
      </c>
      <c r="AW58" s="211">
        <f t="shared" ref="AW58" si="4">SUM(AV58/K58)</f>
        <v>1.9272286487559693</v>
      </c>
      <c r="AX58" s="211">
        <f>Tableau1[[#Totals],[PRIME MRI ALLIANZ 
ACTUELLE TTC]]/Tableau1[[#Totals],[SURFACE TOTALE (SHOB)]]</f>
        <v>1.9272286487559693</v>
      </c>
      <c r="AY58" s="212">
        <f>SUBTOTAL(109,Tableau1[FG])</f>
        <v>9345</v>
      </c>
      <c r="AZ58" s="212">
        <f>SUBTOTAL(109,Tableau1[NOUVELLE Prime STEIN Totale yc fg])</f>
        <v>193795</v>
      </c>
      <c r="BA58" s="195"/>
      <c r="BB58" s="195"/>
      <c r="BC58" s="195"/>
      <c r="BD58" s="195"/>
      <c r="BE58" s="195"/>
      <c r="BF58" s="213">
        <f>SUBTOTAL(109,Tableau1[NBRE     SIN 2012])</f>
        <v>34</v>
      </c>
      <c r="BG58" s="213">
        <f>SUBTOTAL(109,Tableau1[[ Montant SIN 2012]])</f>
        <v>32046.14</v>
      </c>
      <c r="BH58" s="195"/>
      <c r="BI58" s="213">
        <f>SUBTOTAL(109,Tableau1[NBRE     SIN 2013])</f>
        <v>41</v>
      </c>
      <c r="BJ58" s="213">
        <f>SUBTOTAL(109,Tableau1[[ Montant SIN 2013]])</f>
        <v>51809</v>
      </c>
      <c r="BK58" s="195"/>
      <c r="BL58" s="213">
        <f>SUBTOTAL(109,Tableau1[NBRE     SIN 2014])</f>
        <v>52</v>
      </c>
      <c r="BM58" s="213">
        <f>SUBTOTAL(109,Tableau1[[ Montant SIN 2014]])</f>
        <v>82616</v>
      </c>
      <c r="BN58" s="213"/>
      <c r="BO58" s="213">
        <f>SUBTOTAL(109,Tableau1[NBRE     SIN 2015])</f>
        <v>24</v>
      </c>
      <c r="BP58" s="214">
        <f>SUBTOTAL(109,Tableau1[[ Montant SIN 2015]])</f>
        <v>53018.400000000001</v>
      </c>
      <c r="BQ58" s="214"/>
      <c r="BR58" s="214">
        <f>SUBTOTAL(109,Tableau1[NBRE     SIN 2016])</f>
        <v>1</v>
      </c>
      <c r="BS58" s="214">
        <f>SUBTOTAL(109,Tableau1[[ Montant SIN 2016]])</f>
        <v>1800</v>
      </c>
      <c r="BT58" s="215"/>
      <c r="BU58" s="216">
        <f>SUBTOTAL(109,Tableau1[Sinistres])</f>
        <v>220296.53999999998</v>
      </c>
      <c r="BV58" s="217">
        <f>SUBTOTAL(109,Tableau1[P  = Prime HT N + (Primes HT N-1/N-2/N-3)*0,85)])</f>
        <v>563064.78999999992</v>
      </c>
      <c r="BW58" s="218">
        <f>Tableau1[[#Totals],[Sinistres]]/Tableau1[[#Totals],[P  = Prime HT N + (Primes HT N-1/N-2/N-3)*0,85)]]</f>
        <v>0.39124545507453951</v>
      </c>
      <c r="BX58" s="203"/>
    </row>
    <row r="59" spans="1:76" x14ac:dyDescent="0.25">
      <c r="AX59" s="65" t="s">
        <v>4</v>
      </c>
    </row>
  </sheetData>
  <dataConsolidate/>
  <dataValidations count="4">
    <dataValidation type="textLength" operator="lessThanOrEqual" showInputMessage="1" showErrorMessage="1" sqref="E59:F1048576 G21:G40 G2:G18">
      <formula1>32</formula1>
    </dataValidation>
    <dataValidation type="textLength" operator="lessThan" allowBlank="1" showInputMessage="1" showErrorMessage="1" sqref="F19:G20 F21:F40 E19:E40 E2:F18">
      <formula1>32</formula1>
    </dataValidation>
    <dataValidation type="list" allowBlank="1" showInputMessage="1" showErrorMessage="1" sqref="R2:R57">
      <formula1>L_type_de_risque</formula1>
    </dataValidation>
    <dataValidation type="list" allowBlank="1" showInputMessage="1" showErrorMessage="1" sqref="BA2:BA57">
      <formula1>L_TOITURE</formula1>
    </dataValidation>
  </dataValidations>
  <pageMargins left="0.25" right="0.25" top="0.75" bottom="0.75" header="0.3" footer="0.3"/>
  <pageSetup paperSize="8" scale="21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" id="{BE584959-42BE-41BC-9B0F-0530151C1939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BW12:BW14</xm:sqref>
        </x14:conditionalFormatting>
        <x14:conditionalFormatting xmlns:xm="http://schemas.microsoft.com/office/excel/2006/main">
          <x14:cfRule type="iconSet" priority="32" id="{9DD77ADD-4B8F-4B0C-935B-7DDE58CDFD13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BW16</xm:sqref>
        </x14:conditionalFormatting>
        <x14:conditionalFormatting xmlns:xm="http://schemas.microsoft.com/office/excel/2006/main">
          <x14:cfRule type="iconSet" priority="31" id="{AE3D88AA-FC92-487E-8DFB-1D94572B38A1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BW22</xm:sqref>
        </x14:conditionalFormatting>
        <x14:conditionalFormatting xmlns:xm="http://schemas.microsoft.com/office/excel/2006/main">
          <x14:cfRule type="iconSet" priority="30" id="{524F4F3E-F2A3-4D4A-B600-44F9C1E9D863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BW19</xm:sqref>
        </x14:conditionalFormatting>
        <x14:conditionalFormatting xmlns:xm="http://schemas.microsoft.com/office/excel/2006/main">
          <x14:cfRule type="iconSet" priority="29" id="{6EBB24C8-66F6-4B06-8263-FDFB16B4B423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BW18</xm:sqref>
        </x14:conditionalFormatting>
        <x14:conditionalFormatting xmlns:xm="http://schemas.microsoft.com/office/excel/2006/main">
          <x14:cfRule type="iconSet" priority="28" id="{8631769A-CEE6-4DEC-83FC-59FAE4CFFAE5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BW17</xm:sqref>
        </x14:conditionalFormatting>
        <x14:conditionalFormatting xmlns:xm="http://schemas.microsoft.com/office/excel/2006/main">
          <x14:cfRule type="iconSet" priority="27" id="{706B3A65-20D9-425B-9B3D-7A0E65D669FE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BW15</xm:sqref>
        </x14:conditionalFormatting>
        <x14:conditionalFormatting xmlns:xm="http://schemas.microsoft.com/office/excel/2006/main">
          <x14:cfRule type="iconSet" priority="26" id="{C4A689C2-0161-4CB7-A51D-B1D49C665234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BW20</xm:sqref>
        </x14:conditionalFormatting>
        <x14:conditionalFormatting xmlns:xm="http://schemas.microsoft.com/office/excel/2006/main">
          <x14:cfRule type="iconSet" priority="25" id="{B780BD68-A643-4B63-9419-D191E9BA0EA8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BW21</xm:sqref>
        </x14:conditionalFormatting>
        <x14:conditionalFormatting xmlns:xm="http://schemas.microsoft.com/office/excel/2006/main">
          <x14:cfRule type="iconSet" priority="21" id="{0B1F8ACE-0303-4F55-8CAD-60BBA5C6DCC6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BW24 BW27</xm:sqref>
        </x14:conditionalFormatting>
        <x14:conditionalFormatting xmlns:xm="http://schemas.microsoft.com/office/excel/2006/main">
          <x14:cfRule type="iconSet" priority="20" id="{2695D4BF-98D2-4E97-9B29-A9FADB49FA9E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BW29</xm:sqref>
        </x14:conditionalFormatting>
        <x14:conditionalFormatting xmlns:xm="http://schemas.microsoft.com/office/excel/2006/main">
          <x14:cfRule type="iconSet" priority="17" id="{D62A6B4B-3C16-4D7E-A60C-D10E67FF582E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BW41:BW42 BW57</xm:sqref>
        </x14:conditionalFormatting>
        <x14:conditionalFormatting xmlns:xm="http://schemas.microsoft.com/office/excel/2006/main">
          <x14:cfRule type="iconSet" priority="13" id="{359E17FC-C0A7-4346-8662-95E4253FD9C7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BW10</xm:sqref>
        </x14:conditionalFormatting>
        <x14:conditionalFormatting xmlns:xm="http://schemas.microsoft.com/office/excel/2006/main">
          <x14:cfRule type="iconSet" priority="12" id="{D34C7C03-4BAD-4AC9-9F31-610EE7F5280B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BW45:BW46 BW48:BW56</xm:sqref>
        </x14:conditionalFormatting>
        <x14:conditionalFormatting xmlns:xm="http://schemas.microsoft.com/office/excel/2006/main">
          <x14:cfRule type="iconSet" priority="11" id="{002DAEBC-4C57-4413-9F5B-72AFEC53A521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BW43</xm:sqref>
        </x14:conditionalFormatting>
        <x14:conditionalFormatting xmlns:xm="http://schemas.microsoft.com/office/excel/2006/main">
          <x14:cfRule type="iconSet" priority="10" id="{DC161962-EFF2-4524-9556-36421C7FC84F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BW44</xm:sqref>
        </x14:conditionalFormatting>
        <x14:conditionalFormatting xmlns:xm="http://schemas.microsoft.com/office/excel/2006/main">
          <x14:cfRule type="iconSet" priority="9" id="{6A3C4409-132D-41F6-AB6D-7A3C7417EEA0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BW26</xm:sqref>
        </x14:conditionalFormatting>
        <x14:conditionalFormatting xmlns:xm="http://schemas.microsoft.com/office/excel/2006/main">
          <x14:cfRule type="iconSet" priority="7" id="{A33045B7-C60E-4D84-8FA8-8EA6766CB684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BW28</xm:sqref>
        </x14:conditionalFormatting>
        <x14:conditionalFormatting xmlns:xm="http://schemas.microsoft.com/office/excel/2006/main">
          <x14:cfRule type="iconSet" priority="6" id="{4E19A0A0-D583-4776-B14A-5683F42ED1F5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BW32:BW34</xm:sqref>
        </x14:conditionalFormatting>
        <x14:conditionalFormatting xmlns:xm="http://schemas.microsoft.com/office/excel/2006/main">
          <x14:cfRule type="iconSet" priority="5" id="{B9504173-AB11-43F4-B47C-1168D2C6AC2E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BW37</xm:sqref>
        </x14:conditionalFormatting>
        <x14:conditionalFormatting xmlns:xm="http://schemas.microsoft.com/office/excel/2006/main">
          <x14:cfRule type="iconSet" priority="89" id="{3FED47AB-5C76-4B60-8982-0A032BF72C31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BW23 BW2:BW7 BW11 BW30:BW31 BW9 BW35:BW36 BW38:BW40</xm:sqref>
        </x14:conditionalFormatting>
        <x14:conditionalFormatting xmlns:xm="http://schemas.microsoft.com/office/excel/2006/main">
          <x14:cfRule type="iconSet" priority="3" id="{07E34491-D97D-4F2D-9885-BF75C7B107DF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BW25</xm:sqref>
        </x14:conditionalFormatting>
        <x14:conditionalFormatting xmlns:xm="http://schemas.microsoft.com/office/excel/2006/main">
          <x14:cfRule type="iconSet" priority="2" id="{7F93F843-7FE2-459E-8DE3-A1F05A15C605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BW47</xm:sqref>
        </x14:conditionalFormatting>
        <x14:conditionalFormatting xmlns:xm="http://schemas.microsoft.com/office/excel/2006/main">
          <x14:cfRule type="iconSet" priority="1" id="{291398BB-9331-4037-B8E9-46BC0900C056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BW8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TAB!$A$43:$A$46</xm:f>
          </x14:formula1>
          <xm:sqref>AU2:AU7 AU22:AU33</xm:sqref>
        </x14:dataValidation>
        <x14:dataValidation type="list" allowBlank="1" showInputMessage="1" showErrorMessage="1">
          <x14:formula1>
            <xm:f>TAB!$A$48:$A$51</xm:f>
          </x14:formula1>
          <xm:sqref>D2:D7 D22:D33</xm:sqref>
        </x14:dataValidation>
        <x14:dataValidation type="list" allowBlank="1" showInputMessage="1" showErrorMessage="1">
          <x14:formula1>
            <xm:f>[1]TAB!#REF!</xm:f>
          </x14:formula1>
          <xm:sqref>BB38:BD40 D34:D57 AU34:AU57</xm:sqref>
        </x14:dataValidation>
        <x14:dataValidation type="list" allowBlank="1" showInputMessage="1" showErrorMessage="1">
          <x14:formula1>
            <xm:f>TAB!$A$26:$A$27</xm:f>
          </x14:formula1>
          <xm:sqref>BB2:BD37</xm:sqref>
        </x14:dataValidation>
        <x14:dataValidation type="list" allowBlank="1" showInputMessage="1" showErrorMessage="1">
          <x14:formula1>
            <xm:f>[2]TAB!#REF!</xm:f>
          </x14:formula1>
          <xm:sqref>AU8:AU21 D8:D21</xm:sqref>
        </x14:dataValidation>
        <x14:dataValidation type="list" allowBlank="1" showInputMessage="1" showErrorMessage="1">
          <x14:formula1>
            <xm:f>TAB!$B$31:$B$35</xm:f>
          </x14:formula1>
          <xm:sqref>S2:S57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E84"/>
  <sheetViews>
    <sheetView topLeftCell="A25" workbookViewId="0">
      <selection activeCell="B32" sqref="B32"/>
    </sheetView>
  </sheetViews>
  <sheetFormatPr baseColWidth="10" defaultRowHeight="15" x14ac:dyDescent="0.25"/>
  <cols>
    <col min="1" max="1" width="28.42578125" bestFit="1" customWidth="1"/>
    <col min="2" max="2" width="59.42578125" bestFit="1" customWidth="1"/>
    <col min="3" max="3" width="39.7109375" bestFit="1" customWidth="1"/>
    <col min="4" max="4" width="6.85546875" bestFit="1" customWidth="1"/>
  </cols>
  <sheetData>
    <row r="1" spans="1:2" x14ac:dyDescent="0.25">
      <c r="A1" t="s">
        <v>34</v>
      </c>
      <c r="B1" t="s">
        <v>35</v>
      </c>
    </row>
    <row r="3" spans="1:2" x14ac:dyDescent="0.25">
      <c r="A3" t="s">
        <v>49</v>
      </c>
    </row>
    <row r="4" spans="1:2" x14ac:dyDescent="0.25">
      <c r="A4" t="s">
        <v>36</v>
      </c>
    </row>
    <row r="5" spans="1:2" x14ac:dyDescent="0.25">
      <c r="A5" t="s">
        <v>37</v>
      </c>
    </row>
    <row r="6" spans="1:2" x14ac:dyDescent="0.25">
      <c r="A6" t="s">
        <v>38</v>
      </c>
    </row>
    <row r="7" spans="1:2" x14ac:dyDescent="0.25">
      <c r="A7" t="s">
        <v>149</v>
      </c>
    </row>
    <row r="8" spans="1:2" x14ac:dyDescent="0.25">
      <c r="A8" t="s">
        <v>39</v>
      </c>
    </row>
    <row r="9" spans="1:2" x14ac:dyDescent="0.25">
      <c r="A9" t="s">
        <v>25</v>
      </c>
    </row>
    <row r="10" spans="1:2" x14ac:dyDescent="0.25">
      <c r="A10" t="s">
        <v>24</v>
      </c>
    </row>
    <row r="11" spans="1:2" x14ac:dyDescent="0.25">
      <c r="A11" t="s">
        <v>28</v>
      </c>
    </row>
    <row r="13" spans="1:2" x14ac:dyDescent="0.25">
      <c r="A13" t="s">
        <v>164</v>
      </c>
    </row>
    <row r="14" spans="1:2" x14ac:dyDescent="0.25">
      <c r="A14" t="s">
        <v>162</v>
      </c>
      <c r="B14" t="s">
        <v>182</v>
      </c>
    </row>
    <row r="15" spans="1:2" x14ac:dyDescent="0.25">
      <c r="A15" t="s">
        <v>163</v>
      </c>
      <c r="B15" t="s">
        <v>183</v>
      </c>
    </row>
    <row r="16" spans="1:2" x14ac:dyDescent="0.25">
      <c r="A16" t="s">
        <v>27</v>
      </c>
      <c r="B16" t="s">
        <v>27</v>
      </c>
    </row>
    <row r="17" spans="1:2" x14ac:dyDescent="0.25">
      <c r="A17" t="s">
        <v>184</v>
      </c>
      <c r="B17" t="s">
        <v>185</v>
      </c>
    </row>
    <row r="18" spans="1:2" x14ac:dyDescent="0.25">
      <c r="A18" t="s">
        <v>187</v>
      </c>
      <c r="B18" t="s">
        <v>186</v>
      </c>
    </row>
    <row r="19" spans="1:2" x14ac:dyDescent="0.25">
      <c r="A19" t="s">
        <v>26</v>
      </c>
      <c r="B19" t="s">
        <v>26</v>
      </c>
    </row>
    <row r="20" spans="1:2" x14ac:dyDescent="0.25">
      <c r="A20" t="s">
        <v>176</v>
      </c>
      <c r="B20" t="s">
        <v>24</v>
      </c>
    </row>
    <row r="21" spans="1:2" x14ac:dyDescent="0.25">
      <c r="A21" t="s">
        <v>177</v>
      </c>
      <c r="B21" t="s">
        <v>178</v>
      </c>
    </row>
    <row r="22" spans="1:2" x14ac:dyDescent="0.25">
      <c r="A22" t="s">
        <v>179</v>
      </c>
      <c r="B22" t="s">
        <v>28</v>
      </c>
    </row>
    <row r="23" spans="1:2" x14ac:dyDescent="0.25">
      <c r="A23" t="s">
        <v>180</v>
      </c>
      <c r="B23" t="s">
        <v>181</v>
      </c>
    </row>
    <row r="25" spans="1:2" x14ac:dyDescent="0.25">
      <c r="A25" t="s">
        <v>199</v>
      </c>
      <c r="B25" t="s">
        <v>4</v>
      </c>
    </row>
    <row r="26" spans="1:2" x14ac:dyDescent="0.25">
      <c r="A26" t="s">
        <v>200</v>
      </c>
      <c r="B26" t="s">
        <v>201</v>
      </c>
    </row>
    <row r="27" spans="1:2" x14ac:dyDescent="0.25">
      <c r="A27" t="s">
        <v>202</v>
      </c>
      <c r="B27" t="s">
        <v>203</v>
      </c>
    </row>
    <row r="29" spans="1:2" x14ac:dyDescent="0.25">
      <c r="A29" t="s">
        <v>44</v>
      </c>
      <c r="B29" t="s">
        <v>45</v>
      </c>
    </row>
    <row r="30" spans="1:2" x14ac:dyDescent="0.25">
      <c r="A30" t="s">
        <v>49</v>
      </c>
    </row>
    <row r="31" spans="1:2" x14ac:dyDescent="0.25">
      <c r="A31" t="s">
        <v>150</v>
      </c>
      <c r="B31" s="110">
        <v>0</v>
      </c>
    </row>
    <row r="32" spans="1:2" x14ac:dyDescent="0.25">
      <c r="A32" t="s">
        <v>41</v>
      </c>
      <c r="B32" s="110">
        <v>0.24</v>
      </c>
    </row>
    <row r="33" spans="1:2" x14ac:dyDescent="0.25">
      <c r="A33" t="s">
        <v>42</v>
      </c>
      <c r="B33" s="110">
        <v>0.49</v>
      </c>
    </row>
    <row r="34" spans="1:2" x14ac:dyDescent="0.25">
      <c r="A34" t="s">
        <v>43</v>
      </c>
      <c r="B34" s="110">
        <v>0.7</v>
      </c>
    </row>
    <row r="35" spans="1:2" x14ac:dyDescent="0.25">
      <c r="A35" s="1" t="s">
        <v>40</v>
      </c>
      <c r="B35" s="111">
        <v>1</v>
      </c>
    </row>
    <row r="36" spans="1:2" x14ac:dyDescent="0.25">
      <c r="A36" s="1"/>
    </row>
    <row r="37" spans="1:2" x14ac:dyDescent="0.25">
      <c r="A37" s="1" t="s">
        <v>168</v>
      </c>
    </row>
    <row r="38" spans="1:2" x14ac:dyDescent="0.25">
      <c r="A38" s="1" t="s">
        <v>167</v>
      </c>
      <c r="B38" t="s">
        <v>170</v>
      </c>
    </row>
    <row r="39" spans="1:2" x14ac:dyDescent="0.25">
      <c r="A39" s="1" t="s">
        <v>165</v>
      </c>
      <c r="B39" t="s">
        <v>171</v>
      </c>
    </row>
    <row r="40" spans="1:2" x14ac:dyDescent="0.25">
      <c r="A40" s="1" t="s">
        <v>166</v>
      </c>
      <c r="B40" t="s">
        <v>154</v>
      </c>
    </row>
    <row r="41" spans="1:2" x14ac:dyDescent="0.25">
      <c r="A41" s="1" t="s">
        <v>169</v>
      </c>
      <c r="B41" t="s">
        <v>172</v>
      </c>
    </row>
    <row r="42" spans="1:2" x14ac:dyDescent="0.25">
      <c r="A42" s="1"/>
    </row>
    <row r="43" spans="1:2" x14ac:dyDescent="0.25">
      <c r="A43" s="1" t="s">
        <v>206</v>
      </c>
      <c r="B43" t="s">
        <v>207</v>
      </c>
    </row>
    <row r="44" spans="1:2" x14ac:dyDescent="0.25">
      <c r="A44" s="1" t="s">
        <v>208</v>
      </c>
      <c r="B44" t="s">
        <v>210</v>
      </c>
    </row>
    <row r="45" spans="1:2" x14ac:dyDescent="0.25">
      <c r="A45" s="1" t="s">
        <v>209</v>
      </c>
      <c r="B45" t="s">
        <v>211</v>
      </c>
    </row>
    <row r="46" spans="1:2" x14ac:dyDescent="0.25">
      <c r="A46" s="1" t="s">
        <v>212</v>
      </c>
      <c r="B46" t="s">
        <v>213</v>
      </c>
    </row>
    <row r="47" spans="1:2" x14ac:dyDescent="0.25">
      <c r="A47" s="1"/>
    </row>
    <row r="48" spans="1:2" x14ac:dyDescent="0.25">
      <c r="A48" s="1" t="s">
        <v>27</v>
      </c>
    </row>
    <row r="49" spans="1:5" x14ac:dyDescent="0.25">
      <c r="A49" s="1" t="s">
        <v>26</v>
      </c>
    </row>
    <row r="50" spans="1:5" x14ac:dyDescent="0.25">
      <c r="A50" s="1" t="s">
        <v>217</v>
      </c>
    </row>
    <row r="51" spans="1:5" x14ac:dyDescent="0.25">
      <c r="A51" t="s">
        <v>218</v>
      </c>
    </row>
    <row r="53" spans="1:5" x14ac:dyDescent="0.25">
      <c r="A53" t="s">
        <v>1</v>
      </c>
      <c r="B53" t="s">
        <v>46</v>
      </c>
      <c r="C53" t="s">
        <v>6</v>
      </c>
      <c r="D53" t="s">
        <v>47</v>
      </c>
      <c r="E53" t="s">
        <v>2</v>
      </c>
    </row>
    <row r="54" spans="1:5" x14ac:dyDescent="0.25">
      <c r="A54" t="s">
        <v>141</v>
      </c>
      <c r="B54" t="s">
        <v>139</v>
      </c>
      <c r="C54" t="s">
        <v>119</v>
      </c>
      <c r="D54">
        <v>67300</v>
      </c>
      <c r="E54" t="s">
        <v>140</v>
      </c>
    </row>
    <row r="55" spans="1:5" x14ac:dyDescent="0.25">
      <c r="A55" s="2" t="s">
        <v>136</v>
      </c>
      <c r="B55" t="s">
        <v>137</v>
      </c>
      <c r="D55">
        <v>92300</v>
      </c>
      <c r="E55" t="s">
        <v>138</v>
      </c>
    </row>
    <row r="56" spans="1:5" x14ac:dyDescent="0.25">
      <c r="A56" s="2" t="s">
        <v>151</v>
      </c>
    </row>
    <row r="57" spans="1:5" x14ac:dyDescent="0.25">
      <c r="A57" t="s">
        <v>153</v>
      </c>
      <c r="B57" t="s">
        <v>88</v>
      </c>
      <c r="C57" t="s">
        <v>89</v>
      </c>
      <c r="D57">
        <v>92400</v>
      </c>
      <c r="E57" t="s">
        <v>90</v>
      </c>
    </row>
    <row r="58" spans="1:5" x14ac:dyDescent="0.25">
      <c r="A58" t="s">
        <v>144</v>
      </c>
      <c r="B58" t="s">
        <v>117</v>
      </c>
      <c r="D58">
        <v>75008</v>
      </c>
      <c r="E58" t="s">
        <v>84</v>
      </c>
    </row>
    <row r="59" spans="1:5" x14ac:dyDescent="0.25">
      <c r="A59" t="s">
        <v>110</v>
      </c>
      <c r="B59" t="s">
        <v>111</v>
      </c>
      <c r="C59" t="s">
        <v>112</v>
      </c>
      <c r="D59">
        <v>69258</v>
      </c>
      <c r="E59" t="s">
        <v>113</v>
      </c>
    </row>
    <row r="60" spans="1:5" x14ac:dyDescent="0.25">
      <c r="A60" t="s">
        <v>62</v>
      </c>
      <c r="B60" t="s">
        <v>63</v>
      </c>
      <c r="D60">
        <v>75380</v>
      </c>
      <c r="E60" t="s">
        <v>54</v>
      </c>
    </row>
    <row r="61" spans="1:5" x14ac:dyDescent="0.25">
      <c r="A61" t="s">
        <v>50</v>
      </c>
      <c r="B61" t="s">
        <v>91</v>
      </c>
      <c r="D61">
        <v>92270</v>
      </c>
      <c r="E61" t="s">
        <v>51</v>
      </c>
    </row>
    <row r="62" spans="1:5" x14ac:dyDescent="0.25">
      <c r="A62" t="s">
        <v>109</v>
      </c>
      <c r="B62" t="s">
        <v>107</v>
      </c>
      <c r="D62">
        <v>92727</v>
      </c>
      <c r="E62" t="s">
        <v>108</v>
      </c>
    </row>
    <row r="63" spans="1:5" x14ac:dyDescent="0.25">
      <c r="A63" t="s">
        <v>125</v>
      </c>
      <c r="B63" t="s">
        <v>126</v>
      </c>
      <c r="D63">
        <v>69444</v>
      </c>
      <c r="E63" t="s">
        <v>127</v>
      </c>
    </row>
    <row r="64" spans="1:5" x14ac:dyDescent="0.25">
      <c r="A64" t="s">
        <v>73</v>
      </c>
      <c r="B64" t="s">
        <v>74</v>
      </c>
      <c r="D64">
        <v>69002</v>
      </c>
      <c r="E64" t="s">
        <v>75</v>
      </c>
    </row>
    <row r="65" spans="1:5" x14ac:dyDescent="0.25">
      <c r="A65" s="2" t="s">
        <v>133</v>
      </c>
      <c r="B65" s="3"/>
      <c r="C65" s="3"/>
    </row>
    <row r="66" spans="1:5" x14ac:dyDescent="0.25">
      <c r="A66" t="s">
        <v>104</v>
      </c>
      <c r="B66" t="s">
        <v>105</v>
      </c>
      <c r="D66">
        <v>92110</v>
      </c>
      <c r="E66" t="s">
        <v>106</v>
      </c>
    </row>
    <row r="67" spans="1:5" x14ac:dyDescent="0.25">
      <c r="A67" t="s">
        <v>122</v>
      </c>
      <c r="B67" t="s">
        <v>123</v>
      </c>
      <c r="D67">
        <v>72045</v>
      </c>
      <c r="E67" t="s">
        <v>124</v>
      </c>
    </row>
    <row r="68" spans="1:5" x14ac:dyDescent="0.25">
      <c r="A68" t="s">
        <v>52</v>
      </c>
      <c r="B68" t="s">
        <v>53</v>
      </c>
      <c r="D68">
        <v>75383</v>
      </c>
      <c r="E68" t="s">
        <v>54</v>
      </c>
    </row>
    <row r="69" spans="1:5" x14ac:dyDescent="0.25">
      <c r="A69" t="s">
        <v>68</v>
      </c>
      <c r="B69" t="s">
        <v>143</v>
      </c>
      <c r="C69" t="s">
        <v>142</v>
      </c>
      <c r="D69">
        <v>92099</v>
      </c>
      <c r="E69" t="s">
        <v>69</v>
      </c>
    </row>
    <row r="70" spans="1:5" x14ac:dyDescent="0.25">
      <c r="A70" t="s">
        <v>58</v>
      </c>
      <c r="B70" t="s">
        <v>59</v>
      </c>
      <c r="D70" t="s">
        <v>60</v>
      </c>
      <c r="E70" t="s">
        <v>61</v>
      </c>
    </row>
    <row r="71" spans="1:5" x14ac:dyDescent="0.25">
      <c r="A71" t="s">
        <v>76</v>
      </c>
      <c r="B71" t="s">
        <v>77</v>
      </c>
      <c r="D71">
        <v>69251</v>
      </c>
      <c r="E71" t="s">
        <v>78</v>
      </c>
    </row>
    <row r="72" spans="1:5" x14ac:dyDescent="0.25">
      <c r="A72" t="s">
        <v>118</v>
      </c>
      <c r="B72" t="s">
        <v>119</v>
      </c>
      <c r="C72" t="s">
        <v>120</v>
      </c>
      <c r="D72">
        <v>67014</v>
      </c>
      <c r="E72" t="s">
        <v>121</v>
      </c>
    </row>
    <row r="73" spans="1:5" x14ac:dyDescent="0.25">
      <c r="A73" t="s">
        <v>92</v>
      </c>
      <c r="B73" t="s">
        <v>93</v>
      </c>
      <c r="C73" t="s">
        <v>94</v>
      </c>
      <c r="D73">
        <v>39001</v>
      </c>
      <c r="E73" t="s">
        <v>95</v>
      </c>
    </row>
    <row r="74" spans="1:5" x14ac:dyDescent="0.25">
      <c r="A74" t="s">
        <v>96</v>
      </c>
      <c r="B74" t="s">
        <v>97</v>
      </c>
      <c r="C74" t="s">
        <v>98</v>
      </c>
      <c r="D74" s="4" t="s">
        <v>99</v>
      </c>
      <c r="E74" t="s">
        <v>100</v>
      </c>
    </row>
    <row r="75" spans="1:5" x14ac:dyDescent="0.25">
      <c r="A75" t="s">
        <v>128</v>
      </c>
      <c r="B75" t="s">
        <v>129</v>
      </c>
      <c r="D75">
        <v>75002</v>
      </c>
      <c r="E75" t="s">
        <v>48</v>
      </c>
    </row>
    <row r="76" spans="1:5" x14ac:dyDescent="0.25">
      <c r="A76" t="s">
        <v>64</v>
      </c>
      <c r="B76" t="s">
        <v>65</v>
      </c>
      <c r="C76" t="s">
        <v>66</v>
      </c>
      <c r="D76">
        <v>41103</v>
      </c>
      <c r="E76" t="s">
        <v>67</v>
      </c>
    </row>
    <row r="77" spans="1:5" x14ac:dyDescent="0.25">
      <c r="A77" t="s">
        <v>85</v>
      </c>
      <c r="B77" t="s">
        <v>86</v>
      </c>
      <c r="D77">
        <v>79000</v>
      </c>
      <c r="E77" t="s">
        <v>87</v>
      </c>
    </row>
    <row r="78" spans="1:5" x14ac:dyDescent="0.25">
      <c r="A78" t="s">
        <v>70</v>
      </c>
      <c r="B78" t="s">
        <v>71</v>
      </c>
      <c r="D78">
        <v>75480</v>
      </c>
      <c r="E78" t="s">
        <v>72</v>
      </c>
    </row>
    <row r="79" spans="1:5" x14ac:dyDescent="0.25">
      <c r="A79" t="s">
        <v>101</v>
      </c>
      <c r="B79" t="s">
        <v>102</v>
      </c>
      <c r="C79" t="s">
        <v>4</v>
      </c>
      <c r="D79">
        <v>72030</v>
      </c>
      <c r="E79" t="s">
        <v>103</v>
      </c>
    </row>
    <row r="80" spans="1:5" x14ac:dyDescent="0.25">
      <c r="A80" t="s">
        <v>131</v>
      </c>
      <c r="B80" t="s">
        <v>130</v>
      </c>
      <c r="D80">
        <v>86240</v>
      </c>
      <c r="E80" t="s">
        <v>132</v>
      </c>
    </row>
    <row r="81" spans="1:5" x14ac:dyDescent="0.25">
      <c r="A81" t="s">
        <v>55</v>
      </c>
      <c r="B81" t="s">
        <v>56</v>
      </c>
      <c r="D81">
        <v>30934</v>
      </c>
      <c r="E81" t="s">
        <v>57</v>
      </c>
    </row>
    <row r="82" spans="1:5" x14ac:dyDescent="0.25">
      <c r="A82" t="s">
        <v>82</v>
      </c>
      <c r="B82" t="s">
        <v>83</v>
      </c>
      <c r="D82">
        <v>75009</v>
      </c>
      <c r="E82" t="s">
        <v>84</v>
      </c>
    </row>
    <row r="83" spans="1:5" x14ac:dyDescent="0.25">
      <c r="A83" t="s">
        <v>79</v>
      </c>
      <c r="B83" t="s">
        <v>80</v>
      </c>
      <c r="D83">
        <v>92682</v>
      </c>
      <c r="E83" t="s">
        <v>81</v>
      </c>
    </row>
    <row r="84" spans="1:5" x14ac:dyDescent="0.25">
      <c r="A84" t="s">
        <v>114</v>
      </c>
      <c r="B84" t="s">
        <v>115</v>
      </c>
      <c r="D84">
        <v>38330</v>
      </c>
      <c r="E84" t="s">
        <v>116</v>
      </c>
    </row>
  </sheetData>
  <sortState ref="A21:E51">
    <sortCondition ref="A51"/>
  </sortState>
  <hyperlinks>
    <hyperlink ref="B62" r:id="rId1" display="http://maps.google.fr/maps?f=q&amp;hl=fr&amp;geocode=&amp;q=313%20Terrasses%20de%20L%20Arche%20NANTERRE%20CEDEX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>
        <f>7836+(7836*3.6%)</f>
        <v>8118.0960000000005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EDC</vt:lpstr>
      <vt:lpstr>TAB</vt:lpstr>
      <vt:lpstr>Feuil1</vt:lpstr>
      <vt:lpstr>Feuil2</vt:lpstr>
      <vt:lpstr>L_COMPAGNIE</vt:lpstr>
      <vt:lpstr>L_SURF_COM</vt:lpstr>
      <vt:lpstr>L_TOITURE</vt:lpstr>
      <vt:lpstr>L_type_de_risque</vt:lpstr>
      <vt:lpstr>L_USAGE</vt:lpstr>
      <vt:lpstr>SDCH</vt:lpstr>
      <vt:lpstr>TAB_COMPAGNIE</vt:lpstr>
      <vt:lpstr>TAB!TYPEDERISQUE</vt:lpstr>
      <vt:lpstr>EDC!Zone_d_impression</vt:lpstr>
    </vt:vector>
  </TitlesOfParts>
  <Company>Verspieren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MATRICE ETAT DE COPROS MRI</dc:title>
  <dc:creator>DESJARS Marc</dc:creator>
  <cp:lastModifiedBy>Administrateur</cp:lastModifiedBy>
  <cp:lastPrinted>2015-12-21T17:00:21Z</cp:lastPrinted>
  <dcterms:created xsi:type="dcterms:W3CDTF">2012-08-27T13:13:13Z</dcterms:created>
  <dcterms:modified xsi:type="dcterms:W3CDTF">2016-10-04T10:01:17Z</dcterms:modified>
</cp:coreProperties>
</file>