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cmurray90/Documents/Random Data/E Dingle/Income Tax Modelling/"/>
    </mc:Choice>
  </mc:AlternateContent>
  <xr:revisionPtr revIDLastSave="0" documentId="13_ncr:1_{96EFFF35-6E9F-B848-B75F-9597336FA2E5}" xr6:coauthVersionLast="36" xr6:coauthVersionMax="36" xr10:uidLastSave="{00000000-0000-0000-0000-000000000000}"/>
  <bookViews>
    <workbookView xWindow="80" yWindow="500" windowWidth="25440" windowHeight="14040" activeTab="2" xr2:uid="{7DA02614-DDFF-EB4E-BE1A-8AB72F4EF03C}"/>
  </bookViews>
  <sheets>
    <sheet name="Revenue modellng (1% Flat)" sheetId="6" r:id="rId1"/>
    <sheet name="Revenue modellng (1% 200k)" sheetId="7" r:id="rId2"/>
    <sheet name="Revenue modellng (1% 600k)" sheetId="8" r:id="rId3"/>
  </sheets>
  <definedNames>
    <definedName name="s1_" localSheetId="1">'Revenue modellng (1% 200k)'!$D$3</definedName>
    <definedName name="s1_" localSheetId="2">'Revenue modellng (1% 600k)'!$D$3</definedName>
    <definedName name="s1_" localSheetId="0">'Revenue modellng (1% Flat)'!$D$3</definedName>
    <definedName name="s1_">#REF!</definedName>
    <definedName name="s2_" localSheetId="1">'Revenue modellng (1% 200k)'!$D$4</definedName>
    <definedName name="s2_" localSheetId="2">'Revenue modellng (1% 600k)'!$D$4</definedName>
    <definedName name="s2_" localSheetId="0">'Revenue modellng (1% Flat)'!$D$4</definedName>
    <definedName name="s2_">#REF!</definedName>
    <definedName name="s3_" localSheetId="1">'Revenue modellng (1% 200k)'!$D$5</definedName>
    <definedName name="s3_" localSheetId="2">'Revenue modellng (1% 600k)'!$D$5</definedName>
    <definedName name="s3_" localSheetId="0">'Revenue modellng (1% Flat)'!$D$5</definedName>
    <definedName name="s3_">#REF!</definedName>
    <definedName name="s4_" localSheetId="1">'Revenue modellng (1% 200k)'!$D$6</definedName>
    <definedName name="s4_" localSheetId="2">'Revenue modellng (1% 600k)'!$D$6</definedName>
    <definedName name="s4_" localSheetId="0">'Revenue modellng (1% Flat)'!$D$6</definedName>
    <definedName name="s4_">#REF!</definedName>
    <definedName name="s5_" localSheetId="1">'Revenue modellng (1% 200k)'!$D$7</definedName>
    <definedName name="s5_" localSheetId="2">'Revenue modellng (1% 600k)'!$D$7</definedName>
    <definedName name="s5_" localSheetId="0">'Revenue modellng (1% Flat)'!$D$7</definedName>
    <definedName name="s5_">#REF!</definedName>
    <definedName name="s6_" localSheetId="1">'Revenue modellng (1% 200k)'!$D$8</definedName>
    <definedName name="s6_" localSheetId="2">'Revenue modellng (1% 600k)'!$D$8</definedName>
    <definedName name="s6_" localSheetId="0">'Revenue modellng (1% Flat)'!$D$8</definedName>
    <definedName name="s6_">#REF!</definedName>
    <definedName name="s7_" localSheetId="1">'Revenue modellng (1% 200k)'!$D$9</definedName>
    <definedName name="s7_" localSheetId="2">'Revenue modellng (1% 600k)'!$D$9</definedName>
    <definedName name="s7_" localSheetId="0">'Revenue modellng (1% Flat)'!$D$9</definedName>
    <definedName name="s7_">#REF!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8" l="1"/>
  <c r="E45" i="7"/>
  <c r="I21" i="7"/>
  <c r="I21" i="8"/>
  <c r="L45" i="8" l="1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D45" i="8"/>
  <c r="L44" i="8"/>
  <c r="D44" i="8"/>
  <c r="L43" i="8"/>
  <c r="D43" i="8"/>
  <c r="L42" i="8"/>
  <c r="D42" i="8"/>
  <c r="L41" i="8"/>
  <c r="D41" i="8"/>
  <c r="L40" i="8"/>
  <c r="D40" i="8"/>
  <c r="L39" i="8"/>
  <c r="D39" i="8"/>
  <c r="L38" i="8"/>
  <c r="D38" i="8"/>
  <c r="L37" i="8"/>
  <c r="D37" i="8"/>
  <c r="L36" i="8"/>
  <c r="D36" i="8"/>
  <c r="L35" i="8"/>
  <c r="D35" i="8"/>
  <c r="L34" i="8"/>
  <c r="D34" i="8"/>
  <c r="L33" i="8"/>
  <c r="D33" i="8"/>
  <c r="L32" i="8"/>
  <c r="D32" i="8"/>
  <c r="L31" i="8"/>
  <c r="D31" i="8"/>
  <c r="L30" i="8"/>
  <c r="D30" i="8"/>
  <c r="L29" i="8"/>
  <c r="D29" i="8"/>
  <c r="L28" i="8"/>
  <c r="D28" i="8"/>
  <c r="L27" i="8"/>
  <c r="D27" i="8"/>
  <c r="L26" i="8"/>
  <c r="D26" i="8"/>
  <c r="L25" i="8"/>
  <c r="D25" i="8"/>
  <c r="G17" i="8"/>
  <c r="H16" i="8"/>
  <c r="G16" i="8"/>
  <c r="J15" i="8"/>
  <c r="I15" i="8"/>
  <c r="H15" i="8"/>
  <c r="G15" i="8"/>
  <c r="D8" i="8"/>
  <c r="H17" i="8" s="1"/>
  <c r="D45" i="7"/>
  <c r="L44" i="7"/>
  <c r="D44" i="7"/>
  <c r="L43" i="7"/>
  <c r="D43" i="7"/>
  <c r="L42" i="7"/>
  <c r="D42" i="7"/>
  <c r="L41" i="7"/>
  <c r="D41" i="7"/>
  <c r="L40" i="7"/>
  <c r="D40" i="7"/>
  <c r="L39" i="7"/>
  <c r="D39" i="7"/>
  <c r="L38" i="7"/>
  <c r="D38" i="7"/>
  <c r="L37" i="7"/>
  <c r="D37" i="7"/>
  <c r="L36" i="7"/>
  <c r="D36" i="7"/>
  <c r="L35" i="7"/>
  <c r="D35" i="7"/>
  <c r="L34" i="7"/>
  <c r="D34" i="7"/>
  <c r="L33" i="7"/>
  <c r="D33" i="7"/>
  <c r="L32" i="7"/>
  <c r="D32" i="7"/>
  <c r="L31" i="7"/>
  <c r="D31" i="7"/>
  <c r="L30" i="7"/>
  <c r="D30" i="7"/>
  <c r="L29" i="7"/>
  <c r="D29" i="7"/>
  <c r="L28" i="7"/>
  <c r="D28" i="7"/>
  <c r="L27" i="7"/>
  <c r="D27" i="7"/>
  <c r="L26" i="7"/>
  <c r="D26" i="7"/>
  <c r="L25" i="7"/>
  <c r="D25" i="7"/>
  <c r="G17" i="7"/>
  <c r="H16" i="7"/>
  <c r="G16" i="7"/>
  <c r="J15" i="7"/>
  <c r="I15" i="7"/>
  <c r="H15" i="7"/>
  <c r="G15" i="7"/>
  <c r="D8" i="7"/>
  <c r="H17" i="7" s="1"/>
  <c r="E45" i="6"/>
  <c r="L45" i="6" s="1"/>
  <c r="D45" i="6"/>
  <c r="L44" i="6"/>
  <c r="D44" i="6"/>
  <c r="L43" i="6"/>
  <c r="D43" i="6"/>
  <c r="L42" i="6"/>
  <c r="D42" i="6"/>
  <c r="L41" i="6"/>
  <c r="D41" i="6"/>
  <c r="L40" i="6"/>
  <c r="D40" i="6"/>
  <c r="L39" i="6"/>
  <c r="D39" i="6"/>
  <c r="L38" i="6"/>
  <c r="D38" i="6"/>
  <c r="L37" i="6"/>
  <c r="D37" i="6"/>
  <c r="L36" i="6"/>
  <c r="D36" i="6"/>
  <c r="L35" i="6"/>
  <c r="D35" i="6"/>
  <c r="L34" i="6"/>
  <c r="D34" i="6"/>
  <c r="L33" i="6"/>
  <c r="D33" i="6"/>
  <c r="L32" i="6"/>
  <c r="D32" i="6"/>
  <c r="L31" i="6"/>
  <c r="D31" i="6"/>
  <c r="L30" i="6"/>
  <c r="D30" i="6"/>
  <c r="L29" i="6"/>
  <c r="D29" i="6"/>
  <c r="L28" i="6"/>
  <c r="D28" i="6"/>
  <c r="L27" i="6"/>
  <c r="D27" i="6"/>
  <c r="L26" i="6"/>
  <c r="D26" i="6"/>
  <c r="L25" i="6"/>
  <c r="D25" i="6"/>
  <c r="G17" i="6"/>
  <c r="H16" i="6"/>
  <c r="G16" i="6"/>
  <c r="J15" i="6"/>
  <c r="I15" i="6"/>
  <c r="H15" i="6"/>
  <c r="G15" i="6"/>
  <c r="D8" i="6"/>
  <c r="H17" i="6" s="1"/>
  <c r="G42" i="8" l="1"/>
  <c r="G44" i="7"/>
  <c r="G36" i="7"/>
  <c r="G26" i="8"/>
  <c r="G34" i="8"/>
  <c r="G40" i="8"/>
  <c r="G42" i="7"/>
  <c r="H43" i="8"/>
  <c r="G28" i="8"/>
  <c r="G36" i="8"/>
  <c r="G44" i="8"/>
  <c r="G45" i="8"/>
  <c r="G30" i="8"/>
  <c r="G38" i="8"/>
  <c r="G32" i="8"/>
  <c r="G28" i="7"/>
  <c r="H44" i="8"/>
  <c r="H38" i="8"/>
  <c r="H36" i="8"/>
  <c r="H34" i="8"/>
  <c r="H32" i="8"/>
  <c r="H30" i="8"/>
  <c r="H28" i="8"/>
  <c r="H26" i="8"/>
  <c r="H45" i="8"/>
  <c r="H42" i="8"/>
  <c r="H40" i="8"/>
  <c r="I17" i="8"/>
  <c r="G30" i="7"/>
  <c r="G32" i="7"/>
  <c r="G40" i="7"/>
  <c r="G25" i="8"/>
  <c r="G27" i="8"/>
  <c r="G29" i="8"/>
  <c r="G31" i="8"/>
  <c r="G33" i="8"/>
  <c r="G35" i="8"/>
  <c r="G37" i="8"/>
  <c r="G39" i="8"/>
  <c r="G41" i="8"/>
  <c r="G43" i="8"/>
  <c r="I16" i="8"/>
  <c r="G38" i="7"/>
  <c r="J16" i="8"/>
  <c r="G26" i="7"/>
  <c r="G34" i="7"/>
  <c r="H25" i="8"/>
  <c r="H27" i="8"/>
  <c r="H29" i="8"/>
  <c r="H31" i="8"/>
  <c r="H33" i="8"/>
  <c r="H35" i="8"/>
  <c r="H37" i="8"/>
  <c r="H39" i="8"/>
  <c r="H41" i="8"/>
  <c r="H43" i="7"/>
  <c r="H38" i="7"/>
  <c r="H36" i="7"/>
  <c r="H26" i="7"/>
  <c r="H44" i="7"/>
  <c r="H42" i="7"/>
  <c r="H40" i="7"/>
  <c r="H34" i="7"/>
  <c r="H32" i="7"/>
  <c r="H30" i="7"/>
  <c r="H28" i="7"/>
  <c r="I16" i="7"/>
  <c r="G25" i="7"/>
  <c r="G27" i="7"/>
  <c r="G29" i="7"/>
  <c r="G31" i="7"/>
  <c r="G33" i="7"/>
  <c r="G35" i="7"/>
  <c r="G37" i="7"/>
  <c r="G39" i="7"/>
  <c r="G41" i="7"/>
  <c r="G43" i="7"/>
  <c r="I17" i="7"/>
  <c r="J16" i="7"/>
  <c r="G40" i="6"/>
  <c r="H25" i="7"/>
  <c r="H27" i="7"/>
  <c r="H29" i="7"/>
  <c r="H31" i="7"/>
  <c r="H33" i="7"/>
  <c r="H35" i="7"/>
  <c r="H37" i="7"/>
  <c r="H39" i="7"/>
  <c r="H41" i="7"/>
  <c r="G34" i="6"/>
  <c r="G42" i="6"/>
  <c r="G28" i="6"/>
  <c r="G36" i="6"/>
  <c r="G44" i="6"/>
  <c r="G38" i="6"/>
  <c r="G26" i="6"/>
  <c r="G45" i="6"/>
  <c r="G30" i="6"/>
  <c r="G32" i="6"/>
  <c r="H42" i="6"/>
  <c r="H40" i="6"/>
  <c r="H38" i="6"/>
  <c r="H36" i="6"/>
  <c r="H34" i="6"/>
  <c r="H32" i="6"/>
  <c r="H30" i="6"/>
  <c r="H28" i="6"/>
  <c r="H26" i="6"/>
  <c r="H44" i="6"/>
  <c r="H45" i="6"/>
  <c r="H43" i="6"/>
  <c r="I16" i="6"/>
  <c r="I17" i="6"/>
  <c r="J16" i="6"/>
  <c r="G25" i="6"/>
  <c r="G27" i="6"/>
  <c r="G29" i="6"/>
  <c r="G31" i="6"/>
  <c r="G33" i="6"/>
  <c r="G35" i="6"/>
  <c r="G37" i="6"/>
  <c r="G39" i="6"/>
  <c r="G41" i="6"/>
  <c r="G43" i="6"/>
  <c r="H25" i="6"/>
  <c r="H27" i="6"/>
  <c r="H29" i="6"/>
  <c r="H31" i="6"/>
  <c r="H33" i="6"/>
  <c r="H35" i="6"/>
  <c r="H37" i="6"/>
  <c r="H39" i="6"/>
  <c r="H41" i="6"/>
  <c r="G20" i="8" l="1"/>
  <c r="G21" i="8" s="1"/>
  <c r="H20" i="8"/>
  <c r="H21" i="8" s="1"/>
  <c r="I45" i="8"/>
  <c r="I41" i="8"/>
  <c r="I37" i="8"/>
  <c r="I35" i="8"/>
  <c r="I31" i="8"/>
  <c r="I29" i="8"/>
  <c r="I44" i="8"/>
  <c r="I42" i="8"/>
  <c r="I40" i="8"/>
  <c r="I38" i="8"/>
  <c r="I36" i="8"/>
  <c r="I34" i="8"/>
  <c r="I32" i="8"/>
  <c r="I30" i="8"/>
  <c r="I28" i="8"/>
  <c r="I26" i="8"/>
  <c r="I43" i="8"/>
  <c r="I39" i="8"/>
  <c r="I33" i="8"/>
  <c r="I27" i="8"/>
  <c r="I25" i="8"/>
  <c r="J44" i="8"/>
  <c r="J42" i="8"/>
  <c r="J40" i="8"/>
  <c r="J38" i="8"/>
  <c r="J36" i="8"/>
  <c r="J34" i="8"/>
  <c r="J32" i="8"/>
  <c r="J30" i="8"/>
  <c r="J28" i="8"/>
  <c r="J26" i="8"/>
  <c r="J41" i="8"/>
  <c r="J39" i="8"/>
  <c r="J45" i="8"/>
  <c r="J43" i="8"/>
  <c r="J37" i="8"/>
  <c r="J35" i="8"/>
  <c r="J33" i="8"/>
  <c r="J31" i="8"/>
  <c r="J29" i="8"/>
  <c r="J27" i="8"/>
  <c r="J25" i="8"/>
  <c r="J44" i="7"/>
  <c r="J42" i="7"/>
  <c r="J40" i="7"/>
  <c r="J38" i="7"/>
  <c r="J36" i="7"/>
  <c r="J34" i="7"/>
  <c r="J32" i="7"/>
  <c r="J30" i="7"/>
  <c r="J28" i="7"/>
  <c r="J26" i="7"/>
  <c r="J43" i="7"/>
  <c r="J41" i="7"/>
  <c r="J39" i="7"/>
  <c r="J33" i="7"/>
  <c r="J31" i="7"/>
  <c r="J29" i="7"/>
  <c r="J27" i="7"/>
  <c r="J37" i="7"/>
  <c r="J35" i="7"/>
  <c r="J25" i="7"/>
  <c r="I43" i="7"/>
  <c r="I39" i="7"/>
  <c r="I29" i="7"/>
  <c r="I44" i="7"/>
  <c r="I42" i="7"/>
  <c r="I40" i="7"/>
  <c r="I38" i="7"/>
  <c r="I36" i="7"/>
  <c r="I34" i="7"/>
  <c r="I32" i="7"/>
  <c r="I30" i="7"/>
  <c r="I28" i="7"/>
  <c r="I26" i="7"/>
  <c r="I33" i="7"/>
  <c r="I31" i="7"/>
  <c r="I25" i="7"/>
  <c r="I41" i="7"/>
  <c r="I37" i="7"/>
  <c r="I35" i="7"/>
  <c r="I27" i="7"/>
  <c r="J44" i="6"/>
  <c r="J42" i="6"/>
  <c r="J40" i="6"/>
  <c r="J38" i="6"/>
  <c r="J36" i="6"/>
  <c r="J34" i="6"/>
  <c r="J32" i="6"/>
  <c r="J30" i="6"/>
  <c r="J28" i="6"/>
  <c r="J26" i="6"/>
  <c r="J43" i="6"/>
  <c r="J41" i="6"/>
  <c r="J45" i="6"/>
  <c r="J39" i="6"/>
  <c r="J37" i="6"/>
  <c r="J35" i="6"/>
  <c r="J33" i="6"/>
  <c r="J31" i="6"/>
  <c r="J29" i="6"/>
  <c r="J27" i="6"/>
  <c r="J25" i="6"/>
  <c r="G20" i="6"/>
  <c r="G21" i="6" s="1"/>
  <c r="H20" i="6"/>
  <c r="H21" i="6" s="1"/>
  <c r="I27" i="6"/>
  <c r="I25" i="6"/>
  <c r="I44" i="6"/>
  <c r="I42" i="6"/>
  <c r="I40" i="6"/>
  <c r="I38" i="6"/>
  <c r="I36" i="6"/>
  <c r="I34" i="6"/>
  <c r="I32" i="6"/>
  <c r="I30" i="6"/>
  <c r="I28" i="6"/>
  <c r="I26" i="6"/>
  <c r="I45" i="6"/>
  <c r="I43" i="6"/>
  <c r="I41" i="6"/>
  <c r="I39" i="6"/>
  <c r="I37" i="6"/>
  <c r="I35" i="6"/>
  <c r="I33" i="6"/>
  <c r="I31" i="6"/>
  <c r="I29" i="6"/>
  <c r="I20" i="8" l="1"/>
  <c r="G22" i="8"/>
  <c r="J20" i="8"/>
  <c r="J21" i="8" s="1"/>
  <c r="H22" i="8"/>
  <c r="D14" i="8"/>
  <c r="J20" i="6"/>
  <c r="J21" i="6" s="1"/>
  <c r="H22" i="6"/>
  <c r="D14" i="6"/>
  <c r="I20" i="6"/>
  <c r="I21" i="6" s="1"/>
  <c r="G22" i="6"/>
  <c r="J22" i="8" l="1"/>
  <c r="I22" i="8"/>
  <c r="I22" i="6"/>
  <c r="J22" i="6"/>
  <c r="H45" i="7" l="1"/>
  <c r="H20" i="7" s="1"/>
  <c r="G45" i="7"/>
  <c r="G20" i="7" s="1"/>
  <c r="G21" i="7" s="1"/>
  <c r="I45" i="7"/>
  <c r="I20" i="7" s="1"/>
  <c r="I22" i="7" s="1"/>
  <c r="L45" i="7"/>
  <c r="J45" i="7"/>
  <c r="J20" i="7" s="1"/>
  <c r="J21" i="7" s="1"/>
  <c r="H22" i="7" l="1"/>
  <c r="H21" i="7"/>
  <c r="G22" i="7"/>
  <c r="J22" i="7"/>
  <c r="D14" i="7"/>
</calcChain>
</file>

<file path=xl/sharedStrings.xml><?xml version="1.0" encoding="utf-8"?>
<sst xmlns="http://schemas.openxmlformats.org/spreadsheetml/2006/main" count="78" uniqueCount="25">
  <si>
    <t>Percentile</t>
  </si>
  <si>
    <t>Salary</t>
  </si>
  <si>
    <t>Midpoint</t>
  </si>
  <si>
    <t>Basic</t>
  </si>
  <si>
    <t>Higher</t>
  </si>
  <si>
    <t>Phase-out</t>
  </si>
  <si>
    <t>Additional</t>
  </si>
  <si>
    <t>Rate</t>
  </si>
  <si>
    <t>threshlow</t>
  </si>
  <si>
    <t>threshhigh</t>
  </si>
  <si>
    <t>s1</t>
  </si>
  <si>
    <t>s2</t>
  </si>
  <si>
    <t>s3</t>
  </si>
  <si>
    <t>s4</t>
  </si>
  <si>
    <t>s5</t>
  </si>
  <si>
    <t>s6</t>
  </si>
  <si>
    <t>s7</t>
  </si>
  <si>
    <t>cnt_emp_PAYE</t>
  </si>
  <si>
    <t>Popuation</t>
  </si>
  <si>
    <t>bn</t>
  </si>
  <si>
    <t>Revenue_base</t>
  </si>
  <si>
    <t>Revenue_comparison</t>
  </si>
  <si>
    <t>Rev_base</t>
  </si>
  <si>
    <t>Rev_comp</t>
  </si>
  <si>
    <t>Annualised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</si>
</sst>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£&quot;* #,##0.00_);_(&quot;£&quot;* \(#,##0.00\);_(&quot;£&quot;* &quot;-&quot;??_);_(@_)"/>
    <numFmt numFmtId="164" formatCode="_(* #,##0_);_(* \(#,##0\);_(* &quot;-&quot;??_);_(@_)"/>
    <numFmt numFmtId="165" formatCode="&quot;£&quot;#,##0.00"/>
    <numFmt numFmtId="166" formatCode="&quot;£&quot;#,##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0" borderId="2" applyNumberFormat="0" applyFill="0" applyAlignment="0" applyProtection="0"/>
    <xf numFmtId="0" fontId="5" fillId="4" borderId="3" applyNumberFormat="0" applyAlignment="0" applyProtection="0"/>
  </cellStyleXfs>
  <cellXfs count="18">
    <xf numFmtId="0" fontId="0" fillId="0" borderId="0" xfId="0"/>
    <xf numFmtId="166" fontId="0" fillId="0" borderId="0" xfId="1" applyNumberFormat="1" applyFont="1"/>
    <xf numFmtId="9" fontId="6" fillId="0" borderId="0" xfId="2" applyFont="1"/>
    <xf numFmtId="9" fontId="4" fillId="0" borderId="2" xfId="5" applyNumberFormat="1"/>
    <xf numFmtId="166" fontId="4" fillId="0" borderId="2" xfId="5" applyNumberFormat="1"/>
    <xf numFmtId="0" fontId="2" fillId="2" borderId="1" xfId="3"/>
    <xf numFmtId="3" fontId="2" fillId="2" borderId="1" xfId="3" applyNumberFormat="1"/>
    <xf numFmtId="166" fontId="2" fillId="2" borderId="1" xfId="3" applyNumberFormat="1"/>
    <xf numFmtId="164" fontId="3" fillId="3" borderId="1" xfId="4" applyNumberFormat="1"/>
    <xf numFmtId="166" fontId="3" fillId="3" borderId="1" xfId="4" applyNumberFormat="1"/>
    <xf numFmtId="9" fontId="4" fillId="0" borderId="2" xfId="2" applyFont="1" applyBorder="1"/>
    <xf numFmtId="166" fontId="5" fillId="4" borderId="3" xfId="6" applyNumberFormat="1"/>
    <xf numFmtId="9" fontId="2" fillId="2" borderId="1" xfId="2" applyFont="1" applyFill="1" applyBorder="1"/>
    <xf numFmtId="166" fontId="0" fillId="0" borderId="0" xfId="0" applyNumberFormat="1"/>
    <xf numFmtId="165" fontId="0" fillId="0" borderId="0" xfId="0" applyNumberFormat="1"/>
    <xf numFmtId="165" fontId="2" fillId="2" borderId="1" xfId="3" applyNumberFormat="1"/>
    <xf numFmtId="165" fontId="3" fillId="3" borderId="1" xfId="4" applyNumberFormat="1"/>
    <xf numFmtId="166" fontId="4" fillId="0" borderId="2" xfId="5" applyNumberFormat="1" applyFill="1"/>
  </cellXfs>
  <cellStyles count="7">
    <cellStyle name="Calculation" xfId="4" builtinId="22"/>
    <cellStyle name="Check Cell" xfId="6" builtinId="23"/>
    <cellStyle name="Currency" xfId="1" builtinId="4"/>
    <cellStyle name="Input" xfId="3" builtinId="20"/>
    <cellStyle name="Linked Cell" xfId="5" builtinId="2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5D59-6510-C647-93A8-D7E9BA6D2749}">
  <dimension ref="C3:N47"/>
  <sheetViews>
    <sheetView workbookViewId="0">
      <selection activeCell="D10" sqref="D10"/>
    </sheetView>
  </sheetViews>
  <sheetFormatPr baseColWidth="10" defaultRowHeight="16" x14ac:dyDescent="0.2"/>
  <cols>
    <col min="1" max="2" width="1.83203125" customWidth="1"/>
    <col min="4" max="4" width="15.83203125" bestFit="1" customWidth="1"/>
    <col min="5" max="5" width="12.83203125" bestFit="1" customWidth="1"/>
    <col min="6" max="6" width="14" bestFit="1" customWidth="1"/>
    <col min="7" max="7" width="15.83203125" bestFit="1" customWidth="1"/>
    <col min="8" max="10" width="14.83203125" bestFit="1" customWidth="1"/>
    <col min="11" max="11" width="15.83203125" bestFit="1" customWidth="1"/>
    <col min="14" max="14" width="11.33203125" bestFit="1" customWidth="1"/>
  </cols>
  <sheetData>
    <row r="3" spans="3:11" x14ac:dyDescent="0.2">
      <c r="C3" t="s">
        <v>10</v>
      </c>
      <c r="D3" s="7">
        <v>12570</v>
      </c>
    </row>
    <row r="4" spans="3:11" x14ac:dyDescent="0.2">
      <c r="C4" t="s">
        <v>11</v>
      </c>
      <c r="D4" s="12">
        <v>0.2</v>
      </c>
    </row>
    <row r="5" spans="3:11" x14ac:dyDescent="0.2">
      <c r="C5" t="s">
        <v>12</v>
      </c>
      <c r="D5" s="7">
        <v>50270</v>
      </c>
    </row>
    <row r="6" spans="3:11" x14ac:dyDescent="0.2">
      <c r="C6" t="s">
        <v>13</v>
      </c>
      <c r="D6" s="12">
        <v>0.4</v>
      </c>
    </row>
    <row r="7" spans="3:11" x14ac:dyDescent="0.2">
      <c r="C7" t="s">
        <v>14</v>
      </c>
      <c r="D7" s="5" t="b">
        <v>1</v>
      </c>
    </row>
    <row r="8" spans="3:11" x14ac:dyDescent="0.2">
      <c r="C8" t="s">
        <v>15</v>
      </c>
      <c r="D8" s="7">
        <f>100000+2*D3*D7</f>
        <v>125140</v>
      </c>
    </row>
    <row r="9" spans="3:11" x14ac:dyDescent="0.2">
      <c r="C9" t="s">
        <v>16</v>
      </c>
      <c r="D9" s="12">
        <v>0.45</v>
      </c>
    </row>
    <row r="10" spans="3:11" x14ac:dyDescent="0.2">
      <c r="C10" t="s">
        <v>17</v>
      </c>
      <c r="D10" s="6">
        <v>30174813</v>
      </c>
    </row>
    <row r="13" spans="3:11" x14ac:dyDescent="0.2">
      <c r="C13" t="s">
        <v>20</v>
      </c>
      <c r="D13" s="15">
        <v>211.95953398981808</v>
      </c>
      <c r="E13" t="s">
        <v>19</v>
      </c>
    </row>
    <row r="14" spans="3:11" x14ac:dyDescent="0.2">
      <c r="C14" t="s">
        <v>21</v>
      </c>
      <c r="D14" s="16">
        <f>SUM(G25:J45)/1000000000</f>
        <v>211.95953398981808</v>
      </c>
      <c r="E14" t="s">
        <v>19</v>
      </c>
    </row>
    <row r="15" spans="3:11" ht="17" thickBot="1" x14ac:dyDescent="0.25">
      <c r="F15" t="s">
        <v>7</v>
      </c>
      <c r="G15" s="3">
        <f>s2_</f>
        <v>0.2</v>
      </c>
      <c r="H15" s="3">
        <f>s4_</f>
        <v>0.4</v>
      </c>
      <c r="I15" s="10">
        <f>s5_*0.6</f>
        <v>0.6</v>
      </c>
      <c r="J15" s="3">
        <f>s7_</f>
        <v>0.45</v>
      </c>
    </row>
    <row r="16" spans="3:11" ht="18" thickTop="1" thickBot="1" x14ac:dyDescent="0.25">
      <c r="F16" t="s">
        <v>8</v>
      </c>
      <c r="G16" s="4">
        <f>s1_</f>
        <v>12570</v>
      </c>
      <c r="H16" s="4">
        <f>s3_</f>
        <v>50270</v>
      </c>
      <c r="I16" s="4">
        <f>s6_-s5_*2*s1_</f>
        <v>100000</v>
      </c>
      <c r="J16" s="4">
        <f>s6_</f>
        <v>125140</v>
      </c>
      <c r="K16" s="1"/>
    </row>
    <row r="17" spans="3:14" ht="18" thickTop="1" thickBot="1" x14ac:dyDescent="0.25">
      <c r="F17" t="s">
        <v>9</v>
      </c>
      <c r="G17" s="4">
        <f>s3_</f>
        <v>50270</v>
      </c>
      <c r="H17" s="4">
        <f>s6_-s5_*2*s1_</f>
        <v>100000</v>
      </c>
      <c r="I17" s="4">
        <f>s6_</f>
        <v>125140</v>
      </c>
      <c r="J17" s="4">
        <v>10000000</v>
      </c>
      <c r="K17" s="1"/>
    </row>
    <row r="18" spans="3:14" ht="17" thickTop="1" x14ac:dyDescent="0.2">
      <c r="G18" s="1"/>
      <c r="H18" s="1"/>
      <c r="I18" s="1"/>
      <c r="J18" s="1"/>
      <c r="K18" s="1"/>
    </row>
    <row r="19" spans="3:14" x14ac:dyDescent="0.2">
      <c r="F19" t="s">
        <v>22</v>
      </c>
      <c r="G19" s="7">
        <v>112169435861.16</v>
      </c>
      <c r="H19" s="7">
        <v>57947710885.200012</v>
      </c>
      <c r="I19" s="7">
        <v>22757843964.600025</v>
      </c>
      <c r="J19" s="7">
        <v>19084543278.858017</v>
      </c>
      <c r="K19" s="1"/>
    </row>
    <row r="20" spans="3:14" x14ac:dyDescent="0.2">
      <c r="F20" t="s">
        <v>23</v>
      </c>
      <c r="G20" s="9">
        <f>SUM(G25:G45)</f>
        <v>112169435861.16</v>
      </c>
      <c r="H20" s="9">
        <f>SUM(H25:H45)</f>
        <v>57947710885.200012</v>
      </c>
      <c r="I20" s="9">
        <f>SUM(I25:I45)</f>
        <v>22757843964.600025</v>
      </c>
      <c r="J20" s="9">
        <f>SUM(J25:J45)</f>
        <v>19084543278.858017</v>
      </c>
      <c r="K20" s="1"/>
      <c r="L20" s="14"/>
      <c r="N20" s="14"/>
    </row>
    <row r="21" spans="3:14" ht="17" thickBot="1" x14ac:dyDescent="0.25">
      <c r="G21" s="13">
        <f>(G20-G19)*(100/85)/1000000</f>
        <v>0</v>
      </c>
      <c r="H21" s="13">
        <f t="shared" ref="H21:J21" si="0">(H20-H19)*(100/85)/1000000</f>
        <v>0</v>
      </c>
      <c r="I21" s="13">
        <f t="shared" si="0"/>
        <v>0</v>
      </c>
      <c r="J21" s="13">
        <f t="shared" si="0"/>
        <v>0</v>
      </c>
      <c r="K21" s="1"/>
      <c r="L21" s="14"/>
      <c r="N21" s="14"/>
    </row>
    <row r="22" spans="3:14" ht="18" thickTop="1" thickBot="1" x14ac:dyDescent="0.25">
      <c r="G22" s="11" t="b">
        <f>ABS(G20-G19)&lt;1</f>
        <v>1</v>
      </c>
      <c r="H22" s="11" t="b">
        <f>ABS(H20-H19)&lt;1</f>
        <v>1</v>
      </c>
      <c r="I22" s="11" t="b">
        <f>ABS(I20-I19)&lt;1</f>
        <v>1</v>
      </c>
      <c r="J22" s="11" t="b">
        <f>ABS(J20-J19)&lt;1</f>
        <v>1</v>
      </c>
      <c r="K22" s="1"/>
    </row>
    <row r="23" spans="3:14" ht="17" thickTop="1" x14ac:dyDescent="0.2"/>
    <row r="24" spans="3:14" x14ac:dyDescent="0.2">
      <c r="C24" t="s">
        <v>0</v>
      </c>
      <c r="D24" t="s">
        <v>18</v>
      </c>
      <c r="E24" t="s">
        <v>1</v>
      </c>
      <c r="F24" t="s">
        <v>2</v>
      </c>
      <c r="G24" t="s">
        <v>3</v>
      </c>
      <c r="H24" t="s">
        <v>4</v>
      </c>
      <c r="I24" t="s">
        <v>5</v>
      </c>
      <c r="J24" t="s">
        <v>6</v>
      </c>
      <c r="L24" t="s">
        <v>24</v>
      </c>
    </row>
    <row r="25" spans="3:14" ht="17" thickBot="1" x14ac:dyDescent="0.25">
      <c r="C25" s="2">
        <v>0.05</v>
      </c>
      <c r="D25" s="8">
        <f>C25*$D$10</f>
        <v>1508740.6500000001</v>
      </c>
      <c r="E25" s="7">
        <v>540</v>
      </c>
      <c r="F25" s="17">
        <f>AVERAGE(E25,0)*12</f>
        <v>3240</v>
      </c>
      <c r="G25" s="9">
        <f t="shared" ref="G25:J45" si="1">MAX(0,MIN($F25,G$17)-G$16)*G$15*$D25</f>
        <v>0</v>
      </c>
      <c r="H25" s="9">
        <f t="shared" si="1"/>
        <v>0</v>
      </c>
      <c r="I25" s="9">
        <f t="shared" si="1"/>
        <v>0</v>
      </c>
      <c r="J25" s="9">
        <f t="shared" si="1"/>
        <v>0</v>
      </c>
      <c r="L25" s="13">
        <f>E25*12</f>
        <v>6480</v>
      </c>
    </row>
    <row r="26" spans="3:14" ht="18" thickTop="1" thickBot="1" x14ac:dyDescent="0.25">
      <c r="C26" s="2">
        <v>0.1</v>
      </c>
      <c r="D26" s="8">
        <f>(C26-C25)*$D$10</f>
        <v>1508740.6500000001</v>
      </c>
      <c r="E26" s="7">
        <v>832</v>
      </c>
      <c r="F26" s="17">
        <f>AVERAGE(E25:E26)*12</f>
        <v>8232</v>
      </c>
      <c r="G26" s="9">
        <f t="shared" si="1"/>
        <v>0</v>
      </c>
      <c r="H26" s="9">
        <f t="shared" si="1"/>
        <v>0</v>
      </c>
      <c r="I26" s="9">
        <f t="shared" si="1"/>
        <v>0</v>
      </c>
      <c r="J26" s="9">
        <f t="shared" si="1"/>
        <v>0</v>
      </c>
      <c r="L26" s="13">
        <f t="shared" ref="L26:L45" si="2">E26*12</f>
        <v>9984</v>
      </c>
    </row>
    <row r="27" spans="3:14" ht="18" thickTop="1" thickBot="1" x14ac:dyDescent="0.25">
      <c r="C27" s="2">
        <v>0.15</v>
      </c>
      <c r="D27" s="8">
        <f>(C27-C26)*$D$10</f>
        <v>1508740.6499999997</v>
      </c>
      <c r="E27" s="7">
        <v>1045</v>
      </c>
      <c r="F27" s="17">
        <f t="shared" ref="F27:F45" si="3">AVERAGE(E26:E27)*12</f>
        <v>11262</v>
      </c>
      <c r="G27" s="9">
        <f t="shared" si="1"/>
        <v>0</v>
      </c>
      <c r="H27" s="9">
        <f t="shared" si="1"/>
        <v>0</v>
      </c>
      <c r="I27" s="9">
        <f t="shared" si="1"/>
        <v>0</v>
      </c>
      <c r="J27" s="9">
        <f t="shared" si="1"/>
        <v>0</v>
      </c>
      <c r="L27" s="13">
        <f t="shared" si="2"/>
        <v>12540</v>
      </c>
    </row>
    <row r="28" spans="3:14" ht="18" thickTop="1" thickBot="1" x14ac:dyDescent="0.25">
      <c r="C28" s="2">
        <v>0.2</v>
      </c>
      <c r="D28" s="8">
        <f>(C28-C27)*$D$10</f>
        <v>1508740.6500000006</v>
      </c>
      <c r="E28" s="7">
        <v>1219</v>
      </c>
      <c r="F28" s="17">
        <f t="shared" si="3"/>
        <v>13584</v>
      </c>
      <c r="G28" s="9">
        <f t="shared" si="1"/>
        <v>305972603.82000011</v>
      </c>
      <c r="H28" s="9">
        <f t="shared" si="1"/>
        <v>0</v>
      </c>
      <c r="I28" s="9">
        <f t="shared" si="1"/>
        <v>0</v>
      </c>
      <c r="J28" s="9">
        <f t="shared" si="1"/>
        <v>0</v>
      </c>
      <c r="L28" s="13">
        <f t="shared" si="2"/>
        <v>14628</v>
      </c>
    </row>
    <row r="29" spans="3:14" ht="18" thickTop="1" thickBot="1" x14ac:dyDescent="0.25">
      <c r="C29" s="2">
        <v>0.25</v>
      </c>
      <c r="D29" s="8">
        <f>(C29-C28)*$D$10</f>
        <v>1508740.6499999997</v>
      </c>
      <c r="E29" s="7">
        <v>1493</v>
      </c>
      <c r="F29" s="17">
        <f t="shared" si="3"/>
        <v>16272</v>
      </c>
      <c r="G29" s="9">
        <f t="shared" si="1"/>
        <v>1117071577.26</v>
      </c>
      <c r="H29" s="9">
        <f t="shared" si="1"/>
        <v>0</v>
      </c>
      <c r="I29" s="9">
        <f t="shared" si="1"/>
        <v>0</v>
      </c>
      <c r="J29" s="9">
        <f t="shared" si="1"/>
        <v>0</v>
      </c>
      <c r="L29" s="13">
        <f t="shared" si="2"/>
        <v>17916</v>
      </c>
    </row>
    <row r="30" spans="3:14" ht="18" thickTop="1" thickBot="1" x14ac:dyDescent="0.25">
      <c r="C30" s="2">
        <v>0.3</v>
      </c>
      <c r="D30" s="8">
        <f>(C30-C29)*$D$10</f>
        <v>1508740.6499999997</v>
      </c>
      <c r="E30" s="7">
        <v>1765</v>
      </c>
      <c r="F30" s="17">
        <f t="shared" si="3"/>
        <v>19548</v>
      </c>
      <c r="G30" s="9">
        <f t="shared" si="1"/>
        <v>2105598451.1399999</v>
      </c>
      <c r="H30" s="9">
        <f t="shared" si="1"/>
        <v>0</v>
      </c>
      <c r="I30" s="9">
        <f t="shared" si="1"/>
        <v>0</v>
      </c>
      <c r="J30" s="9">
        <f t="shared" si="1"/>
        <v>0</v>
      </c>
      <c r="L30" s="13">
        <f t="shared" si="2"/>
        <v>21180</v>
      </c>
    </row>
    <row r="31" spans="3:14" ht="18" thickTop="1" thickBot="1" x14ac:dyDescent="0.25">
      <c r="C31" s="2">
        <v>0.35</v>
      </c>
      <c r="D31" s="8">
        <f>(C31-C30)*$D$10</f>
        <v>1508740.6499999997</v>
      </c>
      <c r="E31" s="7">
        <v>1999</v>
      </c>
      <c r="F31" s="17">
        <f t="shared" si="3"/>
        <v>22584</v>
      </c>
      <c r="G31" s="9">
        <f t="shared" si="1"/>
        <v>3021705773.8199997</v>
      </c>
      <c r="H31" s="9">
        <f t="shared" si="1"/>
        <v>0</v>
      </c>
      <c r="I31" s="9">
        <f t="shared" si="1"/>
        <v>0</v>
      </c>
      <c r="J31" s="9">
        <f t="shared" si="1"/>
        <v>0</v>
      </c>
      <c r="L31" s="13">
        <f t="shared" si="2"/>
        <v>23988</v>
      </c>
    </row>
    <row r="32" spans="3:14" ht="18" thickTop="1" thickBot="1" x14ac:dyDescent="0.25">
      <c r="C32" s="2">
        <v>0.4</v>
      </c>
      <c r="D32" s="8">
        <f>(C32-C31)*$D$10</f>
        <v>1508740.6500000013</v>
      </c>
      <c r="E32" s="7">
        <v>2158</v>
      </c>
      <c r="F32" s="17">
        <f t="shared" si="3"/>
        <v>24942</v>
      </c>
      <c r="G32" s="9">
        <f t="shared" si="1"/>
        <v>3733227864.3600035</v>
      </c>
      <c r="H32" s="9">
        <f t="shared" si="1"/>
        <v>0</v>
      </c>
      <c r="I32" s="9">
        <f t="shared" si="1"/>
        <v>0</v>
      </c>
      <c r="J32" s="9">
        <f t="shared" si="1"/>
        <v>0</v>
      </c>
      <c r="L32" s="13">
        <f t="shared" si="2"/>
        <v>25896</v>
      </c>
    </row>
    <row r="33" spans="3:12" ht="18" thickTop="1" thickBot="1" x14ac:dyDescent="0.25">
      <c r="C33" s="2">
        <v>0.45</v>
      </c>
      <c r="D33" s="8">
        <f>(C33-C32)*$D$10</f>
        <v>1508740.6499999997</v>
      </c>
      <c r="E33" s="7">
        <v>2320</v>
      </c>
      <c r="F33" s="17">
        <f t="shared" si="3"/>
        <v>26868</v>
      </c>
      <c r="G33" s="9">
        <f t="shared" si="1"/>
        <v>4314394762.7399998</v>
      </c>
      <c r="H33" s="9">
        <f t="shared" si="1"/>
        <v>0</v>
      </c>
      <c r="I33" s="9">
        <f t="shared" si="1"/>
        <v>0</v>
      </c>
      <c r="J33" s="9">
        <f t="shared" si="1"/>
        <v>0</v>
      </c>
      <c r="L33" s="13">
        <f t="shared" si="2"/>
        <v>27840</v>
      </c>
    </row>
    <row r="34" spans="3:12" ht="18" thickTop="1" thickBot="1" x14ac:dyDescent="0.25">
      <c r="C34" s="2">
        <v>0.5</v>
      </c>
      <c r="D34" s="8">
        <f>(C34-C33)*$D$10</f>
        <v>1508740.6499999997</v>
      </c>
      <c r="E34" s="7">
        <v>2494</v>
      </c>
      <c r="F34" s="17">
        <f t="shared" si="3"/>
        <v>28884</v>
      </c>
      <c r="G34" s="9">
        <f t="shared" si="1"/>
        <v>4922718992.8199987</v>
      </c>
      <c r="H34" s="9">
        <f t="shared" si="1"/>
        <v>0</v>
      </c>
      <c r="I34" s="9">
        <f t="shared" si="1"/>
        <v>0</v>
      </c>
      <c r="J34" s="9">
        <f t="shared" si="1"/>
        <v>0</v>
      </c>
      <c r="L34" s="13">
        <f t="shared" si="2"/>
        <v>29928</v>
      </c>
    </row>
    <row r="35" spans="3:12" ht="18" thickTop="1" thickBot="1" x14ac:dyDescent="0.25">
      <c r="C35" s="2">
        <v>0.55000000000000004</v>
      </c>
      <c r="D35" s="8">
        <f>(C35-C34)*$D$10</f>
        <v>1508740.6500000013</v>
      </c>
      <c r="E35" s="7">
        <v>2678</v>
      </c>
      <c r="F35" s="17">
        <f t="shared" si="3"/>
        <v>31032</v>
      </c>
      <c r="G35" s="9">
        <f t="shared" si="1"/>
        <v>5570873976.0600052</v>
      </c>
      <c r="H35" s="9">
        <f t="shared" si="1"/>
        <v>0</v>
      </c>
      <c r="I35" s="9">
        <f t="shared" si="1"/>
        <v>0</v>
      </c>
      <c r="J35" s="9">
        <f t="shared" si="1"/>
        <v>0</v>
      </c>
      <c r="L35" s="13">
        <f t="shared" si="2"/>
        <v>32136</v>
      </c>
    </row>
    <row r="36" spans="3:12" ht="18" thickTop="1" thickBot="1" x14ac:dyDescent="0.25">
      <c r="C36" s="2">
        <v>0.6</v>
      </c>
      <c r="D36" s="8">
        <f>(C36-C35)*$D$10</f>
        <v>1508740.649999998</v>
      </c>
      <c r="E36" s="7">
        <v>2900</v>
      </c>
      <c r="F36" s="17">
        <f t="shared" si="3"/>
        <v>33468</v>
      </c>
      <c r="G36" s="9">
        <f t="shared" si="1"/>
        <v>6305932420.7399921</v>
      </c>
      <c r="H36" s="9">
        <f t="shared" si="1"/>
        <v>0</v>
      </c>
      <c r="I36" s="9">
        <f t="shared" si="1"/>
        <v>0</v>
      </c>
      <c r="J36" s="9">
        <f t="shared" si="1"/>
        <v>0</v>
      </c>
      <c r="L36" s="13">
        <f t="shared" si="2"/>
        <v>34800</v>
      </c>
    </row>
    <row r="37" spans="3:12" ht="18" thickTop="1" thickBot="1" x14ac:dyDescent="0.25">
      <c r="C37" s="2">
        <v>0.65</v>
      </c>
      <c r="D37" s="8">
        <f>(C37-C36)*$D$10</f>
        <v>1508740.6500000013</v>
      </c>
      <c r="E37" s="7">
        <v>3154</v>
      </c>
      <c r="F37" s="17">
        <f t="shared" si="3"/>
        <v>36324</v>
      </c>
      <c r="G37" s="9">
        <f t="shared" si="1"/>
        <v>7167725080.0200062</v>
      </c>
      <c r="H37" s="9">
        <f t="shared" si="1"/>
        <v>0</v>
      </c>
      <c r="I37" s="9">
        <f t="shared" si="1"/>
        <v>0</v>
      </c>
      <c r="J37" s="9">
        <f t="shared" si="1"/>
        <v>0</v>
      </c>
      <c r="L37" s="13">
        <f t="shared" si="2"/>
        <v>37848</v>
      </c>
    </row>
    <row r="38" spans="3:12" ht="18" thickTop="1" thickBot="1" x14ac:dyDescent="0.25">
      <c r="C38" s="2">
        <v>0.7</v>
      </c>
      <c r="D38" s="8">
        <f>(C38-C37)*$D$10</f>
        <v>1508740.649999998</v>
      </c>
      <c r="E38" s="7">
        <v>3435</v>
      </c>
      <c r="F38" s="17">
        <f t="shared" si="3"/>
        <v>39534</v>
      </c>
      <c r="G38" s="9">
        <f t="shared" si="1"/>
        <v>8136336577.3199902</v>
      </c>
      <c r="H38" s="9">
        <f t="shared" si="1"/>
        <v>0</v>
      </c>
      <c r="I38" s="9">
        <f t="shared" si="1"/>
        <v>0</v>
      </c>
      <c r="J38" s="9">
        <f t="shared" si="1"/>
        <v>0</v>
      </c>
      <c r="L38" s="13">
        <f t="shared" si="2"/>
        <v>41220</v>
      </c>
    </row>
    <row r="39" spans="3:12" ht="18" thickTop="1" thickBot="1" x14ac:dyDescent="0.25">
      <c r="C39" s="2">
        <v>0.75</v>
      </c>
      <c r="D39" s="8">
        <f>(C39-C38)*$D$10</f>
        <v>1508740.6500000013</v>
      </c>
      <c r="E39" s="7">
        <v>3789</v>
      </c>
      <c r="F39" s="17">
        <f t="shared" si="3"/>
        <v>43344</v>
      </c>
      <c r="G39" s="9">
        <f t="shared" si="1"/>
        <v>9285996952.6200085</v>
      </c>
      <c r="H39" s="9">
        <f t="shared" si="1"/>
        <v>0</v>
      </c>
      <c r="I39" s="9">
        <f t="shared" si="1"/>
        <v>0</v>
      </c>
      <c r="J39" s="9">
        <f t="shared" si="1"/>
        <v>0</v>
      </c>
      <c r="L39" s="13">
        <f t="shared" si="2"/>
        <v>45468</v>
      </c>
    </row>
    <row r="40" spans="3:12" ht="18" thickTop="1" thickBot="1" x14ac:dyDescent="0.25">
      <c r="C40" s="2">
        <v>0.8</v>
      </c>
      <c r="D40" s="8">
        <f>(C40-C39)*$D$10</f>
        <v>1508740.6500000013</v>
      </c>
      <c r="E40" s="7">
        <v>4204</v>
      </c>
      <c r="F40" s="17">
        <f t="shared" si="3"/>
        <v>47958</v>
      </c>
      <c r="G40" s="9">
        <f t="shared" si="1"/>
        <v>10678262824.44001</v>
      </c>
      <c r="H40" s="9">
        <f t="shared" si="1"/>
        <v>0</v>
      </c>
      <c r="I40" s="9">
        <f t="shared" si="1"/>
        <v>0</v>
      </c>
      <c r="J40" s="9">
        <f t="shared" si="1"/>
        <v>0</v>
      </c>
      <c r="L40" s="13">
        <f t="shared" si="2"/>
        <v>50448</v>
      </c>
    </row>
    <row r="41" spans="3:12" ht="18" thickTop="1" thickBot="1" x14ac:dyDescent="0.25">
      <c r="C41" s="2">
        <v>0.85</v>
      </c>
      <c r="D41" s="8">
        <f>(C41-C40)*$D$10</f>
        <v>1508740.649999998</v>
      </c>
      <c r="E41" s="7">
        <v>4770</v>
      </c>
      <c r="F41" s="17">
        <f t="shared" si="3"/>
        <v>53844</v>
      </c>
      <c r="G41" s="9">
        <f t="shared" si="1"/>
        <v>11375904500.999985</v>
      </c>
      <c r="H41" s="9">
        <f t="shared" si="1"/>
        <v>2156895633.2399974</v>
      </c>
      <c r="I41" s="9">
        <f t="shared" si="1"/>
        <v>0</v>
      </c>
      <c r="J41" s="9">
        <f t="shared" si="1"/>
        <v>0</v>
      </c>
      <c r="L41" s="13">
        <f t="shared" si="2"/>
        <v>57240</v>
      </c>
    </row>
    <row r="42" spans="3:12" ht="18" thickTop="1" thickBot="1" x14ac:dyDescent="0.25">
      <c r="C42" s="2">
        <v>0.9</v>
      </c>
      <c r="D42" s="8">
        <f>(C42-C41)*$D$10</f>
        <v>1508740.6500000013</v>
      </c>
      <c r="E42" s="7">
        <v>5705</v>
      </c>
      <c r="F42" s="17">
        <f t="shared" si="3"/>
        <v>62850</v>
      </c>
      <c r="G42" s="9">
        <f t="shared" si="1"/>
        <v>11375904501.00001</v>
      </c>
      <c r="H42" s="9">
        <f t="shared" si="1"/>
        <v>7591982950.8000069</v>
      </c>
      <c r="I42" s="9">
        <f t="shared" si="1"/>
        <v>0</v>
      </c>
      <c r="J42" s="9">
        <f t="shared" si="1"/>
        <v>0</v>
      </c>
      <c r="L42" s="13">
        <f t="shared" si="2"/>
        <v>68460</v>
      </c>
    </row>
    <row r="43" spans="3:12" ht="18" thickTop="1" thickBot="1" x14ac:dyDescent="0.25">
      <c r="C43" s="2">
        <v>0.95</v>
      </c>
      <c r="D43" s="8">
        <f>(C43-C42)*$D$10</f>
        <v>1508740.649999998</v>
      </c>
      <c r="E43" s="7">
        <v>7696</v>
      </c>
      <c r="F43" s="17">
        <f t="shared" si="3"/>
        <v>80406</v>
      </c>
      <c r="G43" s="9">
        <f t="shared" si="1"/>
        <v>11375904500.999985</v>
      </c>
      <c r="H43" s="9">
        <f t="shared" si="1"/>
        <v>18186963291.359978</v>
      </c>
      <c r="I43" s="9">
        <f t="shared" si="1"/>
        <v>0</v>
      </c>
      <c r="J43" s="9">
        <f t="shared" si="1"/>
        <v>0</v>
      </c>
      <c r="L43" s="13">
        <f t="shared" si="2"/>
        <v>92352</v>
      </c>
    </row>
    <row r="44" spans="3:12" ht="18" thickTop="1" thickBot="1" x14ac:dyDescent="0.25">
      <c r="C44" s="2">
        <v>0.99</v>
      </c>
      <c r="D44" s="8">
        <f>(C44-C43)*$D$10</f>
        <v>1206992.5200000012</v>
      </c>
      <c r="E44" s="7">
        <v>16154</v>
      </c>
      <c r="F44" s="17">
        <f t="shared" si="3"/>
        <v>143100</v>
      </c>
      <c r="G44" s="9">
        <f t="shared" si="1"/>
        <v>9100723600.8000088</v>
      </c>
      <c r="H44" s="9">
        <f t="shared" si="1"/>
        <v>24009495207.840023</v>
      </c>
      <c r="I44" s="9">
        <f t="shared" si="1"/>
        <v>18206275171.680019</v>
      </c>
      <c r="J44" s="9">
        <f t="shared" si="1"/>
        <v>9754913546.6400089</v>
      </c>
      <c r="L44" s="13">
        <f t="shared" si="2"/>
        <v>193848</v>
      </c>
    </row>
    <row r="45" spans="3:12" ht="18" thickTop="1" thickBot="1" x14ac:dyDescent="0.25">
      <c r="C45" s="2">
        <v>1</v>
      </c>
      <c r="D45" s="8">
        <f>(C45-C44)*$D$10</f>
        <v>301748.1300000003</v>
      </c>
      <c r="E45" s="7">
        <f>E44</f>
        <v>16154</v>
      </c>
      <c r="F45" s="17">
        <f t="shared" si="3"/>
        <v>193848</v>
      </c>
      <c r="G45" s="9">
        <f t="shared" si="1"/>
        <v>2275180900.2000022</v>
      </c>
      <c r="H45" s="9">
        <f t="shared" si="1"/>
        <v>6002373801.9600058</v>
      </c>
      <c r="I45" s="9">
        <f t="shared" si="1"/>
        <v>4551568792.9200048</v>
      </c>
      <c r="J45" s="9">
        <f t="shared" si="1"/>
        <v>9329629732.2180099</v>
      </c>
      <c r="L45" s="13">
        <f t="shared" si="2"/>
        <v>193848</v>
      </c>
    </row>
    <row r="46" spans="3:12" ht="17" thickTop="1" x14ac:dyDescent="0.2"/>
    <row r="47" spans="3:12" x14ac:dyDescent="0.2">
      <c r="F47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21CF-6761-AA46-8F8C-8AECB605C9DD}">
  <dimension ref="C3:N47"/>
  <sheetViews>
    <sheetView workbookViewId="0">
      <selection activeCell="D10" sqref="D10"/>
    </sheetView>
  </sheetViews>
  <sheetFormatPr baseColWidth="10" defaultRowHeight="16" x14ac:dyDescent="0.2"/>
  <cols>
    <col min="1" max="2" width="1.83203125" customWidth="1"/>
    <col min="4" max="4" width="15.83203125" bestFit="1" customWidth="1"/>
    <col min="5" max="5" width="12.83203125" bestFit="1" customWidth="1"/>
    <col min="6" max="6" width="14" bestFit="1" customWidth="1"/>
    <col min="7" max="7" width="15.83203125" bestFit="1" customWidth="1"/>
    <col min="8" max="10" width="14.83203125" bestFit="1" customWidth="1"/>
    <col min="11" max="11" width="15.83203125" bestFit="1" customWidth="1"/>
    <col min="14" max="14" width="11.33203125" bestFit="1" customWidth="1"/>
  </cols>
  <sheetData>
    <row r="3" spans="3:11" x14ac:dyDescent="0.2">
      <c r="C3" t="s">
        <v>10</v>
      </c>
      <c r="D3" s="7">
        <v>12570</v>
      </c>
    </row>
    <row r="4" spans="3:11" x14ac:dyDescent="0.2">
      <c r="C4" t="s">
        <v>11</v>
      </c>
      <c r="D4" s="12">
        <v>0.2</v>
      </c>
    </row>
    <row r="5" spans="3:11" x14ac:dyDescent="0.2">
      <c r="C5" t="s">
        <v>12</v>
      </c>
      <c r="D5" s="7">
        <v>50270</v>
      </c>
    </row>
    <row r="6" spans="3:11" x14ac:dyDescent="0.2">
      <c r="C6" t="s">
        <v>13</v>
      </c>
      <c r="D6" s="12">
        <v>0.4</v>
      </c>
    </row>
    <row r="7" spans="3:11" x14ac:dyDescent="0.2">
      <c r="C7" t="s">
        <v>14</v>
      </c>
      <c r="D7" s="5" t="b">
        <v>1</v>
      </c>
    </row>
    <row r="8" spans="3:11" x14ac:dyDescent="0.2">
      <c r="C8" t="s">
        <v>15</v>
      </c>
      <c r="D8" s="7">
        <f>100000+2*D3*D7</f>
        <v>125140</v>
      </c>
    </row>
    <row r="9" spans="3:11" x14ac:dyDescent="0.2">
      <c r="C9" t="s">
        <v>16</v>
      </c>
      <c r="D9" s="12">
        <v>0.45</v>
      </c>
    </row>
    <row r="10" spans="3:11" x14ac:dyDescent="0.2">
      <c r="C10" t="s">
        <v>17</v>
      </c>
      <c r="D10" s="6">
        <v>30174813</v>
      </c>
    </row>
    <row r="13" spans="3:11" x14ac:dyDescent="0.2">
      <c r="C13" t="s">
        <v>20</v>
      </c>
      <c r="D13" s="15">
        <v>212.79489351291005</v>
      </c>
      <c r="E13" t="s">
        <v>19</v>
      </c>
    </row>
    <row r="14" spans="3:11" x14ac:dyDescent="0.2">
      <c r="C14" t="s">
        <v>21</v>
      </c>
      <c r="D14" s="16">
        <f>SUM(G25:J45)/1000000000</f>
        <v>212.79489351291005</v>
      </c>
      <c r="E14" t="s">
        <v>19</v>
      </c>
    </row>
    <row r="15" spans="3:11" ht="17" thickBot="1" x14ac:dyDescent="0.25">
      <c r="F15" t="s">
        <v>7</v>
      </c>
      <c r="G15" s="3">
        <f>s2_</f>
        <v>0.2</v>
      </c>
      <c r="H15" s="3">
        <f>s4_</f>
        <v>0.4</v>
      </c>
      <c r="I15" s="10">
        <f>s5_*0.6</f>
        <v>0.6</v>
      </c>
      <c r="J15" s="3">
        <f>s7_</f>
        <v>0.45</v>
      </c>
    </row>
    <row r="16" spans="3:11" ht="18" thickTop="1" thickBot="1" x14ac:dyDescent="0.25">
      <c r="F16" t="s">
        <v>8</v>
      </c>
      <c r="G16" s="4">
        <f>s1_</f>
        <v>12570</v>
      </c>
      <c r="H16" s="4">
        <f>s3_</f>
        <v>50270</v>
      </c>
      <c r="I16" s="4">
        <f>s6_-s5_*2*s1_</f>
        <v>100000</v>
      </c>
      <c r="J16" s="4">
        <f>s6_</f>
        <v>125140</v>
      </c>
      <c r="K16" s="1"/>
    </row>
    <row r="17" spans="3:14" ht="18" thickTop="1" thickBot="1" x14ac:dyDescent="0.25">
      <c r="F17" t="s">
        <v>9</v>
      </c>
      <c r="G17" s="4">
        <f>s3_</f>
        <v>50270</v>
      </c>
      <c r="H17" s="4">
        <f>s6_-s5_*2*s1_</f>
        <v>100000</v>
      </c>
      <c r="I17" s="4">
        <f>s6_</f>
        <v>125140</v>
      </c>
      <c r="J17" s="4">
        <v>10000000</v>
      </c>
      <c r="K17" s="1"/>
    </row>
    <row r="18" spans="3:14" ht="17" thickTop="1" x14ac:dyDescent="0.2">
      <c r="G18" s="1"/>
      <c r="H18" s="1"/>
      <c r="I18" s="1"/>
      <c r="J18" s="1"/>
      <c r="K18" s="1"/>
    </row>
    <row r="19" spans="3:14" x14ac:dyDescent="0.2">
      <c r="F19" t="s">
        <v>22</v>
      </c>
      <c r="G19" s="7">
        <v>112169435861.16</v>
      </c>
      <c r="H19" s="7">
        <v>57947710885.200012</v>
      </c>
      <c r="I19" s="7">
        <v>22757843964.600025</v>
      </c>
      <c r="J19" s="7">
        <v>19919902801.95002</v>
      </c>
      <c r="K19" s="1"/>
    </row>
    <row r="20" spans="3:14" x14ac:dyDescent="0.2">
      <c r="F20" t="s">
        <v>23</v>
      </c>
      <c r="G20" s="9">
        <f>SUM(G25:G45)</f>
        <v>112169435861.16</v>
      </c>
      <c r="H20" s="9">
        <f>SUM(H25:H45)</f>
        <v>57947710885.200012</v>
      </c>
      <c r="I20" s="9">
        <f>SUM(I25:I45)</f>
        <v>22757843964.600025</v>
      </c>
      <c r="J20" s="9">
        <f>SUM(J25:J45)</f>
        <v>19919902801.95002</v>
      </c>
      <c r="K20" s="1"/>
      <c r="L20" s="14"/>
      <c r="N20" s="14"/>
    </row>
    <row r="21" spans="3:14" ht="17" thickBot="1" x14ac:dyDescent="0.25">
      <c r="G21" s="13">
        <f t="shared" ref="G21:I21" si="0">(G20-G19)*(100/85)/1000000</f>
        <v>0</v>
      </c>
      <c r="H21" s="13">
        <f t="shared" si="0"/>
        <v>0</v>
      </c>
      <c r="I21" s="13">
        <f t="shared" si="0"/>
        <v>0</v>
      </c>
      <c r="J21" s="13">
        <f>(J20-J19)*(100/85)/1000000</f>
        <v>0</v>
      </c>
      <c r="K21" s="1"/>
      <c r="L21" s="14"/>
      <c r="N21" s="14"/>
    </row>
    <row r="22" spans="3:14" ht="18" thickTop="1" thickBot="1" x14ac:dyDescent="0.25">
      <c r="G22" s="11" t="b">
        <f>ABS(G20-G19)&lt;1</f>
        <v>1</v>
      </c>
      <c r="H22" s="11" t="b">
        <f>ABS(H20-H19)&lt;1</f>
        <v>1</v>
      </c>
      <c r="I22" s="11" t="b">
        <f>ABS(I20-I19)&lt;1</f>
        <v>1</v>
      </c>
      <c r="J22" s="11" t="b">
        <f>ABS(J20-J19)&lt;1</f>
        <v>1</v>
      </c>
      <c r="K22" s="1"/>
    </row>
    <row r="23" spans="3:14" ht="17" thickTop="1" x14ac:dyDescent="0.2"/>
    <row r="24" spans="3:14" x14ac:dyDescent="0.2">
      <c r="C24" t="s">
        <v>0</v>
      </c>
      <c r="D24" t="s">
        <v>18</v>
      </c>
      <c r="E24" t="s">
        <v>1</v>
      </c>
      <c r="F24" t="s">
        <v>2</v>
      </c>
      <c r="G24" t="s">
        <v>3</v>
      </c>
      <c r="H24" t="s">
        <v>4</v>
      </c>
      <c r="I24" t="s">
        <v>5</v>
      </c>
      <c r="J24" t="s">
        <v>6</v>
      </c>
      <c r="L24" t="s">
        <v>24</v>
      </c>
    </row>
    <row r="25" spans="3:14" ht="17" thickBot="1" x14ac:dyDescent="0.25">
      <c r="C25" s="2">
        <v>0.05</v>
      </c>
      <c r="D25" s="8">
        <f>C25*$D$10</f>
        <v>1508740.6500000001</v>
      </c>
      <c r="E25" s="7">
        <v>540</v>
      </c>
      <c r="F25" s="17">
        <f>AVERAGE(E25,0)*12</f>
        <v>3240</v>
      </c>
      <c r="G25" s="9">
        <f t="shared" ref="G25:J45" si="1">MAX(0,MIN($F25,G$17)-G$16)*G$15*$D25</f>
        <v>0</v>
      </c>
      <c r="H25" s="9">
        <f t="shared" si="1"/>
        <v>0</v>
      </c>
      <c r="I25" s="9">
        <f t="shared" si="1"/>
        <v>0</v>
      </c>
      <c r="J25" s="9">
        <f t="shared" si="1"/>
        <v>0</v>
      </c>
      <c r="L25" s="13">
        <f>E25*12</f>
        <v>6480</v>
      </c>
    </row>
    <row r="26" spans="3:14" ht="18" thickTop="1" thickBot="1" x14ac:dyDescent="0.25">
      <c r="C26" s="2">
        <v>0.1</v>
      </c>
      <c r="D26" s="8">
        <f>(C26-C25)*$D$10</f>
        <v>1508740.6500000001</v>
      </c>
      <c r="E26" s="7">
        <v>832</v>
      </c>
      <c r="F26" s="17">
        <f>AVERAGE(E25:E26)*12</f>
        <v>8232</v>
      </c>
      <c r="G26" s="9">
        <f t="shared" si="1"/>
        <v>0</v>
      </c>
      <c r="H26" s="9">
        <f t="shared" si="1"/>
        <v>0</v>
      </c>
      <c r="I26" s="9">
        <f t="shared" si="1"/>
        <v>0</v>
      </c>
      <c r="J26" s="9">
        <f t="shared" si="1"/>
        <v>0</v>
      </c>
      <c r="L26" s="13">
        <f t="shared" ref="L26:L45" si="2">E26*12</f>
        <v>9984</v>
      </c>
    </row>
    <row r="27" spans="3:14" ht="18" thickTop="1" thickBot="1" x14ac:dyDescent="0.25">
      <c r="C27" s="2">
        <v>0.15</v>
      </c>
      <c r="D27" s="8">
        <f>(C27-C26)*$D$10</f>
        <v>1508740.6499999997</v>
      </c>
      <c r="E27" s="7">
        <v>1045</v>
      </c>
      <c r="F27" s="17">
        <f t="shared" ref="F27:F44" si="3">AVERAGE(E26:E27)*12</f>
        <v>11262</v>
      </c>
      <c r="G27" s="9">
        <f t="shared" si="1"/>
        <v>0</v>
      </c>
      <c r="H27" s="9">
        <f t="shared" si="1"/>
        <v>0</v>
      </c>
      <c r="I27" s="9">
        <f t="shared" si="1"/>
        <v>0</v>
      </c>
      <c r="J27" s="9">
        <f t="shared" si="1"/>
        <v>0</v>
      </c>
      <c r="L27" s="13">
        <f t="shared" si="2"/>
        <v>12540</v>
      </c>
    </row>
    <row r="28" spans="3:14" ht="18" thickTop="1" thickBot="1" x14ac:dyDescent="0.25">
      <c r="C28" s="2">
        <v>0.2</v>
      </c>
      <c r="D28" s="8">
        <f>(C28-C27)*$D$10</f>
        <v>1508740.6500000006</v>
      </c>
      <c r="E28" s="7">
        <v>1219</v>
      </c>
      <c r="F28" s="17">
        <f t="shared" si="3"/>
        <v>13584</v>
      </c>
      <c r="G28" s="9">
        <f t="shared" si="1"/>
        <v>305972603.82000011</v>
      </c>
      <c r="H28" s="9">
        <f t="shared" si="1"/>
        <v>0</v>
      </c>
      <c r="I28" s="9">
        <f t="shared" si="1"/>
        <v>0</v>
      </c>
      <c r="J28" s="9">
        <f t="shared" si="1"/>
        <v>0</v>
      </c>
      <c r="L28" s="13">
        <f t="shared" si="2"/>
        <v>14628</v>
      </c>
    </row>
    <row r="29" spans="3:14" ht="18" thickTop="1" thickBot="1" x14ac:dyDescent="0.25">
      <c r="C29" s="2">
        <v>0.25</v>
      </c>
      <c r="D29" s="8">
        <f>(C29-C28)*$D$10</f>
        <v>1508740.6499999997</v>
      </c>
      <c r="E29" s="7">
        <v>1493</v>
      </c>
      <c r="F29" s="17">
        <f t="shared" si="3"/>
        <v>16272</v>
      </c>
      <c r="G29" s="9">
        <f t="shared" si="1"/>
        <v>1117071577.26</v>
      </c>
      <c r="H29" s="9">
        <f t="shared" si="1"/>
        <v>0</v>
      </c>
      <c r="I29" s="9">
        <f t="shared" si="1"/>
        <v>0</v>
      </c>
      <c r="J29" s="9">
        <f t="shared" si="1"/>
        <v>0</v>
      </c>
      <c r="L29" s="13">
        <f t="shared" si="2"/>
        <v>17916</v>
      </c>
    </row>
    <row r="30" spans="3:14" ht="18" thickTop="1" thickBot="1" x14ac:dyDescent="0.25">
      <c r="C30" s="2">
        <v>0.3</v>
      </c>
      <c r="D30" s="8">
        <f>(C30-C29)*$D$10</f>
        <v>1508740.6499999997</v>
      </c>
      <c r="E30" s="7">
        <v>1765</v>
      </c>
      <c r="F30" s="17">
        <f t="shared" si="3"/>
        <v>19548</v>
      </c>
      <c r="G30" s="9">
        <f t="shared" si="1"/>
        <v>2105598451.1399999</v>
      </c>
      <c r="H30" s="9">
        <f t="shared" si="1"/>
        <v>0</v>
      </c>
      <c r="I30" s="9">
        <f t="shared" si="1"/>
        <v>0</v>
      </c>
      <c r="J30" s="9">
        <f t="shared" si="1"/>
        <v>0</v>
      </c>
      <c r="L30" s="13">
        <f t="shared" si="2"/>
        <v>21180</v>
      </c>
    </row>
    <row r="31" spans="3:14" ht="18" thickTop="1" thickBot="1" x14ac:dyDescent="0.25">
      <c r="C31" s="2">
        <v>0.35</v>
      </c>
      <c r="D31" s="8">
        <f>(C31-C30)*$D$10</f>
        <v>1508740.6499999997</v>
      </c>
      <c r="E31" s="7">
        <v>1999</v>
      </c>
      <c r="F31" s="17">
        <f t="shared" si="3"/>
        <v>22584</v>
      </c>
      <c r="G31" s="9">
        <f t="shared" si="1"/>
        <v>3021705773.8199997</v>
      </c>
      <c r="H31" s="9">
        <f t="shared" si="1"/>
        <v>0</v>
      </c>
      <c r="I31" s="9">
        <f t="shared" si="1"/>
        <v>0</v>
      </c>
      <c r="J31" s="9">
        <f t="shared" si="1"/>
        <v>0</v>
      </c>
      <c r="L31" s="13">
        <f t="shared" si="2"/>
        <v>23988</v>
      </c>
    </row>
    <row r="32" spans="3:14" ht="18" thickTop="1" thickBot="1" x14ac:dyDescent="0.25">
      <c r="C32" s="2">
        <v>0.4</v>
      </c>
      <c r="D32" s="8">
        <f>(C32-C31)*$D$10</f>
        <v>1508740.6500000013</v>
      </c>
      <c r="E32" s="7">
        <v>2158</v>
      </c>
      <c r="F32" s="17">
        <f t="shared" si="3"/>
        <v>24942</v>
      </c>
      <c r="G32" s="9">
        <f t="shared" si="1"/>
        <v>3733227864.3600035</v>
      </c>
      <c r="H32" s="9">
        <f t="shared" si="1"/>
        <v>0</v>
      </c>
      <c r="I32" s="9">
        <f t="shared" si="1"/>
        <v>0</v>
      </c>
      <c r="J32" s="9">
        <f t="shared" si="1"/>
        <v>0</v>
      </c>
      <c r="L32" s="13">
        <f t="shared" si="2"/>
        <v>25896</v>
      </c>
    </row>
    <row r="33" spans="3:12" ht="18" thickTop="1" thickBot="1" x14ac:dyDescent="0.25">
      <c r="C33" s="2">
        <v>0.45</v>
      </c>
      <c r="D33" s="8">
        <f>(C33-C32)*$D$10</f>
        <v>1508740.6499999997</v>
      </c>
      <c r="E33" s="7">
        <v>2320</v>
      </c>
      <c r="F33" s="17">
        <f t="shared" si="3"/>
        <v>26868</v>
      </c>
      <c r="G33" s="9">
        <f t="shared" si="1"/>
        <v>4314394762.7399998</v>
      </c>
      <c r="H33" s="9">
        <f t="shared" si="1"/>
        <v>0</v>
      </c>
      <c r="I33" s="9">
        <f t="shared" si="1"/>
        <v>0</v>
      </c>
      <c r="J33" s="9">
        <f t="shared" si="1"/>
        <v>0</v>
      </c>
      <c r="L33" s="13">
        <f t="shared" si="2"/>
        <v>27840</v>
      </c>
    </row>
    <row r="34" spans="3:12" ht="18" thickTop="1" thickBot="1" x14ac:dyDescent="0.25">
      <c r="C34" s="2">
        <v>0.5</v>
      </c>
      <c r="D34" s="8">
        <f>(C34-C33)*$D$10</f>
        <v>1508740.6499999997</v>
      </c>
      <c r="E34" s="7">
        <v>2494</v>
      </c>
      <c r="F34" s="17">
        <f t="shared" si="3"/>
        <v>28884</v>
      </c>
      <c r="G34" s="9">
        <f t="shared" si="1"/>
        <v>4922718992.8199987</v>
      </c>
      <c r="H34" s="9">
        <f t="shared" si="1"/>
        <v>0</v>
      </c>
      <c r="I34" s="9">
        <f t="shared" si="1"/>
        <v>0</v>
      </c>
      <c r="J34" s="9">
        <f t="shared" si="1"/>
        <v>0</v>
      </c>
      <c r="L34" s="13">
        <f t="shared" si="2"/>
        <v>29928</v>
      </c>
    </row>
    <row r="35" spans="3:12" ht="18" thickTop="1" thickBot="1" x14ac:dyDescent="0.25">
      <c r="C35" s="2">
        <v>0.55000000000000004</v>
      </c>
      <c r="D35" s="8">
        <f>(C35-C34)*$D$10</f>
        <v>1508740.6500000013</v>
      </c>
      <c r="E35" s="7">
        <v>2678</v>
      </c>
      <c r="F35" s="17">
        <f t="shared" si="3"/>
        <v>31032</v>
      </c>
      <c r="G35" s="9">
        <f t="shared" si="1"/>
        <v>5570873976.0600052</v>
      </c>
      <c r="H35" s="9">
        <f t="shared" si="1"/>
        <v>0</v>
      </c>
      <c r="I35" s="9">
        <f t="shared" si="1"/>
        <v>0</v>
      </c>
      <c r="J35" s="9">
        <f t="shared" si="1"/>
        <v>0</v>
      </c>
      <c r="L35" s="13">
        <f t="shared" si="2"/>
        <v>32136</v>
      </c>
    </row>
    <row r="36" spans="3:12" ht="18" thickTop="1" thickBot="1" x14ac:dyDescent="0.25">
      <c r="C36" s="2">
        <v>0.6</v>
      </c>
      <c r="D36" s="8">
        <f>(C36-C35)*$D$10</f>
        <v>1508740.649999998</v>
      </c>
      <c r="E36" s="7">
        <v>2900</v>
      </c>
      <c r="F36" s="17">
        <f t="shared" si="3"/>
        <v>33468</v>
      </c>
      <c r="G36" s="9">
        <f t="shared" si="1"/>
        <v>6305932420.7399921</v>
      </c>
      <c r="H36" s="9">
        <f t="shared" si="1"/>
        <v>0</v>
      </c>
      <c r="I36" s="9">
        <f t="shared" si="1"/>
        <v>0</v>
      </c>
      <c r="J36" s="9">
        <f t="shared" si="1"/>
        <v>0</v>
      </c>
      <c r="L36" s="13">
        <f t="shared" si="2"/>
        <v>34800</v>
      </c>
    </row>
    <row r="37" spans="3:12" ht="18" thickTop="1" thickBot="1" x14ac:dyDescent="0.25">
      <c r="C37" s="2">
        <v>0.65</v>
      </c>
      <c r="D37" s="8">
        <f>(C37-C36)*$D$10</f>
        <v>1508740.6500000013</v>
      </c>
      <c r="E37" s="7">
        <v>3154</v>
      </c>
      <c r="F37" s="17">
        <f t="shared" si="3"/>
        <v>36324</v>
      </c>
      <c r="G37" s="9">
        <f t="shared" si="1"/>
        <v>7167725080.0200062</v>
      </c>
      <c r="H37" s="9">
        <f t="shared" si="1"/>
        <v>0</v>
      </c>
      <c r="I37" s="9">
        <f t="shared" si="1"/>
        <v>0</v>
      </c>
      <c r="J37" s="9">
        <f t="shared" si="1"/>
        <v>0</v>
      </c>
      <c r="L37" s="13">
        <f t="shared" si="2"/>
        <v>37848</v>
      </c>
    </row>
    <row r="38" spans="3:12" ht="18" thickTop="1" thickBot="1" x14ac:dyDescent="0.25">
      <c r="C38" s="2">
        <v>0.7</v>
      </c>
      <c r="D38" s="8">
        <f>(C38-C37)*$D$10</f>
        <v>1508740.649999998</v>
      </c>
      <c r="E38" s="7">
        <v>3435</v>
      </c>
      <c r="F38" s="17">
        <f t="shared" si="3"/>
        <v>39534</v>
      </c>
      <c r="G38" s="9">
        <f t="shared" si="1"/>
        <v>8136336577.3199902</v>
      </c>
      <c r="H38" s="9">
        <f t="shared" si="1"/>
        <v>0</v>
      </c>
      <c r="I38" s="9">
        <f t="shared" si="1"/>
        <v>0</v>
      </c>
      <c r="J38" s="9">
        <f t="shared" si="1"/>
        <v>0</v>
      </c>
      <c r="L38" s="13">
        <f t="shared" si="2"/>
        <v>41220</v>
      </c>
    </row>
    <row r="39" spans="3:12" ht="18" thickTop="1" thickBot="1" x14ac:dyDescent="0.25">
      <c r="C39" s="2">
        <v>0.75</v>
      </c>
      <c r="D39" s="8">
        <f>(C39-C38)*$D$10</f>
        <v>1508740.6500000013</v>
      </c>
      <c r="E39" s="7">
        <v>3789</v>
      </c>
      <c r="F39" s="17">
        <f t="shared" si="3"/>
        <v>43344</v>
      </c>
      <c r="G39" s="9">
        <f t="shared" si="1"/>
        <v>9285996952.6200085</v>
      </c>
      <c r="H39" s="9">
        <f t="shared" si="1"/>
        <v>0</v>
      </c>
      <c r="I39" s="9">
        <f t="shared" si="1"/>
        <v>0</v>
      </c>
      <c r="J39" s="9">
        <f t="shared" si="1"/>
        <v>0</v>
      </c>
      <c r="L39" s="13">
        <f t="shared" si="2"/>
        <v>45468</v>
      </c>
    </row>
    <row r="40" spans="3:12" ht="18" thickTop="1" thickBot="1" x14ac:dyDescent="0.25">
      <c r="C40" s="2">
        <v>0.8</v>
      </c>
      <c r="D40" s="8">
        <f>(C40-C39)*$D$10</f>
        <v>1508740.6500000013</v>
      </c>
      <c r="E40" s="7">
        <v>4204</v>
      </c>
      <c r="F40" s="17">
        <f t="shared" si="3"/>
        <v>47958</v>
      </c>
      <c r="G40" s="9">
        <f t="shared" si="1"/>
        <v>10678262824.44001</v>
      </c>
      <c r="H40" s="9">
        <f t="shared" si="1"/>
        <v>0</v>
      </c>
      <c r="I40" s="9">
        <f t="shared" si="1"/>
        <v>0</v>
      </c>
      <c r="J40" s="9">
        <f t="shared" si="1"/>
        <v>0</v>
      </c>
      <c r="L40" s="13">
        <f t="shared" si="2"/>
        <v>50448</v>
      </c>
    </row>
    <row r="41" spans="3:12" ht="18" thickTop="1" thickBot="1" x14ac:dyDescent="0.25">
      <c r="C41" s="2">
        <v>0.85</v>
      </c>
      <c r="D41" s="8">
        <f>(C41-C40)*$D$10</f>
        <v>1508740.649999998</v>
      </c>
      <c r="E41" s="7">
        <v>4770</v>
      </c>
      <c r="F41" s="17">
        <f t="shared" si="3"/>
        <v>53844</v>
      </c>
      <c r="G41" s="9">
        <f t="shared" si="1"/>
        <v>11375904500.999985</v>
      </c>
      <c r="H41" s="9">
        <f t="shared" si="1"/>
        <v>2156895633.2399974</v>
      </c>
      <c r="I41" s="9">
        <f t="shared" si="1"/>
        <v>0</v>
      </c>
      <c r="J41" s="9">
        <f t="shared" si="1"/>
        <v>0</v>
      </c>
      <c r="L41" s="13">
        <f t="shared" si="2"/>
        <v>57240</v>
      </c>
    </row>
    <row r="42" spans="3:12" ht="18" thickTop="1" thickBot="1" x14ac:dyDescent="0.25">
      <c r="C42" s="2">
        <v>0.9</v>
      </c>
      <c r="D42" s="8">
        <f>(C42-C41)*$D$10</f>
        <v>1508740.6500000013</v>
      </c>
      <c r="E42" s="7">
        <v>5705</v>
      </c>
      <c r="F42" s="17">
        <f t="shared" si="3"/>
        <v>62850</v>
      </c>
      <c r="G42" s="9">
        <f t="shared" si="1"/>
        <v>11375904501.00001</v>
      </c>
      <c r="H42" s="9">
        <f t="shared" si="1"/>
        <v>7591982950.8000069</v>
      </c>
      <c r="I42" s="9">
        <f t="shared" si="1"/>
        <v>0</v>
      </c>
      <c r="J42" s="9">
        <f t="shared" si="1"/>
        <v>0</v>
      </c>
      <c r="L42" s="13">
        <f t="shared" si="2"/>
        <v>68460</v>
      </c>
    </row>
    <row r="43" spans="3:12" ht="18" thickTop="1" thickBot="1" x14ac:dyDescent="0.25">
      <c r="C43" s="2">
        <v>0.95</v>
      </c>
      <c r="D43" s="8">
        <f>(C43-C42)*$D$10</f>
        <v>1508740.649999998</v>
      </c>
      <c r="E43" s="7">
        <v>7696</v>
      </c>
      <c r="F43" s="17">
        <f t="shared" si="3"/>
        <v>80406</v>
      </c>
      <c r="G43" s="9">
        <f t="shared" si="1"/>
        <v>11375904500.999985</v>
      </c>
      <c r="H43" s="9">
        <f t="shared" si="1"/>
        <v>18186963291.359978</v>
      </c>
      <c r="I43" s="9">
        <f t="shared" si="1"/>
        <v>0</v>
      </c>
      <c r="J43" s="9">
        <f t="shared" si="1"/>
        <v>0</v>
      </c>
      <c r="L43" s="13">
        <f t="shared" si="2"/>
        <v>92352</v>
      </c>
    </row>
    <row r="44" spans="3:12" ht="18" thickTop="1" thickBot="1" x14ac:dyDescent="0.25">
      <c r="C44" s="2">
        <v>0.99</v>
      </c>
      <c r="D44" s="8">
        <f>(C44-C43)*$D$10</f>
        <v>1206992.5200000012</v>
      </c>
      <c r="E44" s="7">
        <v>16154</v>
      </c>
      <c r="F44" s="17">
        <f t="shared" si="3"/>
        <v>143100</v>
      </c>
      <c r="G44" s="9">
        <f t="shared" si="1"/>
        <v>9100723600.8000088</v>
      </c>
      <c r="H44" s="9">
        <f t="shared" si="1"/>
        <v>24009495207.840023</v>
      </c>
      <c r="I44" s="9">
        <f t="shared" si="1"/>
        <v>18206275171.680019</v>
      </c>
      <c r="J44" s="9">
        <f t="shared" si="1"/>
        <v>9754913546.6400089</v>
      </c>
      <c r="L44" s="13">
        <f t="shared" si="2"/>
        <v>193848</v>
      </c>
    </row>
    <row r="45" spans="3:12" ht="18" thickTop="1" thickBot="1" x14ac:dyDescent="0.25">
      <c r="C45" s="2">
        <v>1</v>
      </c>
      <c r="D45" s="8">
        <f>(C45-C44)*$D$10</f>
        <v>301748.1300000003</v>
      </c>
      <c r="E45" s="17">
        <f>(F45+F45-F44)/12</f>
        <v>21408.333333333332</v>
      </c>
      <c r="F45" s="7">
        <v>200000</v>
      </c>
      <c r="G45" s="9">
        <f t="shared" si="1"/>
        <v>2275180900.2000022</v>
      </c>
      <c r="H45" s="9">
        <f t="shared" si="1"/>
        <v>6002373801.9600058</v>
      </c>
      <c r="I45" s="9">
        <f t="shared" si="1"/>
        <v>4551568792.9200048</v>
      </c>
      <c r="J45" s="9">
        <f t="shared" si="1"/>
        <v>10164989255.310011</v>
      </c>
      <c r="L45" s="13">
        <f t="shared" si="2"/>
        <v>256900</v>
      </c>
    </row>
    <row r="46" spans="3:12" ht="17" thickTop="1" x14ac:dyDescent="0.2"/>
    <row r="47" spans="3:12" x14ac:dyDescent="0.2">
      <c r="F47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652C-5237-6E4B-ADC8-2CE81B2643EF}">
  <dimension ref="C3:N47"/>
  <sheetViews>
    <sheetView tabSelected="1" workbookViewId="0">
      <selection activeCell="D10" sqref="D10"/>
    </sheetView>
  </sheetViews>
  <sheetFormatPr baseColWidth="10" defaultRowHeight="16" x14ac:dyDescent="0.2"/>
  <cols>
    <col min="1" max="2" width="1.83203125" customWidth="1"/>
    <col min="4" max="4" width="15.83203125" bestFit="1" customWidth="1"/>
    <col min="5" max="5" width="12.83203125" bestFit="1" customWidth="1"/>
    <col min="6" max="6" width="14" bestFit="1" customWidth="1"/>
    <col min="7" max="7" width="15.83203125" bestFit="1" customWidth="1"/>
    <col min="8" max="10" width="14.83203125" bestFit="1" customWidth="1"/>
    <col min="11" max="11" width="15.83203125" bestFit="1" customWidth="1"/>
    <col min="14" max="14" width="11.33203125" bestFit="1" customWidth="1"/>
  </cols>
  <sheetData>
    <row r="3" spans="3:11" x14ac:dyDescent="0.2">
      <c r="C3" t="s">
        <v>10</v>
      </c>
      <c r="D3" s="7">
        <v>12570</v>
      </c>
    </row>
    <row r="4" spans="3:11" x14ac:dyDescent="0.2">
      <c r="C4" t="s">
        <v>11</v>
      </c>
      <c r="D4" s="12">
        <v>0.2</v>
      </c>
    </row>
    <row r="5" spans="3:11" x14ac:dyDescent="0.2">
      <c r="C5" t="s">
        <v>12</v>
      </c>
      <c r="D5" s="7">
        <v>50270</v>
      </c>
    </row>
    <row r="6" spans="3:11" x14ac:dyDescent="0.2">
      <c r="C6" t="s">
        <v>13</v>
      </c>
      <c r="D6" s="12">
        <v>0.4</v>
      </c>
    </row>
    <row r="7" spans="3:11" x14ac:dyDescent="0.2">
      <c r="C7" t="s">
        <v>14</v>
      </c>
      <c r="D7" s="5" t="b">
        <v>1</v>
      </c>
    </row>
    <row r="8" spans="3:11" x14ac:dyDescent="0.2">
      <c r="C8" t="s">
        <v>15</v>
      </c>
      <c r="D8" s="7">
        <f>100000+2*D3*D7</f>
        <v>125140</v>
      </c>
    </row>
    <row r="9" spans="3:11" x14ac:dyDescent="0.2">
      <c r="C9" t="s">
        <v>16</v>
      </c>
      <c r="D9" s="12">
        <v>0.45</v>
      </c>
    </row>
    <row r="10" spans="3:11" x14ac:dyDescent="0.2">
      <c r="C10" t="s">
        <v>17</v>
      </c>
      <c r="D10" s="6">
        <v>30174813</v>
      </c>
    </row>
    <row r="13" spans="3:11" x14ac:dyDescent="0.2">
      <c r="C13" t="s">
        <v>20</v>
      </c>
      <c r="D13" s="15">
        <v>267.10955691291014</v>
      </c>
      <c r="E13" t="s">
        <v>19</v>
      </c>
    </row>
    <row r="14" spans="3:11" x14ac:dyDescent="0.2">
      <c r="C14" t="s">
        <v>21</v>
      </c>
      <c r="D14" s="16">
        <f>SUM(G25:J45)/1000000000</f>
        <v>267.10955691291014</v>
      </c>
      <c r="E14" t="s">
        <v>19</v>
      </c>
    </row>
    <row r="15" spans="3:11" ht="17" thickBot="1" x14ac:dyDescent="0.25">
      <c r="F15" t="s">
        <v>7</v>
      </c>
      <c r="G15" s="3">
        <f>s2_</f>
        <v>0.2</v>
      </c>
      <c r="H15" s="3">
        <f>s4_</f>
        <v>0.4</v>
      </c>
      <c r="I15" s="10">
        <f>s5_*0.6</f>
        <v>0.6</v>
      </c>
      <c r="J15" s="3">
        <f>s7_</f>
        <v>0.45</v>
      </c>
    </row>
    <row r="16" spans="3:11" ht="18" thickTop="1" thickBot="1" x14ac:dyDescent="0.25">
      <c r="F16" t="s">
        <v>8</v>
      </c>
      <c r="G16" s="4">
        <f>s1_</f>
        <v>12570</v>
      </c>
      <c r="H16" s="4">
        <f>s3_</f>
        <v>50270</v>
      </c>
      <c r="I16" s="4">
        <f>s6_-s5_*2*s1_</f>
        <v>100000</v>
      </c>
      <c r="J16" s="4">
        <f>s6_</f>
        <v>125140</v>
      </c>
      <c r="K16" s="1"/>
    </row>
    <row r="17" spans="3:14" ht="18" thickTop="1" thickBot="1" x14ac:dyDescent="0.25">
      <c r="F17" t="s">
        <v>9</v>
      </c>
      <c r="G17" s="4">
        <f>s3_</f>
        <v>50270</v>
      </c>
      <c r="H17" s="4">
        <f>s6_-s5_*2*s1_</f>
        <v>100000</v>
      </c>
      <c r="I17" s="4">
        <f>s6_</f>
        <v>125140</v>
      </c>
      <c r="J17" s="4">
        <v>10000000</v>
      </c>
      <c r="K17" s="1"/>
    </row>
    <row r="18" spans="3:14" ht="17" thickTop="1" x14ac:dyDescent="0.2">
      <c r="G18" s="1"/>
      <c r="H18" s="1"/>
      <c r="I18" s="1"/>
      <c r="J18" s="1"/>
      <c r="K18" s="1"/>
    </row>
    <row r="19" spans="3:14" x14ac:dyDescent="0.2">
      <c r="F19" t="s">
        <v>22</v>
      </c>
      <c r="G19" s="7">
        <v>112169435861.16</v>
      </c>
      <c r="H19" s="7">
        <v>57947710885.200012</v>
      </c>
      <c r="I19" s="7">
        <v>22757843964.600025</v>
      </c>
      <c r="J19" s="7">
        <v>74234566201.950073</v>
      </c>
      <c r="K19" s="1"/>
    </row>
    <row r="20" spans="3:14" x14ac:dyDescent="0.2">
      <c r="F20" t="s">
        <v>23</v>
      </c>
      <c r="G20" s="9">
        <f>SUM(G25:G45)</f>
        <v>112169435861.16</v>
      </c>
      <c r="H20" s="9">
        <f>SUM(H25:H45)</f>
        <v>57947710885.200012</v>
      </c>
      <c r="I20" s="9">
        <f>SUM(I25:I45)</f>
        <v>22757843964.600025</v>
      </c>
      <c r="J20" s="9">
        <f>SUM(J25:J45)</f>
        <v>74234566201.950073</v>
      </c>
      <c r="K20" s="1"/>
      <c r="L20" s="14"/>
      <c r="N20" s="14"/>
    </row>
    <row r="21" spans="3:14" ht="17" thickBot="1" x14ac:dyDescent="0.25">
      <c r="G21" s="13">
        <f t="shared" ref="G21:I21" si="0">(G20-G19)*(100/85)/1000000</f>
        <v>0</v>
      </c>
      <c r="H21" s="13">
        <f t="shared" si="0"/>
        <v>0</v>
      </c>
      <c r="I21" s="13">
        <f t="shared" si="0"/>
        <v>0</v>
      </c>
      <c r="J21" s="13">
        <f>(J20-J19)*(100/85)/1000000</f>
        <v>0</v>
      </c>
      <c r="K21" s="1"/>
      <c r="L21" s="14"/>
      <c r="N21" s="14"/>
    </row>
    <row r="22" spans="3:14" ht="18" thickTop="1" thickBot="1" x14ac:dyDescent="0.25">
      <c r="G22" s="11" t="b">
        <f>ABS(G20-G19)&lt;1</f>
        <v>1</v>
      </c>
      <c r="H22" s="11" t="b">
        <f>ABS(H20-H19)&lt;1</f>
        <v>1</v>
      </c>
      <c r="I22" s="11" t="b">
        <f>ABS(I20-I19)&lt;1</f>
        <v>1</v>
      </c>
      <c r="J22" s="11" t="b">
        <f>ABS(J20-J19)&lt;1</f>
        <v>1</v>
      </c>
      <c r="K22" s="1"/>
    </row>
    <row r="23" spans="3:14" ht="17" thickTop="1" x14ac:dyDescent="0.2"/>
    <row r="24" spans="3:14" x14ac:dyDescent="0.2">
      <c r="C24" t="s">
        <v>0</v>
      </c>
      <c r="D24" t="s">
        <v>18</v>
      </c>
      <c r="E24" t="s">
        <v>1</v>
      </c>
      <c r="F24" t="s">
        <v>2</v>
      </c>
      <c r="G24" t="s">
        <v>3</v>
      </c>
      <c r="H24" t="s">
        <v>4</v>
      </c>
      <c r="I24" t="s">
        <v>5</v>
      </c>
      <c r="J24" t="s">
        <v>6</v>
      </c>
      <c r="L24" t="s">
        <v>24</v>
      </c>
    </row>
    <row r="25" spans="3:14" ht="17" thickBot="1" x14ac:dyDescent="0.25">
      <c r="C25" s="2">
        <v>0.05</v>
      </c>
      <c r="D25" s="8">
        <f>C25*$D$10</f>
        <v>1508740.6500000001</v>
      </c>
      <c r="E25" s="7">
        <v>540</v>
      </c>
      <c r="F25" s="17">
        <f>AVERAGE(E25,0)*12</f>
        <v>3240</v>
      </c>
      <c r="G25" s="9">
        <f t="shared" ref="G25:J45" si="1">MAX(0,MIN($F25,G$17)-G$16)*G$15*$D25</f>
        <v>0</v>
      </c>
      <c r="H25" s="9">
        <f t="shared" si="1"/>
        <v>0</v>
      </c>
      <c r="I25" s="9">
        <f t="shared" si="1"/>
        <v>0</v>
      </c>
      <c r="J25" s="9">
        <f t="shared" si="1"/>
        <v>0</v>
      </c>
      <c r="L25" s="13">
        <f>E25*12</f>
        <v>6480</v>
      </c>
    </row>
    <row r="26" spans="3:14" ht="18" thickTop="1" thickBot="1" x14ac:dyDescent="0.25">
      <c r="C26" s="2">
        <v>0.1</v>
      </c>
      <c r="D26" s="8">
        <f>(C26-C25)*$D$10</f>
        <v>1508740.6500000001</v>
      </c>
      <c r="E26" s="7">
        <v>832</v>
      </c>
      <c r="F26" s="17">
        <f>AVERAGE(E25:E26)*12</f>
        <v>8232</v>
      </c>
      <c r="G26" s="9">
        <f t="shared" si="1"/>
        <v>0</v>
      </c>
      <c r="H26" s="9">
        <f t="shared" si="1"/>
        <v>0</v>
      </c>
      <c r="I26" s="9">
        <f t="shared" si="1"/>
        <v>0</v>
      </c>
      <c r="J26" s="9">
        <f t="shared" si="1"/>
        <v>0</v>
      </c>
      <c r="L26" s="13">
        <f t="shared" ref="L26:L45" si="2">E26*12</f>
        <v>9984</v>
      </c>
    </row>
    <row r="27" spans="3:14" ht="18" thickTop="1" thickBot="1" x14ac:dyDescent="0.25">
      <c r="C27" s="2">
        <v>0.15</v>
      </c>
      <c r="D27" s="8">
        <f>(C27-C26)*$D$10</f>
        <v>1508740.6499999997</v>
      </c>
      <c r="E27" s="7">
        <v>1045</v>
      </c>
      <c r="F27" s="17">
        <f t="shared" ref="F27:F44" si="3">AVERAGE(E26:E27)*12</f>
        <v>11262</v>
      </c>
      <c r="G27" s="9">
        <f t="shared" si="1"/>
        <v>0</v>
      </c>
      <c r="H27" s="9">
        <f t="shared" si="1"/>
        <v>0</v>
      </c>
      <c r="I27" s="9">
        <f t="shared" si="1"/>
        <v>0</v>
      </c>
      <c r="J27" s="9">
        <f t="shared" si="1"/>
        <v>0</v>
      </c>
      <c r="L27" s="13">
        <f t="shared" si="2"/>
        <v>12540</v>
      </c>
    </row>
    <row r="28" spans="3:14" ht="18" thickTop="1" thickBot="1" x14ac:dyDescent="0.25">
      <c r="C28" s="2">
        <v>0.2</v>
      </c>
      <c r="D28" s="8">
        <f>(C28-C27)*$D$10</f>
        <v>1508740.6500000006</v>
      </c>
      <c r="E28" s="7">
        <v>1219</v>
      </c>
      <c r="F28" s="17">
        <f t="shared" si="3"/>
        <v>13584</v>
      </c>
      <c r="G28" s="9">
        <f t="shared" si="1"/>
        <v>305972603.82000011</v>
      </c>
      <c r="H28" s="9">
        <f t="shared" si="1"/>
        <v>0</v>
      </c>
      <c r="I28" s="9">
        <f t="shared" si="1"/>
        <v>0</v>
      </c>
      <c r="J28" s="9">
        <f t="shared" si="1"/>
        <v>0</v>
      </c>
      <c r="L28" s="13">
        <f t="shared" si="2"/>
        <v>14628</v>
      </c>
    </row>
    <row r="29" spans="3:14" ht="18" thickTop="1" thickBot="1" x14ac:dyDescent="0.25">
      <c r="C29" s="2">
        <v>0.25</v>
      </c>
      <c r="D29" s="8">
        <f>(C29-C28)*$D$10</f>
        <v>1508740.6499999997</v>
      </c>
      <c r="E29" s="7">
        <v>1493</v>
      </c>
      <c r="F29" s="17">
        <f t="shared" si="3"/>
        <v>16272</v>
      </c>
      <c r="G29" s="9">
        <f t="shared" si="1"/>
        <v>1117071577.26</v>
      </c>
      <c r="H29" s="9">
        <f t="shared" si="1"/>
        <v>0</v>
      </c>
      <c r="I29" s="9">
        <f t="shared" si="1"/>
        <v>0</v>
      </c>
      <c r="J29" s="9">
        <f t="shared" si="1"/>
        <v>0</v>
      </c>
      <c r="L29" s="13">
        <f t="shared" si="2"/>
        <v>17916</v>
      </c>
    </row>
    <row r="30" spans="3:14" ht="18" thickTop="1" thickBot="1" x14ac:dyDescent="0.25">
      <c r="C30" s="2">
        <v>0.3</v>
      </c>
      <c r="D30" s="8">
        <f>(C30-C29)*$D$10</f>
        <v>1508740.6499999997</v>
      </c>
      <c r="E30" s="7">
        <v>1765</v>
      </c>
      <c r="F30" s="17">
        <f t="shared" si="3"/>
        <v>19548</v>
      </c>
      <c r="G30" s="9">
        <f t="shared" si="1"/>
        <v>2105598451.1399999</v>
      </c>
      <c r="H30" s="9">
        <f t="shared" si="1"/>
        <v>0</v>
      </c>
      <c r="I30" s="9">
        <f t="shared" si="1"/>
        <v>0</v>
      </c>
      <c r="J30" s="9">
        <f t="shared" si="1"/>
        <v>0</v>
      </c>
      <c r="L30" s="13">
        <f t="shared" si="2"/>
        <v>21180</v>
      </c>
    </row>
    <row r="31" spans="3:14" ht="18" thickTop="1" thickBot="1" x14ac:dyDescent="0.25">
      <c r="C31" s="2">
        <v>0.35</v>
      </c>
      <c r="D31" s="8">
        <f>(C31-C30)*$D$10</f>
        <v>1508740.6499999997</v>
      </c>
      <c r="E31" s="7">
        <v>1999</v>
      </c>
      <c r="F31" s="17">
        <f t="shared" si="3"/>
        <v>22584</v>
      </c>
      <c r="G31" s="9">
        <f t="shared" si="1"/>
        <v>3021705773.8199997</v>
      </c>
      <c r="H31" s="9">
        <f t="shared" si="1"/>
        <v>0</v>
      </c>
      <c r="I31" s="9">
        <f t="shared" si="1"/>
        <v>0</v>
      </c>
      <c r="J31" s="9">
        <f t="shared" si="1"/>
        <v>0</v>
      </c>
      <c r="L31" s="13">
        <f t="shared" si="2"/>
        <v>23988</v>
      </c>
    </row>
    <row r="32" spans="3:14" ht="18" thickTop="1" thickBot="1" x14ac:dyDescent="0.25">
      <c r="C32" s="2">
        <v>0.4</v>
      </c>
      <c r="D32" s="8">
        <f>(C32-C31)*$D$10</f>
        <v>1508740.6500000013</v>
      </c>
      <c r="E32" s="7">
        <v>2158</v>
      </c>
      <c r="F32" s="17">
        <f t="shared" si="3"/>
        <v>24942</v>
      </c>
      <c r="G32" s="9">
        <f t="shared" si="1"/>
        <v>3733227864.3600035</v>
      </c>
      <c r="H32" s="9">
        <f t="shared" si="1"/>
        <v>0</v>
      </c>
      <c r="I32" s="9">
        <f t="shared" si="1"/>
        <v>0</v>
      </c>
      <c r="J32" s="9">
        <f t="shared" si="1"/>
        <v>0</v>
      </c>
      <c r="L32" s="13">
        <f t="shared" si="2"/>
        <v>25896</v>
      </c>
    </row>
    <row r="33" spans="3:12" ht="18" thickTop="1" thickBot="1" x14ac:dyDescent="0.25">
      <c r="C33" s="2">
        <v>0.45</v>
      </c>
      <c r="D33" s="8">
        <f>(C33-C32)*$D$10</f>
        <v>1508740.6499999997</v>
      </c>
      <c r="E33" s="7">
        <v>2320</v>
      </c>
      <c r="F33" s="17">
        <f t="shared" si="3"/>
        <v>26868</v>
      </c>
      <c r="G33" s="9">
        <f t="shared" si="1"/>
        <v>4314394762.7399998</v>
      </c>
      <c r="H33" s="9">
        <f t="shared" si="1"/>
        <v>0</v>
      </c>
      <c r="I33" s="9">
        <f t="shared" si="1"/>
        <v>0</v>
      </c>
      <c r="J33" s="9">
        <f t="shared" si="1"/>
        <v>0</v>
      </c>
      <c r="L33" s="13">
        <f t="shared" si="2"/>
        <v>27840</v>
      </c>
    </row>
    <row r="34" spans="3:12" ht="18" thickTop="1" thickBot="1" x14ac:dyDescent="0.25">
      <c r="C34" s="2">
        <v>0.5</v>
      </c>
      <c r="D34" s="8">
        <f>(C34-C33)*$D$10</f>
        <v>1508740.6499999997</v>
      </c>
      <c r="E34" s="7">
        <v>2494</v>
      </c>
      <c r="F34" s="17">
        <f t="shared" si="3"/>
        <v>28884</v>
      </c>
      <c r="G34" s="9">
        <f t="shared" si="1"/>
        <v>4922718992.8199987</v>
      </c>
      <c r="H34" s="9">
        <f t="shared" si="1"/>
        <v>0</v>
      </c>
      <c r="I34" s="9">
        <f t="shared" si="1"/>
        <v>0</v>
      </c>
      <c r="J34" s="9">
        <f t="shared" si="1"/>
        <v>0</v>
      </c>
      <c r="L34" s="13">
        <f t="shared" si="2"/>
        <v>29928</v>
      </c>
    </row>
    <row r="35" spans="3:12" ht="18" thickTop="1" thickBot="1" x14ac:dyDescent="0.25">
      <c r="C35" s="2">
        <v>0.55000000000000004</v>
      </c>
      <c r="D35" s="8">
        <f>(C35-C34)*$D$10</f>
        <v>1508740.6500000013</v>
      </c>
      <c r="E35" s="7">
        <v>2678</v>
      </c>
      <c r="F35" s="17">
        <f t="shared" si="3"/>
        <v>31032</v>
      </c>
      <c r="G35" s="9">
        <f t="shared" si="1"/>
        <v>5570873976.0600052</v>
      </c>
      <c r="H35" s="9">
        <f t="shared" si="1"/>
        <v>0</v>
      </c>
      <c r="I35" s="9">
        <f t="shared" si="1"/>
        <v>0</v>
      </c>
      <c r="J35" s="9">
        <f t="shared" si="1"/>
        <v>0</v>
      </c>
      <c r="L35" s="13">
        <f t="shared" si="2"/>
        <v>32136</v>
      </c>
    </row>
    <row r="36" spans="3:12" ht="18" thickTop="1" thickBot="1" x14ac:dyDescent="0.25">
      <c r="C36" s="2">
        <v>0.6</v>
      </c>
      <c r="D36" s="8">
        <f>(C36-C35)*$D$10</f>
        <v>1508740.649999998</v>
      </c>
      <c r="E36" s="7">
        <v>2900</v>
      </c>
      <c r="F36" s="17">
        <f t="shared" si="3"/>
        <v>33468</v>
      </c>
      <c r="G36" s="9">
        <f t="shared" si="1"/>
        <v>6305932420.7399921</v>
      </c>
      <c r="H36" s="9">
        <f t="shared" si="1"/>
        <v>0</v>
      </c>
      <c r="I36" s="9">
        <f t="shared" si="1"/>
        <v>0</v>
      </c>
      <c r="J36" s="9">
        <f t="shared" si="1"/>
        <v>0</v>
      </c>
      <c r="L36" s="13">
        <f t="shared" si="2"/>
        <v>34800</v>
      </c>
    </row>
    <row r="37" spans="3:12" ht="18" thickTop="1" thickBot="1" x14ac:dyDescent="0.25">
      <c r="C37" s="2">
        <v>0.65</v>
      </c>
      <c r="D37" s="8">
        <f>(C37-C36)*$D$10</f>
        <v>1508740.6500000013</v>
      </c>
      <c r="E37" s="7">
        <v>3154</v>
      </c>
      <c r="F37" s="17">
        <f t="shared" si="3"/>
        <v>36324</v>
      </c>
      <c r="G37" s="9">
        <f t="shared" si="1"/>
        <v>7167725080.0200062</v>
      </c>
      <c r="H37" s="9">
        <f t="shared" si="1"/>
        <v>0</v>
      </c>
      <c r="I37" s="9">
        <f t="shared" si="1"/>
        <v>0</v>
      </c>
      <c r="J37" s="9">
        <f t="shared" si="1"/>
        <v>0</v>
      </c>
      <c r="L37" s="13">
        <f t="shared" si="2"/>
        <v>37848</v>
      </c>
    </row>
    <row r="38" spans="3:12" ht="18" thickTop="1" thickBot="1" x14ac:dyDescent="0.25">
      <c r="C38" s="2">
        <v>0.7</v>
      </c>
      <c r="D38" s="8">
        <f>(C38-C37)*$D$10</f>
        <v>1508740.649999998</v>
      </c>
      <c r="E38" s="7">
        <v>3435</v>
      </c>
      <c r="F38" s="17">
        <f t="shared" si="3"/>
        <v>39534</v>
      </c>
      <c r="G38" s="9">
        <f t="shared" si="1"/>
        <v>8136336577.3199902</v>
      </c>
      <c r="H38" s="9">
        <f t="shared" si="1"/>
        <v>0</v>
      </c>
      <c r="I38" s="9">
        <f t="shared" si="1"/>
        <v>0</v>
      </c>
      <c r="J38" s="9">
        <f t="shared" si="1"/>
        <v>0</v>
      </c>
      <c r="L38" s="13">
        <f t="shared" si="2"/>
        <v>41220</v>
      </c>
    </row>
    <row r="39" spans="3:12" ht="18" thickTop="1" thickBot="1" x14ac:dyDescent="0.25">
      <c r="C39" s="2">
        <v>0.75</v>
      </c>
      <c r="D39" s="8">
        <f>(C39-C38)*$D$10</f>
        <v>1508740.6500000013</v>
      </c>
      <c r="E39" s="7">
        <v>3789</v>
      </c>
      <c r="F39" s="17">
        <f t="shared" si="3"/>
        <v>43344</v>
      </c>
      <c r="G39" s="9">
        <f t="shared" si="1"/>
        <v>9285996952.6200085</v>
      </c>
      <c r="H39" s="9">
        <f t="shared" si="1"/>
        <v>0</v>
      </c>
      <c r="I39" s="9">
        <f t="shared" si="1"/>
        <v>0</v>
      </c>
      <c r="J39" s="9">
        <f t="shared" si="1"/>
        <v>0</v>
      </c>
      <c r="L39" s="13">
        <f t="shared" si="2"/>
        <v>45468</v>
      </c>
    </row>
    <row r="40" spans="3:12" ht="18" thickTop="1" thickBot="1" x14ac:dyDescent="0.25">
      <c r="C40" s="2">
        <v>0.8</v>
      </c>
      <c r="D40" s="8">
        <f>(C40-C39)*$D$10</f>
        <v>1508740.6500000013</v>
      </c>
      <c r="E40" s="7">
        <v>4204</v>
      </c>
      <c r="F40" s="17">
        <f t="shared" si="3"/>
        <v>47958</v>
      </c>
      <c r="G40" s="9">
        <f t="shared" si="1"/>
        <v>10678262824.44001</v>
      </c>
      <c r="H40" s="9">
        <f t="shared" si="1"/>
        <v>0</v>
      </c>
      <c r="I40" s="9">
        <f t="shared" si="1"/>
        <v>0</v>
      </c>
      <c r="J40" s="9">
        <f t="shared" si="1"/>
        <v>0</v>
      </c>
      <c r="L40" s="13">
        <f t="shared" si="2"/>
        <v>50448</v>
      </c>
    </row>
    <row r="41" spans="3:12" ht="18" thickTop="1" thickBot="1" x14ac:dyDescent="0.25">
      <c r="C41" s="2">
        <v>0.85</v>
      </c>
      <c r="D41" s="8">
        <f>(C41-C40)*$D$10</f>
        <v>1508740.649999998</v>
      </c>
      <c r="E41" s="7">
        <v>4770</v>
      </c>
      <c r="F41" s="17">
        <f t="shared" si="3"/>
        <v>53844</v>
      </c>
      <c r="G41" s="9">
        <f t="shared" si="1"/>
        <v>11375904500.999985</v>
      </c>
      <c r="H41" s="9">
        <f t="shared" si="1"/>
        <v>2156895633.2399974</v>
      </c>
      <c r="I41" s="9">
        <f t="shared" si="1"/>
        <v>0</v>
      </c>
      <c r="J41" s="9">
        <f t="shared" si="1"/>
        <v>0</v>
      </c>
      <c r="L41" s="13">
        <f t="shared" si="2"/>
        <v>57240</v>
      </c>
    </row>
    <row r="42" spans="3:12" ht="18" thickTop="1" thickBot="1" x14ac:dyDescent="0.25">
      <c r="C42" s="2">
        <v>0.9</v>
      </c>
      <c r="D42" s="8">
        <f>(C42-C41)*$D$10</f>
        <v>1508740.6500000013</v>
      </c>
      <c r="E42" s="7">
        <v>5705</v>
      </c>
      <c r="F42" s="17">
        <f t="shared" si="3"/>
        <v>62850</v>
      </c>
      <c r="G42" s="9">
        <f t="shared" si="1"/>
        <v>11375904501.00001</v>
      </c>
      <c r="H42" s="9">
        <f t="shared" si="1"/>
        <v>7591982950.8000069</v>
      </c>
      <c r="I42" s="9">
        <f t="shared" si="1"/>
        <v>0</v>
      </c>
      <c r="J42" s="9">
        <f t="shared" si="1"/>
        <v>0</v>
      </c>
      <c r="L42" s="13">
        <f t="shared" si="2"/>
        <v>68460</v>
      </c>
    </row>
    <row r="43" spans="3:12" ht="18" thickTop="1" thickBot="1" x14ac:dyDescent="0.25">
      <c r="C43" s="2">
        <v>0.95</v>
      </c>
      <c r="D43" s="8">
        <f>(C43-C42)*$D$10</f>
        <v>1508740.649999998</v>
      </c>
      <c r="E43" s="7">
        <v>7696</v>
      </c>
      <c r="F43" s="17">
        <f t="shared" si="3"/>
        <v>80406</v>
      </c>
      <c r="G43" s="9">
        <f t="shared" si="1"/>
        <v>11375904500.999985</v>
      </c>
      <c r="H43" s="9">
        <f t="shared" si="1"/>
        <v>18186963291.359978</v>
      </c>
      <c r="I43" s="9">
        <f t="shared" si="1"/>
        <v>0</v>
      </c>
      <c r="J43" s="9">
        <f t="shared" si="1"/>
        <v>0</v>
      </c>
      <c r="L43" s="13">
        <f t="shared" si="2"/>
        <v>92352</v>
      </c>
    </row>
    <row r="44" spans="3:12" ht="18" thickTop="1" thickBot="1" x14ac:dyDescent="0.25">
      <c r="C44" s="2">
        <v>0.99</v>
      </c>
      <c r="D44" s="8">
        <f>(C44-C43)*$D$10</f>
        <v>1206992.5200000012</v>
      </c>
      <c r="E44" s="7">
        <v>16154</v>
      </c>
      <c r="F44" s="17">
        <f t="shared" si="3"/>
        <v>143100</v>
      </c>
      <c r="G44" s="9">
        <f t="shared" si="1"/>
        <v>9100723600.8000088</v>
      </c>
      <c r="H44" s="9">
        <f t="shared" si="1"/>
        <v>24009495207.840023</v>
      </c>
      <c r="I44" s="9">
        <f t="shared" si="1"/>
        <v>18206275171.680019</v>
      </c>
      <c r="J44" s="9">
        <f t="shared" si="1"/>
        <v>9754913546.6400089</v>
      </c>
      <c r="L44" s="13">
        <f t="shared" si="2"/>
        <v>193848</v>
      </c>
    </row>
    <row r="45" spans="3:12" ht="18" thickTop="1" thickBot="1" x14ac:dyDescent="0.25">
      <c r="C45" s="2">
        <v>1</v>
      </c>
      <c r="D45" s="8">
        <f>(C45-C44)*$D$10</f>
        <v>301748.1300000003</v>
      </c>
      <c r="E45" s="17">
        <f>(F45+F45-F44)/12</f>
        <v>88075</v>
      </c>
      <c r="F45" s="7">
        <v>600000</v>
      </c>
      <c r="G45" s="9">
        <f t="shared" si="1"/>
        <v>2275180900.2000022</v>
      </c>
      <c r="H45" s="9">
        <f t="shared" si="1"/>
        <v>6002373801.9600058</v>
      </c>
      <c r="I45" s="9">
        <f t="shared" si="1"/>
        <v>4551568792.9200048</v>
      </c>
      <c r="J45" s="9">
        <f t="shared" si="1"/>
        <v>64479652655.310066</v>
      </c>
      <c r="L45" s="13">
        <f t="shared" si="2"/>
        <v>1056900</v>
      </c>
    </row>
    <row r="46" spans="3:12" ht="17" thickTop="1" x14ac:dyDescent="0.2"/>
    <row r="47" spans="3:12" x14ac:dyDescent="0.2">
      <c r="F4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Revenue modellng (1% Flat)</vt:lpstr>
      <vt:lpstr>Revenue modellng (1% 200k)</vt:lpstr>
      <vt:lpstr>Revenue modellng (1% 600k)</vt:lpstr>
      <vt:lpstr>'Revenue modellng (1% 200k)'!s1_</vt:lpstr>
      <vt:lpstr>'Revenue modellng (1% 600k)'!s1_</vt:lpstr>
      <vt:lpstr>'Revenue modellng (1% Flat)'!s1_</vt:lpstr>
      <vt:lpstr>'Revenue modellng (1% 200k)'!s2_</vt:lpstr>
      <vt:lpstr>'Revenue modellng (1% 600k)'!s2_</vt:lpstr>
      <vt:lpstr>'Revenue modellng (1% Flat)'!s2_</vt:lpstr>
      <vt:lpstr>'Revenue modellng (1% 200k)'!s3_</vt:lpstr>
      <vt:lpstr>'Revenue modellng (1% 600k)'!s3_</vt:lpstr>
      <vt:lpstr>'Revenue modellng (1% Flat)'!s3_</vt:lpstr>
      <vt:lpstr>'Revenue modellng (1% 200k)'!s4_</vt:lpstr>
      <vt:lpstr>'Revenue modellng (1% 600k)'!s4_</vt:lpstr>
      <vt:lpstr>'Revenue modellng (1% Flat)'!s4_</vt:lpstr>
      <vt:lpstr>'Revenue modellng (1% 200k)'!s5_</vt:lpstr>
      <vt:lpstr>'Revenue modellng (1% 600k)'!s5_</vt:lpstr>
      <vt:lpstr>'Revenue modellng (1% Flat)'!s5_</vt:lpstr>
      <vt:lpstr>'Revenue modellng (1% 200k)'!s6_</vt:lpstr>
      <vt:lpstr>'Revenue modellng (1% 600k)'!s6_</vt:lpstr>
      <vt:lpstr>'Revenue modellng (1% Flat)'!s6_</vt:lpstr>
      <vt:lpstr>'Revenue modellng (1% 200k)'!s7_</vt:lpstr>
      <vt:lpstr>'Revenue modellng (1% 600k)'!s7_</vt:lpstr>
      <vt:lpstr>'Revenue modellng (1% Flat)'!s7_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2025-07-06T11:31:14Z</dcterms:created>
  <dcterms:modified xsi:type="dcterms:W3CDTF">2025-07-17T16:06:36Z</dcterms:modified>
</cp:coreProperties>
</file>