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760" windowWidth="30240" windowHeight="17840" tabRatio="600" firstSheet="0" activeTab="2" autoFilterDateGrouping="1"/>
  </bookViews>
  <sheets>
    <sheet name="Sheet1" sheetId="1" state="visible" r:id="rId1"/>
    <sheet name="Tabelle1" sheetId="2" state="hidden" r:id="rId2"/>
    <sheet name="Experiments" sheetId="3" state="visible" r:id="rId3"/>
    <sheet name="Tabelle2" sheetId="4" state="visible" r:id="rId4"/>
    <sheet name="Bounds" sheetId="5" state="visible" r:id="rId5"/>
    <sheet name="Tabelle3" sheetId="6" state="visible" r:id="rId6"/>
    <sheet name="Experiments_2025-05-07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FF0000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1D35"/>
      <sz val="12"/>
      <scheme val="minor"/>
    </font>
    <font>
      <name val="Calibri"/>
      <family val="2"/>
      <color rgb="FF1F1F1F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1499984740745262"/>
        <bgColor theme="0" tint="-0.149998474074526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" fontId="0" fillId="0" borderId="0" pivotButton="0" quotePrefix="0" xfId="0"/>
    <xf numFmtId="2" fontId="1" fillId="3" borderId="0" pivotButton="0" quotePrefix="0" xfId="0"/>
    <xf numFmtId="164" fontId="4" fillId="3" borderId="0" pivotButton="0" quotePrefix="0" xfId="0"/>
    <xf numFmtId="10" fontId="1" fillId="3" borderId="0" pivotButton="0" quotePrefix="0" xfId="0"/>
    <xf numFmtId="0" fontId="3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2" fontId="0" fillId="3" borderId="0" pivotButton="0" quotePrefix="0" xfId="0"/>
    <xf numFmtId="10" fontId="0" fillId="3" borderId="0" pivotButton="0" quotePrefix="0" xfId="0"/>
    <xf numFmtId="2" fontId="0" fillId="2" borderId="0" pivotButton="0" quotePrefix="0" xfId="0"/>
    <xf numFmtId="164" fontId="0" fillId="3" borderId="0" pivotButton="0" quotePrefix="0" xfId="0"/>
    <xf numFmtId="164" fontId="0" fillId="2" borderId="0" pivotButton="0" quotePrefix="0" xfId="0"/>
    <xf numFmtId="0" fontId="5" fillId="2" borderId="0" pivotButton="0" quotePrefix="0" xfId="0"/>
    <xf numFmtId="165" fontId="0" fillId="2" borderId="0" pivotButton="0" quotePrefix="0" xfId="0"/>
    <xf numFmtId="164" fontId="6" fillId="2" borderId="0" pivotButton="0" quotePrefix="0" xfId="0"/>
    <xf numFmtId="14" fontId="0" fillId="0" borderId="0" pivotButton="0" quotePrefix="0" xfId="0"/>
    <xf numFmtId="164" fontId="4" fillId="0" borderId="0" pivotButton="0" quotePrefix="0" xfId="0"/>
    <xf numFmtId="10" fontId="0" fillId="0" borderId="0" pivotButton="0" quotePrefix="0" xfId="0"/>
    <xf numFmtId="164" fontId="7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1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9" fillId="0" borderId="2" applyAlignment="1" pivotButton="0" quotePrefix="0" xfId="0">
      <alignment horizontal="center" vertical="top"/>
    </xf>
    <xf numFmtId="10" fontId="0" fillId="4" borderId="0" pivotButton="0" quotePrefix="0" xfId="0"/>
    <xf numFmtId="10" fontId="8" fillId="0" borderId="0" pivotButton="0" quotePrefix="0" xfId="0"/>
    <xf numFmtId="2" fontId="0" fillId="0" borderId="0" pivotButton="0" quotePrefix="0" xfId="0"/>
    <xf numFmtId="14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Standard" xfId="0" builtinId="0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"/>
      <alignment wrapText="1"/>
    </dxf>
    <dxf>
      <alignment horizontal="general" vertical="bottom" wrapText="1"/>
    </dxf>
    <dxf>
      <alignment horizontal="general" vertical="bottom" wrapText="1"/>
    </dxf>
    <dxf>
      <numFmt numFmtId="1" formatCode="0"/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14" formatCode="0.00%"/>
      <fill>
        <patternFill patternType="solid">
          <fgColor indexed="64"/>
          <bgColor theme="5" tint="0.7999816888943144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4" formatCode="0.00%"/>
      <fill>
        <patternFill patternType="solid">
          <fgColor indexed="64"/>
          <bgColor theme="5" tint="0.7999816888943144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2" formatCode="0.00"/>
      <fill>
        <patternFill patternType="solid">
          <fgColor indexed="64"/>
          <bgColor theme="5" tint="0.7999816888943144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4" formatCode="0.000"/>
      <fill>
        <patternFill patternType="solid">
          <fgColor indexed="64"/>
          <bgColor theme="5" tint="0.7999816888943144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4" formatCode="0.000"/>
      <fill>
        <patternFill patternType="solid">
          <fgColor indexed="64"/>
          <bgColor theme="5" tint="0.7999816888943144"/>
        </patternFill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2" formatCode="0.00"/>
      <fill>
        <patternFill patternType="solid">
          <fgColor indexed="64"/>
          <bgColor theme="5" tint="0.7999816888943144"/>
        </patternFill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2" formatCode="0.00"/>
      <fill>
        <patternFill patternType="solid">
          <fgColor indexed="64"/>
          <bgColor theme="5" tint="0.7999816888943144"/>
        </patternFill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2" formatCode="0.00"/>
      <fill>
        <patternFill patternType="solid">
          <fgColor indexed="64"/>
          <bgColor theme="2"/>
        </patternFill>
      </fill>
    </dxf>
    <dxf>
      <font>
        <name val="Calibri"/>
        <family val="2"/>
        <strike val="0"/>
        <outline val="0"/>
        <shadow val="0"/>
        <vertAlign val="baseline"/>
        <scheme val="minor"/>
      </font>
    </dxf>
    <dxf>
      <font>
        <name val="Calibri"/>
        <family val="2"/>
        <strike val="0"/>
        <outline val="0"/>
        <shadow val="0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.000"/>
      <fill>
        <patternFill patternType="solid">
          <fgColor indexed="64"/>
          <bgColor theme="2"/>
        </patternFill>
      </fill>
    </dxf>
    <dxf>
      <font>
        <name val="Calibri"/>
        <family val="2"/>
        <strike val="0"/>
        <outline val="0"/>
        <shadow val="0"/>
        <vertAlign val="baseline"/>
        <scheme val="minor"/>
      </font>
      <fill>
        <patternFill patternType="solid">
          <fgColor indexed="64"/>
          <bgColor theme="2"/>
        </patternFill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/>
        </patternFill>
      </fill>
    </dxf>
    <dxf>
      <font>
        <name val="Calibri"/>
        <family val="2"/>
        <strike val="0"/>
        <outline val="0"/>
        <shadow val="0"/>
        <vertAlign val="baseline"/>
        <scheme val="minor"/>
      </font>
      <fill>
        <patternFill patternType="solid">
          <fgColor indexed="64"/>
          <bgColor theme="2"/>
        </patternFill>
      </fill>
    </dxf>
    <dxf>
      <font>
        <name val="Calibri"/>
        <family val="2"/>
        <strike val="0"/>
        <outline val="0"/>
        <shadow val="0"/>
        <vertAlign val="baseline"/>
        <scheme val="minor"/>
      </font>
      <fill>
        <patternFill patternType="solid">
          <fgColor indexed="64"/>
          <bgColor theme="2"/>
        </patternFill>
      </fill>
    </dxf>
    <dxf>
      <font>
        <name val="Calibri"/>
        <family val="2"/>
        <strike val="0"/>
        <outline val="0"/>
        <shadow val="0"/>
        <vertAlign val="baseline"/>
        <scheme val="minor"/>
      </font>
    </dxf>
    <dxf>
      <font>
        <name val="Calibri"/>
        <family val="2"/>
        <strike val="0"/>
        <outline val="0"/>
        <shadow val="0"/>
        <vertAlign val="baseline"/>
        <scheme val="minor"/>
      </font>
    </dxf>
    <dxf>
      <font>
        <name val="Calibri"/>
        <family val="2"/>
        <strike val="0"/>
        <outline val="0"/>
        <shadow val="0"/>
        <vertAlign val="baseline"/>
        <scheme val="minor"/>
      </font>
    </dxf>
    <dxf>
      <font>
        <name val="Calibri"/>
        <family val="2"/>
        <strike val="0"/>
        <outline val="0"/>
        <shadow val="0"/>
        <vertAlign val="baseline"/>
        <scheme val="minor"/>
      </font>
    </dxf>
    <dxf>
      <font>
        <name val="Calibri"/>
        <family val="2"/>
        <strike val="0"/>
        <outline val="0"/>
        <shadow val="0"/>
        <vertAlign val="baseline"/>
        <scheme val="minor"/>
      </font>
    </dxf>
    <dxf>
      <font>
        <name val="Calibri"/>
        <family val="2"/>
        <strike val="0"/>
        <outline val="0"/>
        <shadow val="0"/>
        <vertAlign val="baseline"/>
        <scheme val="minor"/>
      </font>
    </dxf>
    <dxf>
      <alignment horizontal="general" vertical="bottom"/>
    </dxf>
    <dxf>
      <numFmt numFmtId="14" formatCode="0.00%"/>
    </dxf>
    <dxf>
      <numFmt numFmtId="2" formatCode="0.00"/>
    </dxf>
    <dxf>
      <numFmt numFmtId="2" formatCode="0.00"/>
    </dxf>
    <dxf>
      <numFmt numFmtId="14" formatCode="0.00%"/>
    </dxf>
    <dxf>
      <numFmt numFmtId="0" formatCode="General"/>
    </dxf>
    <dxf>
      <numFmt numFmtId="14" formatCode="0.00%"/>
      <alignment wrapText="1"/>
    </dxf>
    <dxf>
      <numFmt numFmtId="14" formatCode="0.00%"/>
    </dxf>
    <dxf>
      <numFmt numFmtId="14" formatCode="0.00%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.000"/>
    </dxf>
    <dxf>
      <font>
        <name val="Calibri"/>
        <family val="2"/>
        <b val="1"/>
        <strike val="0"/>
        <outline val="0"/>
        <shadow val="0"/>
        <color theme="1"/>
        <sz val="14"/>
        <vertAlign val="baseline"/>
        <scheme val="minor"/>
      </font>
      <numFmt numFmtId="164" formatCode="0.000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.000"/>
    </dxf>
    <dxf>
      <font>
        <name val="Calibri"/>
        <family val="2"/>
        <b val="1"/>
        <strike val="0"/>
        <outline val="0"/>
        <shadow val="0"/>
        <color theme="1"/>
        <sz val="14"/>
        <vertAlign val="baseline"/>
        <scheme val="minor"/>
      </font>
      <numFmt numFmtId="164" formatCode="0.000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9" formatCode="dd/mm/yy"/>
    </dxf>
    <dxf>
      <numFmt numFmtId="14" formatCode="0.00%"/>
    </dxf>
    <dxf>
      <numFmt numFmtId="14" formatCode="0.00%"/>
    </dxf>
    <dxf>
      <numFmt numFmtId="14" formatCode="0.00%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.000"/>
    </dxf>
    <dxf>
      <font>
        <name val="Calibri"/>
        <family val="2"/>
        <b val="1"/>
        <strike val="0"/>
        <outline val="0"/>
        <shadow val="0"/>
        <color theme="1"/>
        <sz val="14"/>
        <vertAlign val="baseline"/>
        <scheme val="minor"/>
      </font>
      <numFmt numFmtId="164" formatCode="0.000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0.000"/>
    </dxf>
    <dxf>
      <font>
        <name val="Calibri"/>
        <family val="2"/>
        <b val="1"/>
        <strike val="0"/>
        <outline val="0"/>
        <shadow val="0"/>
        <color theme="1"/>
        <sz val="14"/>
        <vertAlign val="baseline"/>
        <scheme val="minor"/>
      </font>
      <numFmt numFmtId="164" formatCode="0.000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t/>
            </a:r>
            <a:endParaRPr lang="de-DE"/>
          </a:p>
        </rich>
      </tx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spPr>
            <a:ln w="28575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Experiments!$B$2:$B$21</f>
              <numCache>
                <formatCode>0</formatCode>
                <ptCount val="20"/>
                <pt idx="0">
                  <v>194.658350012081</v>
                </pt>
                <pt idx="1">
                  <v>153.331684645093</v>
                </pt>
                <pt idx="2">
                  <v>159.020808871413</v>
                </pt>
                <pt idx="3">
                  <v>114.721960549088</v>
                </pt>
                <pt idx="4">
                  <v>143.331833944296</v>
                </pt>
                <pt idx="5">
                  <v>186.477779091378</v>
                </pt>
                <pt idx="6">
                  <v>169.812426458426</v>
                </pt>
                <pt idx="7">
                  <v>106.067122606195</v>
                </pt>
                <pt idx="8">
                  <v>128.736355765927</v>
                </pt>
                <pt idx="9">
                  <v>128.582132653504</v>
                </pt>
                <pt idx="10">
                  <v>194.5230323668147</v>
                </pt>
                <pt idx="11">
                  <v>135.7194290512448</v>
                </pt>
                <pt idx="12">
                  <v>167.1901565937721</v>
                </pt>
                <pt idx="13">
                  <v>102.8122794351714</v>
                </pt>
                <pt idx="14">
                  <v>107.1127360402414</v>
                </pt>
                <pt idx="15">
                  <v>180</v>
                </pt>
                <pt idx="16">
                  <v>180</v>
                </pt>
                <pt idx="17">
                  <v>180</v>
                </pt>
                <pt idx="18">
                  <v>180</v>
                </pt>
                <pt idx="19">
                  <v>180</v>
                </pt>
              </numCache>
            </numRef>
          </xVal>
          <yVal>
            <numRef>
              <f>Experiments!$I$2:$I$21</f>
              <numCache>
                <formatCode>0.000</formatCode>
                <ptCount val="20"/>
                <pt idx="0">
                  <v>0.196</v>
                </pt>
                <pt idx="1">
                  <v>0.056</v>
                </pt>
                <pt idx="2">
                  <v>0.103</v>
                </pt>
                <pt idx="3">
                  <v>0.2593954399267157</v>
                </pt>
                <pt idx="4">
                  <v>0.417</v>
                </pt>
                <pt idx="5">
                  <v>0.545</v>
                </pt>
                <pt idx="6">
                  <v>0.584</v>
                </pt>
                <pt idx="7">
                  <v>0.428</v>
                </pt>
                <pt idx="8">
                  <v>0.328</v>
                </pt>
                <pt idx="9">
                  <v>0.542</v>
                </pt>
                <pt idx="10">
                  <v>0.347</v>
                </pt>
                <pt idx="11">
                  <v>0.606</v>
                </pt>
                <pt idx="12">
                  <v>0.467</v>
                </pt>
                <pt idx="13">
                  <v>0.433</v>
                </pt>
                <pt idx="14">
                  <v>0.078</v>
                </pt>
                <pt idx="15">
                  <v>0</v>
                </pt>
                <pt idx="16">
                  <v>0.278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6073376"/>
        <axId val="155459456"/>
      </scatterChart>
      <valAx>
        <axId val="156073376"/>
        <scaling>
          <orientation val="minMax"/>
          <min val="10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55459456"/>
        <crosses val="autoZero"/>
        <crossBetween val="midCat"/>
      </valAx>
      <valAx>
        <axId val="15545945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5607337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127000</colOff>
      <row>4</row>
      <rowOff>0</rowOff>
    </from>
    <to>
      <col>6</col>
      <colOff>557351</colOff>
      <row>17</row>
      <rowOff>116006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ables/table1.xml><?xml version="1.0" encoding="utf-8"?>
<table xmlns="http://schemas.openxmlformats.org/spreadsheetml/2006/main" id="1" name="Tabelle1" displayName="Tabelle1" ref="A1:P31" headerRowCount="1" totalsRowShown="0" headerRowDxfId="57" headerRowBorderDxfId="56" tableBorderDxfId="55">
  <autoFilter ref="A1:P31"/>
  <sortState ref="A2:N31">
    <sortCondition ref="N1:N31"/>
  </sortState>
  <tableColumns count="16">
    <tableColumn id="1" name="Temperature" dataDxfId="54"/>
    <tableColumn id="2" name="Reaction Time" dataDxfId="53"/>
    <tableColumn id="3" name="CaO_w"/>
    <tableColumn id="7" name="CaO mass per experiment" dataDxfId="52">
      <calculatedColumnFormula>Tabelle2!$C$42/Tabelle2!$C$43*0.01*Tabelle1[[#This Row],[CaO_w]]*Tabelle2!$C$19</calculatedColumnFormula>
    </tableColumn>
    <tableColumn id="14" name="Actual CaO mass per experiment" dataDxfId="51"/>
    <tableColumn id="4" name="CaCl2_w"/>
    <tableColumn id="8" name="CaCl2 mass per experiment" dataDxfId="50">
      <calculatedColumnFormula>Tabelle1[[#This Row],[CaCl2_w]]/Tabelle2!$C$43*Tabelle2!$C$36*Tabelle2!$C$19*0.01</calculatedColumnFormula>
    </tableColumn>
    <tableColumn id="16" name="Actual CaCl2 mass per experiment" dataDxfId="49"/>
    <tableColumn id="9" name="Total Ca " dataDxfId="48">
      <calculatedColumnFormula>(Tabelle1[[#This Row],[CaCl2_w]]+Tabelle1[[#This Row],[CaO_w]])/100</calculatedColumnFormula>
    </tableColumn>
    <tableColumn id="18" name="Actual total Ca" dataDxfId="47">
      <calculatedColumnFormula>(Tabelle1[[#This Row],[Actual CaCl2 mass per experiment]]/(1/Tabelle2!$C$43*Tabelle2!$C$36*Tabelle2!$C$19*0.01)+Tabelle1[[#This Row],[Actual CaO mass per experiment]]/(Tabelle2!$C$42/Tabelle2!$C$43*0.01*Tabelle2!$C$19))*0.01</calculatedColumnFormula>
    </tableColumn>
    <tableColumn id="13" name="Chlorid in product" dataDxfId="46">
      <calculatedColumnFormula>Tabelle1[[#This Row],[Actual CaCl2 mass per experiment]]*Tabelle2!$C$28/(Tabelle2!$C$19*(1+Tabelle2!$C$29))*(2*Tabelle2!$C$44/Tabelle2!$C$36)</calculatedColumnFormula>
    </tableColumn>
    <tableColumn id="5" name="PSD"/>
    <tableColumn id="10" name="Reactor2"/>
    <tableColumn id="11" name="Date"/>
    <tableColumn id="12" name="Reactor" dataDxfId="45">
      <calculatedColumnFormula>IF(Tabelle1[[#This Row],[Reactor2]]=0,"BR300-2",IF(Tabelle1[[#This Row],[Reactor2]]=1,"BR300-3",IF(Tabelle1[[#This Row],[Reactor2]]=2,"BR300-4")))</calculatedColumnFormula>
    </tableColumn>
    <tableColumn id="17" name="Dry weigh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le16" displayName="Tabelle16" ref="A1:AA56" headerRowCount="1" totalsRowShown="0" headerRowDxfId="44" headerRowBorderDxfId="43" tableBorderDxfId="42">
  <autoFilter ref="A1:AA56"/>
  <sortState ref="A2:AA56">
    <sortCondition descending="1" ref="A1:A56"/>
  </sortState>
  <tableColumns count="27">
    <tableColumn id="26" name="Reaction #" dataDxfId="5"/>
    <tableColumn id="1" name="Temperature [°C]" dataDxfId="41"/>
    <tableColumn id="2" name="Reaction Time [min]" dataDxfId="40"/>
    <tableColumn id="3" name="CaO_w"/>
    <tableColumn id="7" name="CaO mass per experiment" dataDxfId="39">
      <calculatedColumnFormula>Tabelle2!$C$42/Tabelle2!$C$43*0.01*Tabelle16[[#This Row],[CaO_w]]*Tabelle2!$C$19</calculatedColumnFormula>
    </tableColumn>
    <tableColumn id="14" name="CaO mass [g]" dataDxfId="38"/>
    <tableColumn id="4" name="CaCl2_w"/>
    <tableColumn id="8" name="CaCl2 mass per experiment" dataDxfId="37">
      <calculatedColumnFormula>Tabelle16[[#This Row],[CaCl2_w]]/Tabelle2!$C$43*Tabelle2!$C$36*Tabelle2!$C$19*0.01</calculatedColumnFormula>
    </tableColumn>
    <tableColumn id="16" name="CaCl2 mass [g]" dataDxfId="36"/>
    <tableColumn id="9" name="Total Ca " dataDxfId="35">
      <calculatedColumnFormula>(Tabelle16[[#This Row],[CaCl2_w]]+Tabelle16[[#This Row],[CaO_w]])/100</calculatedColumnFormula>
    </tableColumn>
    <tableColumn id="18" name="Actual total Ca [w%]" dataDxfId="34">
      <calculatedColumnFormula>(Tabelle16[[#This Row],[CaCl2 mass '[g']]]/(1/Tabelle2!$C$43*Tabelle2!$C$36*Tabelle2!$C$19*0.01)+Tabelle16[[#This Row],[CaO mass '[g']]]/(Tabelle2!$C$42/Tabelle2!$C$43*0.01*Tabelle2!$C$19))*0.01</calculatedColumnFormula>
    </tableColumn>
    <tableColumn id="13" name="Chlorid in product [w%]" dataDxfId="33">
      <calculatedColumnFormula>Tabelle16[[#This Row],[CaCl2 mass '[g']]]*Tabelle2!$C$28/(Tabelle2!$C$19*(1+Tabelle2!$C$29))*(2*Tabelle2!$C$44/Tabelle2!$C$36)</calculatedColumnFormula>
    </tableColumn>
    <tableColumn id="5" name="PSD"/>
    <tableColumn id="10" name="Reactor #"/>
    <tableColumn id="11" name="Date of experimentation"/>
    <tableColumn id="12" name="Reactor idf." dataDxfId="2">
      <calculatedColumnFormula>IF(Tabelle16[[#This Row],[Reactor '#]]=0,"BR300-2",IF(Tabelle16[[#This Row],[Reactor '#]]=1,"BR300-3",IF(Tabelle16[[#This Row],[Reactor '#]]=2,"BR300-4")))</calculatedColumnFormula>
    </tableColumn>
    <tableColumn id="17" name="Dry weight [g]"/>
    <tableColumn id="27" name="Moisture after filtration" dataDxfId="3"/>
    <tableColumn id="6" name="Reaction yield (mass)" dataDxfId="4"/>
    <tableColumn id="19" name="Reaction yield (LOI)"/>
    <tableColumn id="15" name="Yield regression" dataDxfId="32">
      <calculatedColumnFormula>0.0846+0.9069*Tabelle16[[#This Row],[Reaction yield (mass)]]</calculatedColumnFormula>
    </tableColumn>
    <tableColumn id="22" name="LOI result" dataDxfId="31">
      <calculatedColumnFormula>Tabelle16[[#This Row],[Reaction yield (LOI)]]*Tabelle2!$C$31/(1+Tabelle2!$C$31*Tabelle16[[#This Row],[Reaction yield (LOI)]])</calculatedColumnFormula>
    </tableColumn>
    <tableColumn id="23" name="Total mass" dataDxfId="30">
      <calculatedColumnFormula>50+Tabelle16[[#This Row],[CaO mass '[g']]]+Tabelle16[[#This Row],[CaCl2 mass per experiment]]</calculatedColumnFormula>
    </tableColumn>
    <tableColumn id="25" name="Conversion [%]" dataDxfId="29"/>
    <tableColumn id="24" name="UpdatedI yield" dataDxfId="28">
      <calculatedColumnFormula>(((1-Tabelle16[[#This Row],[LOI result]])/(Tabelle16[[#This Row],[Total mass]]))^(-1)-Tabelle16[[#This Row],[Total mass]]-Tabelle16[[#This Row],[CaO mass '[g']]]*Tabelle2!$C$51-Tabelle16[[#This Row],[CaCl2 mass '[g']]]*Tabelle2!$C$52)/50/Tabelle2!$C$31</calculatedColumnFormula>
    </tableColumn>
    <tableColumn id="20" name="Comments"/>
    <tableColumn id="21" name="Sampling date" dataDxfId="2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elle38" displayName="Tabelle38" ref="B18:D31" headerRowCount="1" totalsRowShown="0" headerRowDxfId="26" dataDxfId="25">
  <autoFilter ref="B18:D31"/>
  <tableColumns count="3">
    <tableColumn id="1" name="Parameters" dataDxfId="24"/>
    <tableColumn id="2" name="Value" dataDxfId="23"/>
    <tableColumn id="3" name="Comment" dataDxfId="2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elle49" displayName="Tabelle49" ref="B34:C50" headerRowCount="1" totalsRowCount="1" headerRowDxfId="21" dataDxfId="20">
  <autoFilter ref="B34:C49"/>
  <tableColumns count="2">
    <tableColumn id="1" name="Component" totalsRowLabel="CO2" dataDxfId="19" totalsRowDxfId="18"/>
    <tableColumn id="2" name="Molar Mass [g/mol ]" totalsRowFunction="custom" dataDxfId="17" totalsRowDxfId="16">
      <totalsRowFormula>2*C46+C48</totalsRow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elle510" displayName="Tabelle510" ref="B5:I13" headerRowCount="1" totalsRowShown="0" headerRowDxfId="15" dataDxfId="14">
  <autoFilter ref="B5:I13"/>
  <tableColumns count="8">
    <tableColumn id="7" name="Component" dataDxfId="13"/>
    <tableColumn id="1" name="Total Mass (max) [g]" dataDxfId="12"/>
    <tableColumn id="2" name="Total Mass (max w buffer) [g]" dataDxfId="11">
      <calculatedColumnFormula>C6*$C$25</calculatedColumnFormula>
    </tableColumn>
    <tableColumn id="3" name="mass per experiment" dataDxfId="10"/>
    <tableColumn id="4" name="pH of the solution (based only on additives)" dataDxfId="9"/>
    <tableColumn id="5" name="mmol/L additive" dataDxfId="8"/>
    <tableColumn id="6" name="% chlorid in product " dataDxfId="7"/>
    <tableColumn id="8" name="Ca w% feedstock" dataDxfId="6">
      <calculatedColumnFormula>Tabelle510[[#This Row],[mass per experiment]]*$C$43/C35/$C$19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elle7" displayName="Tabelle7" ref="A1:C5" headerRowCount="1" totalsRowShown="0">
  <autoFilter ref="A1:C5"/>
  <tableColumns count="3">
    <tableColumn id="1" name="Parameter"/>
    <tableColumn id="2" name="min"/>
    <tableColumn id="3" name="max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_20250507" displayName="Table_20250507" ref="A1:V56" headerRowCount="1">
  <autoFilter ref="A1:V56"/>
  <tableColumns count="22">
    <tableColumn id="1" name="Reaction #"/>
    <tableColumn id="2" name="Temperature [°C]"/>
    <tableColumn id="3" name="Reaction Time [min]"/>
    <tableColumn id="4" name="CaO_w"/>
    <tableColumn id="5" name="CaO mass per experiment"/>
    <tableColumn id="6" name="CaO mass [g]"/>
    <tableColumn id="7" name="CaCl2_w"/>
    <tableColumn id="8" name="CaCl2 mass per experiment"/>
    <tableColumn id="9" name="CaCl2 mass [g]"/>
    <tableColumn id="10" name="Total Ca "/>
    <tableColumn id="11" name="Actual total Ca [w%]"/>
    <tableColumn id="12" name="Chlorid in product [w%]"/>
    <tableColumn id="13" name="PSD"/>
    <tableColumn id="14" name="Reactor #"/>
    <tableColumn id="15" name="Date of experimentation"/>
    <tableColumn id="16" name="Reactor idf."/>
    <tableColumn id="17" name="Dry weight [g]"/>
    <tableColumn id="18" name="Moisture after filtration"/>
    <tableColumn id="19" name="Reaction yield (mass)"/>
    <tableColumn id="20" name="Reaction yield (LOI)"/>
    <tableColumn id="21" name="Yield regression"/>
    <tableColumn id="22" name="LOI 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Relationship Type="http://schemas.openxmlformats.org/officeDocument/2006/relationships/table" Target="/xl/tables/table4.xml" Id="rId2" /><Relationship Type="http://schemas.openxmlformats.org/officeDocument/2006/relationships/table" Target="/xl/tables/table5.xml" Id="rId3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:E31"/>
    </sheetView>
  </sheetViews>
  <sheetFormatPr baseColWidth="10" defaultColWidth="8.83203125" defaultRowHeight="15"/>
  <sheetData>
    <row r="1">
      <c r="A1" s="1" t="inlineStr">
        <is>
          <t>Temperature</t>
        </is>
      </c>
      <c r="B1" s="1" t="inlineStr">
        <is>
          <t>Reaction Time</t>
        </is>
      </c>
      <c r="C1" s="1" t="inlineStr">
        <is>
          <t>CaO_w</t>
        </is>
      </c>
      <c r="D1" s="1" t="inlineStr">
        <is>
          <t>CaCl2_w</t>
        </is>
      </c>
      <c r="E1" s="1" t="inlineStr">
        <is>
          <t>PSD</t>
        </is>
      </c>
    </row>
    <row r="2">
      <c r="A2" t="n">
        <v>154.1330191683303</v>
      </c>
      <c r="B2" t="n">
        <v>77.63796462399148</v>
      </c>
      <c r="C2" t="n">
        <v>0.278469759847406</v>
      </c>
      <c r="D2" t="n">
        <v>0.05695759939903832</v>
      </c>
      <c r="E2" t="n">
        <v>2</v>
      </c>
    </row>
    <row r="3">
      <c r="A3" t="n">
        <v>128.4419915651349</v>
      </c>
      <c r="B3" t="n">
        <v>66.84538796034275</v>
      </c>
      <c r="C3" t="n">
        <v>0.4542095470468491</v>
      </c>
      <c r="D3" t="n">
        <v>0.1415885727138285</v>
      </c>
      <c r="E3" t="n">
        <v>2</v>
      </c>
    </row>
    <row r="4">
      <c r="A4" t="n">
        <v>195.5509813114095</v>
      </c>
      <c r="B4" t="n">
        <v>50.80351600845583</v>
      </c>
      <c r="C4" t="n">
        <v>0.961856410025675</v>
      </c>
      <c r="D4" t="n">
        <v>0.370263134492218</v>
      </c>
      <c r="E4" t="n">
        <v>3</v>
      </c>
    </row>
    <row r="5">
      <c r="A5" t="n">
        <v>171.1364456518957</v>
      </c>
      <c r="B5" t="n">
        <v>88.73836071443006</v>
      </c>
      <c r="C5" t="n">
        <v>0.4885177703203373</v>
      </c>
      <c r="D5" t="n">
        <v>0.285663309472512</v>
      </c>
      <c r="E5" t="n">
        <v>2</v>
      </c>
    </row>
    <row r="6">
      <c r="A6" t="n">
        <v>151.5749631663003</v>
      </c>
      <c r="B6" t="n">
        <v>113.1856263747562</v>
      </c>
      <c r="C6" t="n">
        <v>1.894646409212741</v>
      </c>
      <c r="D6" t="n">
        <v>0.06787857095034038</v>
      </c>
      <c r="E6" t="n">
        <v>3</v>
      </c>
    </row>
    <row r="7">
      <c r="A7" t="n">
        <v>139.3741247337189</v>
      </c>
      <c r="B7" t="n">
        <v>99.29791136376258</v>
      </c>
      <c r="C7" t="n">
        <v>0.676221263352783</v>
      </c>
      <c r="D7" t="n">
        <v>0.0196551358022756</v>
      </c>
      <c r="E7" t="n">
        <v>0</v>
      </c>
    </row>
    <row r="8">
      <c r="A8" t="n">
        <v>175.878871736916</v>
      </c>
      <c r="B8" t="n">
        <v>107.8648063075218</v>
      </c>
      <c r="C8" t="n">
        <v>0.1035828972625156</v>
      </c>
      <c r="D8" t="n">
        <v>0.2075852168322014</v>
      </c>
      <c r="E8" t="n">
        <v>2</v>
      </c>
    </row>
    <row r="9">
      <c r="A9" t="n">
        <v>121.1829583305352</v>
      </c>
      <c r="B9" t="n">
        <v>103.0080504657862</v>
      </c>
      <c r="C9" t="n">
        <v>0.2346322378437581</v>
      </c>
      <c r="D9" t="n">
        <v>0.1340636890331807</v>
      </c>
      <c r="E9" t="n">
        <v>0</v>
      </c>
    </row>
    <row r="10">
      <c r="A10" t="n">
        <v>149.0865533804749</v>
      </c>
      <c r="B10" t="n">
        <v>131.9106238078146</v>
      </c>
      <c r="C10" t="n">
        <v>0.6073535470320256</v>
      </c>
      <c r="D10" t="n">
        <v>0.2669098657319918</v>
      </c>
      <c r="E10" t="n">
        <v>1</v>
      </c>
    </row>
    <row r="11">
      <c r="A11" t="n">
        <v>157.5203954395933</v>
      </c>
      <c r="B11" t="n">
        <v>57.36880296927605</v>
      </c>
      <c r="C11" t="n">
        <v>1.305289860063182</v>
      </c>
      <c r="D11" t="n">
        <v>0.4143337252830107</v>
      </c>
      <c r="E11" t="n">
        <v>1</v>
      </c>
    </row>
    <row r="12">
      <c r="A12" t="n">
        <v>165.5570078671477</v>
      </c>
      <c r="B12" t="n">
        <v>38.40083785518226</v>
      </c>
      <c r="C12" t="n">
        <v>0.7547058134286839</v>
      </c>
      <c r="D12" t="n">
        <v>0.3264622695578483</v>
      </c>
      <c r="E12" t="n">
        <v>1</v>
      </c>
    </row>
    <row r="13">
      <c r="A13" t="n">
        <v>110.5319970878866</v>
      </c>
      <c r="B13" t="n">
        <v>44.32179593944652</v>
      </c>
      <c r="C13" t="n">
        <v>1.515615434442784</v>
      </c>
      <c r="D13" t="n">
        <v>0.1783112926532229</v>
      </c>
      <c r="E13" t="n">
        <v>3</v>
      </c>
    </row>
    <row r="14">
      <c r="A14" t="n">
        <v>168.3384650247276</v>
      </c>
      <c r="B14" t="n">
        <v>126.9946537168447</v>
      </c>
      <c r="C14" t="n">
        <v>0.5489462071231815</v>
      </c>
      <c r="D14" t="n">
        <v>0.3149099578954407</v>
      </c>
      <c r="E14" t="n">
        <v>2</v>
      </c>
    </row>
    <row r="15">
      <c r="A15" t="n">
        <v>191.6029219633228</v>
      </c>
      <c r="B15" t="n">
        <v>93.24607410661349</v>
      </c>
      <c r="C15" t="n">
        <v>1.791605085344234</v>
      </c>
      <c r="D15" t="n">
        <v>0.2927004630946459</v>
      </c>
      <c r="E15" t="n">
        <v>1</v>
      </c>
    </row>
    <row r="16">
      <c r="A16" t="n">
        <v>145.9028752567603</v>
      </c>
      <c r="B16" t="n">
        <v>151.520315821164</v>
      </c>
      <c r="C16" t="n">
        <v>1.700827567788684</v>
      </c>
      <c r="D16" t="n">
        <v>0.235031765400654</v>
      </c>
      <c r="E16" t="n">
        <v>2</v>
      </c>
    </row>
    <row r="17">
      <c r="A17" t="n">
        <v>101.7096817876199</v>
      </c>
      <c r="B17" t="n">
        <v>115.866639569251</v>
      </c>
      <c r="C17" t="n">
        <v>0.1655449557544576</v>
      </c>
      <c r="D17" t="n">
        <v>0.1853982211999477</v>
      </c>
      <c r="E17" t="n">
        <v>1</v>
      </c>
    </row>
    <row r="18">
      <c r="A18" t="n">
        <v>117.0530659012282</v>
      </c>
      <c r="B18" t="n">
        <v>82.8173654714605</v>
      </c>
      <c r="C18" t="n">
        <v>1.428328884540671</v>
      </c>
      <c r="D18" t="n">
        <v>0.3824262595795068</v>
      </c>
      <c r="E18" t="n">
        <v>1</v>
      </c>
    </row>
    <row r="19">
      <c r="A19" t="n">
        <v>115.3455024094867</v>
      </c>
      <c r="B19" t="n">
        <v>176.7724279419364</v>
      </c>
      <c r="C19" t="n">
        <v>0.8090579889691625</v>
      </c>
      <c r="D19" t="n">
        <v>0.4002842749526976</v>
      </c>
      <c r="E19" t="n">
        <v>2</v>
      </c>
    </row>
    <row r="20">
      <c r="A20" t="n">
        <v>132.8270630225706</v>
      </c>
      <c r="B20" t="n">
        <v>47.65643332509183</v>
      </c>
      <c r="C20" t="n">
        <v>0.01402476522664109</v>
      </c>
      <c r="D20" t="n">
        <v>0.4369239538075525</v>
      </c>
      <c r="E20" t="n">
        <v>3</v>
      </c>
    </row>
    <row r="21">
      <c r="A21" t="n">
        <v>188.5371817817969</v>
      </c>
      <c r="B21" t="n">
        <v>122.1158183375694</v>
      </c>
      <c r="C21" t="n">
        <v>1.563557083838373</v>
      </c>
      <c r="D21" t="n">
        <v>0.08285453717003805</v>
      </c>
      <c r="E21" t="n">
        <v>3</v>
      </c>
    </row>
    <row r="22">
      <c r="A22" t="n">
        <v>142.7899134040176</v>
      </c>
      <c r="B22" t="n">
        <v>32.50213075883297</v>
      </c>
      <c r="C22" t="n">
        <v>1.949619178682519</v>
      </c>
      <c r="D22" t="n">
        <v>0.09677820783945719</v>
      </c>
      <c r="E22" t="n">
        <v>0</v>
      </c>
    </row>
    <row r="23">
      <c r="A23" t="n">
        <v>180.9448870268309</v>
      </c>
      <c r="B23" t="n">
        <v>163.7815221405515</v>
      </c>
      <c r="C23" t="n">
        <v>0.924548689512115</v>
      </c>
      <c r="D23" t="n">
        <v>0.1624036234981931</v>
      </c>
      <c r="E23" t="n">
        <v>3</v>
      </c>
    </row>
    <row r="24">
      <c r="A24" t="n">
        <v>108.4562944929331</v>
      </c>
      <c r="B24" t="n">
        <v>156.65233245877</v>
      </c>
      <c r="C24" t="n">
        <v>1.117264161184164</v>
      </c>
      <c r="D24" t="n">
        <v>0.1096929390858616</v>
      </c>
      <c r="E24" t="n">
        <v>3</v>
      </c>
    </row>
    <row r="25">
      <c r="A25" t="n">
        <v>199.6211307331779</v>
      </c>
      <c r="B25" t="n">
        <v>136.9500812021253</v>
      </c>
      <c r="C25" t="n">
        <v>1.159352659059262</v>
      </c>
      <c r="D25" t="n">
        <v>0.4448854908018483</v>
      </c>
      <c r="E25" t="n">
        <v>0</v>
      </c>
    </row>
    <row r="26">
      <c r="A26" t="n">
        <v>105.3474654223789</v>
      </c>
      <c r="B26" t="n">
        <v>62.20512060351388</v>
      </c>
      <c r="C26" t="n">
        <v>1.62796685919566</v>
      </c>
      <c r="D26" t="n">
        <v>0.2158830341441308</v>
      </c>
      <c r="E26" t="n">
        <v>1</v>
      </c>
    </row>
    <row r="27">
      <c r="A27" t="n">
        <v>134.5913414124912</v>
      </c>
      <c r="B27" t="n">
        <v>174.1237034794033</v>
      </c>
      <c r="C27" t="n">
        <v>1.223535937405519</v>
      </c>
      <c r="D27" t="n">
        <v>0.3445442649125374</v>
      </c>
      <c r="E27" t="n">
        <v>0</v>
      </c>
    </row>
    <row r="28">
      <c r="A28" t="n">
        <v>184.6327368835062</v>
      </c>
      <c r="B28" t="n">
        <v>73.85782398182585</v>
      </c>
      <c r="C28" t="n">
        <v>1.366458781871337</v>
      </c>
      <c r="D28" t="n">
        <v>0.03963301961047868</v>
      </c>
      <c r="E28" t="n">
        <v>0</v>
      </c>
    </row>
    <row r="29">
      <c r="A29" t="n">
        <v>162.7044245851392</v>
      </c>
      <c r="B29" t="n">
        <v>166.8340928043829</v>
      </c>
      <c r="C29" t="n">
        <v>1.020836671594367</v>
      </c>
      <c r="D29" t="n">
        <v>0.2470306132244121</v>
      </c>
      <c r="E29" t="n">
        <v>0</v>
      </c>
    </row>
    <row r="30">
      <c r="A30" t="n">
        <v>125.3716191562839</v>
      </c>
      <c r="B30" t="n">
        <v>149.0969157910293</v>
      </c>
      <c r="C30" t="n">
        <v>1.837547517104794</v>
      </c>
      <c r="D30" t="n">
        <v>0.3611123492969004</v>
      </c>
      <c r="E30" t="n">
        <v>2</v>
      </c>
    </row>
    <row r="31">
      <c r="A31" t="n">
        <v>178.9333041818039</v>
      </c>
      <c r="B31" t="n">
        <v>142.9784273529992</v>
      </c>
      <c r="C31" t="n">
        <v>0.3543915520331412</v>
      </c>
      <c r="D31" t="n">
        <v>0.01178720749049826</v>
      </c>
      <c r="E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topLeftCell="C1" workbookViewId="0">
      <selection activeCell="A1" sqref="A1:P31"/>
    </sheetView>
  </sheetViews>
  <sheetFormatPr baseColWidth="10" defaultRowHeight="15"/>
  <cols>
    <col width="13.6640625" customWidth="1" min="1" max="1"/>
    <col width="14.5" customWidth="1" min="2" max="2"/>
    <col width="10.83203125" customWidth="1" min="3" max="3"/>
    <col width="25.83203125" bestFit="1" customWidth="1" min="4" max="4"/>
    <col width="25.83203125" customWidth="1" min="5" max="5"/>
    <col width="10.83203125" customWidth="1" min="6" max="6"/>
    <col width="27.33203125" bestFit="1" customWidth="1" min="7" max="8"/>
    <col width="12.5" bestFit="1" customWidth="1" min="9" max="9"/>
    <col width="16" customWidth="1" min="10" max="10"/>
    <col width="20.1640625" bestFit="1" customWidth="1" min="11" max="11"/>
    <col hidden="1" width="13" customWidth="1" min="13" max="13"/>
    <col width="14.5" bestFit="1" customWidth="1" min="15" max="15"/>
  </cols>
  <sheetData>
    <row r="1">
      <c r="A1" s="2" t="inlineStr">
        <is>
          <t>Temperature</t>
        </is>
      </c>
      <c r="B1" s="2" t="inlineStr">
        <is>
          <t>Reaction Time</t>
        </is>
      </c>
      <c r="C1" s="2" t="inlineStr">
        <is>
          <t>CaO_w</t>
        </is>
      </c>
      <c r="D1" s="2" t="inlineStr">
        <is>
          <t>CaO mass per experiment</t>
        </is>
      </c>
      <c r="E1" s="2" t="inlineStr">
        <is>
          <t>Actual CaO mass per experiment</t>
        </is>
      </c>
      <c r="F1" s="2" t="inlineStr">
        <is>
          <t>CaCl2_w</t>
        </is>
      </c>
      <c r="G1" s="2" t="inlineStr">
        <is>
          <t>CaCl2 mass per experiment</t>
        </is>
      </c>
      <c r="H1" s="2" t="inlineStr">
        <is>
          <t>Actual CaCl2 mass per experiment</t>
        </is>
      </c>
      <c r="I1" s="2" t="inlineStr">
        <is>
          <t xml:space="preserve">Total Ca </t>
        </is>
      </c>
      <c r="J1" s="2" t="inlineStr">
        <is>
          <t>Actual total Ca</t>
        </is>
      </c>
      <c r="K1" s="2" t="inlineStr">
        <is>
          <t>Chlorid in product</t>
        </is>
      </c>
      <c r="L1" s="2" t="inlineStr">
        <is>
          <t>PSD</t>
        </is>
      </c>
      <c r="M1" s="2" t="inlineStr">
        <is>
          <t>Reactor2</t>
        </is>
      </c>
      <c r="N1" s="2" t="inlineStr">
        <is>
          <t>Date</t>
        </is>
      </c>
      <c r="O1" s="2" t="inlineStr">
        <is>
          <t>Reactor</t>
        </is>
      </c>
      <c r="P1" s="2" t="inlineStr">
        <is>
          <t>Dry weight</t>
        </is>
      </c>
    </row>
    <row r="2" ht="19" customHeight="1">
      <c r="A2" s="3" t="n">
        <v>107.1127360402414</v>
      </c>
      <c r="B2" s="3" t="n">
        <v>163.2431056250521</v>
      </c>
      <c r="C2" t="n">
        <v>1.82402163978071</v>
      </c>
      <c r="D2" s="20">
        <f>Tabelle2!$C$42/Tabelle2!$C$43*0.01*Tabelle1[[#This Row],[CaO_w]]*Tabelle2!$C$19</f>
        <v/>
      </c>
      <c r="E2" s="22" t="n">
        <v>1.277</v>
      </c>
      <c r="F2" t="n">
        <v>0.05158066843362354</v>
      </c>
      <c r="G2" s="20">
        <f>Tabelle1[[#This Row],[CaCl2_w]]/Tabelle2!$C$43*Tabelle2!$C$36*Tabelle2!$C$19*0.01</f>
        <v/>
      </c>
      <c r="H2" s="22" t="n">
        <v>0.078</v>
      </c>
      <c r="I2" s="21">
        <f>(Tabelle1[[#This Row],[CaCl2_w]]+Tabelle1[[#This Row],[CaO_w]])/100</f>
        <v/>
      </c>
      <c r="J2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2" s="21">
        <f>Tabelle1[[#This Row],[Actual CaCl2 mass per experiment]]*Tabelle2!$C$28/(Tabelle2!$C$19*(1+Tabelle2!$C$29))*(2*Tabelle2!$C$44/Tabelle2!$C$36)</f>
        <v/>
      </c>
      <c r="L2" t="n">
        <v>0</v>
      </c>
      <c r="M2" t="n">
        <v>0</v>
      </c>
      <c r="N2" s="19" t="n">
        <v>45775</v>
      </c>
      <c r="O2" s="19">
        <f>IF(Tabelle1[[#This Row],[Reactor2]]=0,"BR300-2",IF(Tabelle1[[#This Row],[Reactor2]]=1,"BR300-3",IF(Tabelle1[[#This Row],[Reactor2]]=2,"BR300-4")))</f>
        <v/>
      </c>
    </row>
    <row r="3" ht="19" customHeight="1">
      <c r="A3" s="3" t="n">
        <v>102.8122794351714</v>
      </c>
      <c r="B3" s="3" t="n">
        <v>54.0767361988398</v>
      </c>
      <c r="C3" t="n">
        <v>1.215493106071189</v>
      </c>
      <c r="D3" s="20">
        <f>Tabelle2!$C$42/Tabelle2!$C$43*0.01*Tabelle1[[#This Row],[CaO_w]]*Tabelle2!$C$19</f>
        <v/>
      </c>
      <c r="E3" s="22" t="n">
        <v>0.855</v>
      </c>
      <c r="F3" t="n">
        <v>0.2969591796530708</v>
      </c>
      <c r="G3" s="20">
        <f>Tabelle1[[#This Row],[CaCl2_w]]/Tabelle2!$C$43*Tabelle2!$C$36*Tabelle2!$C$19*0.01</f>
        <v/>
      </c>
      <c r="H3" s="22" t="n">
        <v>0.433</v>
      </c>
      <c r="I3" s="21">
        <f>(Tabelle1[[#This Row],[CaCl2_w]]+Tabelle1[[#This Row],[CaO_w]])/100</f>
        <v/>
      </c>
      <c r="J3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3" s="21">
        <f>Tabelle1[[#This Row],[Actual CaCl2 mass per experiment]]*Tabelle2!$C$28/(Tabelle2!$C$19*(1+Tabelle2!$C$29))*(2*Tabelle2!$C$44/Tabelle2!$C$36)</f>
        <v/>
      </c>
      <c r="L3" t="n">
        <v>0</v>
      </c>
      <c r="M3" t="n">
        <v>1</v>
      </c>
      <c r="N3" s="19" t="n">
        <v>45775</v>
      </c>
      <c r="O3" s="19">
        <f>IF(Tabelle1[[#This Row],[Reactor2]]=0,"BR300-2",IF(Tabelle1[[#This Row],[Reactor2]]=1,"BR300-3",IF(Tabelle1[[#This Row],[Reactor2]]=2,"BR300-4")))</f>
        <v/>
      </c>
    </row>
    <row r="4" ht="19" customHeight="1">
      <c r="A4" s="3" t="n">
        <v>167.1901565937721</v>
      </c>
      <c r="B4" s="3" t="n">
        <v>40.6657120697186</v>
      </c>
      <c r="C4" t="n">
        <v>0.299873148760247</v>
      </c>
      <c r="D4" s="20">
        <f>Tabelle2!$C$42/Tabelle2!$C$43*0.01*Tabelle1[[#This Row],[CaO_w]]*Tabelle2!$C$19</f>
        <v/>
      </c>
      <c r="E4" s="22" t="n">
        <v>0.212</v>
      </c>
      <c r="F4" t="n">
        <v>0.336453353531038</v>
      </c>
      <c r="G4" s="20">
        <f>Tabelle1[[#This Row],[CaCl2_w]]/Tabelle2!$C$43*Tabelle2!$C$36*Tabelle2!$C$19*0.01</f>
        <v/>
      </c>
      <c r="H4" s="22" t="n">
        <v>0.467</v>
      </c>
      <c r="I4" s="21">
        <f>(Tabelle1[[#This Row],[CaCl2_w]]+Tabelle1[[#This Row],[CaO_w]])/100</f>
        <v/>
      </c>
      <c r="J4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4" s="21">
        <f>Tabelle1[[#This Row],[Actual CaCl2 mass per experiment]]*Tabelle2!$C$28/(Tabelle2!$C$19*(1+Tabelle2!$C$29))*(2*Tabelle2!$C$44/Tabelle2!$C$36)</f>
        <v/>
      </c>
      <c r="L4" t="n">
        <v>0</v>
      </c>
      <c r="M4" t="n">
        <v>2</v>
      </c>
      <c r="N4" s="19" t="n">
        <v>45775</v>
      </c>
      <c r="O4" s="19">
        <f>IF(Tabelle1[[#This Row],[Reactor2]]=0,"BR300-2",IF(Tabelle1[[#This Row],[Reactor2]]=1,"BR300-3",IF(Tabelle1[[#This Row],[Reactor2]]=2,"BR300-4")))</f>
        <v/>
      </c>
    </row>
    <row r="5" ht="19" customHeight="1">
      <c r="A5" s="3" t="n">
        <v>194.5230323668147</v>
      </c>
      <c r="B5" s="3" t="n">
        <v>138.3738624444177</v>
      </c>
      <c r="C5" t="n">
        <v>0.8774673060357087</v>
      </c>
      <c r="D5" s="20">
        <f>Tabelle2!$C$42/Tabelle2!$C$43*0.01*Tabelle1[[#This Row],[CaO_w]]*Tabelle2!$C$19</f>
        <v/>
      </c>
      <c r="E5" s="22" t="n"/>
      <c r="F5" t="n">
        <v>0.2493563502555145</v>
      </c>
      <c r="G5" s="20">
        <f>Tabelle1[[#This Row],[CaCl2_w]]/Tabelle2!$C$43*Tabelle2!$C$36*Tabelle2!$C$19*0.01</f>
        <v/>
      </c>
      <c r="H5" s="22" t="n"/>
      <c r="I5" s="21">
        <f>(Tabelle1[[#This Row],[CaCl2_w]]+Tabelle1[[#This Row],[CaO_w]])/100</f>
        <v/>
      </c>
      <c r="J5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5" s="21">
        <f>Tabelle1[[#This Row],[Actual CaCl2 mass per experiment]]*Tabelle2!$C$28/(Tabelle2!$C$19*(1+Tabelle2!$C$29))*(2*Tabelle2!$C$44/Tabelle2!$C$36)</f>
        <v/>
      </c>
      <c r="L5" t="n">
        <v>0</v>
      </c>
      <c r="M5" t="n">
        <v>1</v>
      </c>
      <c r="N5" s="19" t="n">
        <v>45776</v>
      </c>
      <c r="O5" s="19">
        <f>IF(Tabelle1[[#This Row],[Reactor2]]=0,"BR300-2",IF(Tabelle1[[#This Row],[Reactor2]]=1,"BR300-3",IF(Tabelle1[[#This Row],[Reactor2]]=2,"BR300-4")))</f>
        <v/>
      </c>
    </row>
    <row r="6" ht="19" customHeight="1">
      <c r="A6" s="3" t="n">
        <v>128.582132653504</v>
      </c>
      <c r="B6" s="3" t="n">
        <v>89.23848009746386</v>
      </c>
      <c r="C6" t="n">
        <v>0.5609004629869452</v>
      </c>
      <c r="D6" s="20">
        <f>Tabelle2!$C$42/Tabelle2!$C$43*0.01*Tabelle1[[#This Row],[CaO_w]]*Tabelle2!$C$19</f>
        <v/>
      </c>
      <c r="E6" s="22" t="n"/>
      <c r="F6" t="n">
        <v>0.3913884681989979</v>
      </c>
      <c r="G6" s="20">
        <f>Tabelle1[[#This Row],[CaCl2_w]]/Tabelle2!$C$43*Tabelle2!$C$36*Tabelle2!$C$19*0.01</f>
        <v/>
      </c>
      <c r="H6" s="22" t="n"/>
      <c r="I6" s="21">
        <f>(Tabelle1[[#This Row],[CaCl2_w]]+Tabelle1[[#This Row],[CaO_w]])/100</f>
        <v/>
      </c>
      <c r="J6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6" s="21">
        <f>Tabelle1[[#This Row],[Actual CaCl2 mass per experiment]]*Tabelle2!$C$28/(Tabelle2!$C$19*(1+Tabelle2!$C$29))*(2*Tabelle2!$C$44/Tabelle2!$C$36)</f>
        <v/>
      </c>
      <c r="L6" t="n">
        <v>0</v>
      </c>
      <c r="M6" t="n">
        <v>2</v>
      </c>
      <c r="N6" s="19" t="n">
        <v>45776</v>
      </c>
      <c r="O6" s="19">
        <f>IF(Tabelle1[[#This Row],[Reactor2]]=0,"BR300-2",IF(Tabelle1[[#This Row],[Reactor2]]=1,"BR300-3",IF(Tabelle1[[#This Row],[Reactor2]]=2,"BR300-4")))</f>
        <v/>
      </c>
    </row>
    <row r="7" ht="19" customHeight="1">
      <c r="A7" s="3" t="n">
        <v>135.7194290512448</v>
      </c>
      <c r="B7" s="3" t="n">
        <v>111.2720515927708</v>
      </c>
      <c r="C7" t="n">
        <v>0.2355322709988796</v>
      </c>
      <c r="D7" s="20">
        <f>Tabelle2!$C$42/Tabelle2!$C$43*0.01*Tabelle1[[#This Row],[CaO_w]]*Tabelle2!$C$19</f>
        <v/>
      </c>
      <c r="E7" s="22" t="n"/>
      <c r="F7" t="n">
        <v>0.4354461245933116</v>
      </c>
      <c r="G7" s="20">
        <f>Tabelle1[[#This Row],[CaCl2_w]]/Tabelle2!$C$43*Tabelle2!$C$36*Tabelle2!$C$19*0.01</f>
        <v/>
      </c>
      <c r="H7" s="22" t="n"/>
      <c r="I7" s="21">
        <f>(Tabelle1[[#This Row],[CaCl2_w]]+Tabelle1[[#This Row],[CaO_w]])/100</f>
        <v/>
      </c>
      <c r="J7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7" s="21">
        <f>Tabelle1[[#This Row],[Actual CaCl2 mass per experiment]]*Tabelle2!$C$28/(Tabelle2!$C$19*(1+Tabelle2!$C$29))*(2*Tabelle2!$C$44/Tabelle2!$C$36)</f>
        <v/>
      </c>
      <c r="L7" t="n">
        <v>0</v>
      </c>
      <c r="M7" t="n">
        <v>0</v>
      </c>
      <c r="N7" s="19" t="n">
        <v>45776</v>
      </c>
      <c r="O7" s="19">
        <f>IF(Tabelle1[[#This Row],[Reactor2]]=0,"BR300-2",IF(Tabelle1[[#This Row],[Reactor2]]=1,"BR300-3",IF(Tabelle1[[#This Row],[Reactor2]]=2,"BR300-4")))</f>
        <v/>
      </c>
    </row>
    <row r="8" ht="19" customHeight="1">
      <c r="A8" s="3" t="n">
        <v>151.9144977753331</v>
      </c>
      <c r="B8" s="3" t="n">
        <v>96.91224868354254</v>
      </c>
      <c r="C8" t="n">
        <v>1.719798371394319</v>
      </c>
      <c r="D8" s="20">
        <f>Tabelle2!$C$42/Tabelle2!$C$43*0.01*Tabelle1[[#This Row],[CaO_w]]*Tabelle2!$C$19</f>
        <v/>
      </c>
      <c r="E8" s="22" t="n"/>
      <c r="F8" t="n">
        <v>0.3280895978617224</v>
      </c>
      <c r="G8" s="20">
        <f>Tabelle1[[#This Row],[CaCl2_w]]/Tabelle2!$C$43*Tabelle2!$C$36*Tabelle2!$C$19*0.01</f>
        <v/>
      </c>
      <c r="H8" s="22" t="n"/>
      <c r="I8" s="21">
        <f>(Tabelle1[[#This Row],[CaCl2_w]]+Tabelle1[[#This Row],[CaO_w]])/100</f>
        <v/>
      </c>
      <c r="J8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8" s="21">
        <f>Tabelle1[[#This Row],[Actual CaCl2 mass per experiment]]*Tabelle2!$C$28/(Tabelle2!$C$19*(1+Tabelle2!$C$29))*(2*Tabelle2!$C$44/Tabelle2!$C$36)</f>
        <v/>
      </c>
      <c r="L8" t="n">
        <v>0</v>
      </c>
      <c r="M8" t="n">
        <v>1</v>
      </c>
      <c r="N8" s="19" t="n">
        <v>45777</v>
      </c>
      <c r="O8" s="19">
        <f>IF(Tabelle1[[#This Row],[Reactor2]]=0,"BR300-2",IF(Tabelle1[[#This Row],[Reactor2]]=1,"BR300-3",IF(Tabelle1[[#This Row],[Reactor2]]=2,"BR300-4")))</f>
        <v/>
      </c>
    </row>
    <row r="9" ht="19" customHeight="1">
      <c r="A9" s="3" t="n">
        <v>192.1794154270018</v>
      </c>
      <c r="B9" s="3" t="n">
        <v>74.26533395320182</v>
      </c>
      <c r="C9" t="n">
        <v>1.7920626840972</v>
      </c>
      <c r="D9" s="20">
        <f>Tabelle2!$C$42/Tabelle2!$C$43*0.01*Tabelle1[[#This Row],[CaO_w]]*Tabelle2!$C$19</f>
        <v/>
      </c>
      <c r="E9" s="22" t="n"/>
      <c r="F9" t="n">
        <v>0.1255918652160171</v>
      </c>
      <c r="G9" s="20">
        <f>Tabelle1[[#This Row],[CaCl2_w]]/Tabelle2!$C$43*Tabelle2!$C$36*Tabelle2!$C$19*0.01</f>
        <v/>
      </c>
      <c r="H9" s="22" t="n"/>
      <c r="I9" s="21">
        <f>(Tabelle1[[#This Row],[CaCl2_w]]+Tabelle1[[#This Row],[CaO_w]])/100</f>
        <v/>
      </c>
      <c r="J9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9" s="21">
        <f>Tabelle1[[#This Row],[Actual CaCl2 mass per experiment]]*Tabelle2!$C$28/(Tabelle2!$C$19*(1+Tabelle2!$C$29))*(2*Tabelle2!$C$44/Tabelle2!$C$36)</f>
        <v/>
      </c>
      <c r="L9" t="n">
        <v>0</v>
      </c>
      <c r="M9" t="n">
        <v>2</v>
      </c>
      <c r="N9" s="19" t="n">
        <v>45777</v>
      </c>
      <c r="O9" s="19">
        <f>IF(Tabelle1[[#This Row],[Reactor2]]=0,"BR300-2",IF(Tabelle1[[#This Row],[Reactor2]]=1,"BR300-3",IF(Tabelle1[[#This Row],[Reactor2]]=2,"BR300-4")))</f>
        <v/>
      </c>
    </row>
    <row r="10" ht="19" customHeight="1">
      <c r="A10" s="3" t="n">
        <v>159.2049884672936</v>
      </c>
      <c r="B10" s="3" t="n">
        <v>170.8418036237675</v>
      </c>
      <c r="C10" t="n">
        <v>0.6174157190001021</v>
      </c>
      <c r="D10" s="20">
        <f>Tabelle2!$C$42/Tabelle2!$C$43*0.01*Tabelle1[[#This Row],[CaO_w]]*Tabelle2!$C$19</f>
        <v/>
      </c>
      <c r="E10" s="22" t="n"/>
      <c r="F10" t="n">
        <v>0.06822362131734257</v>
      </c>
      <c r="G10" s="20">
        <f>Tabelle1[[#This Row],[CaCl2_w]]/Tabelle2!$C$43*Tabelle2!$C$36*Tabelle2!$C$19*0.01</f>
        <v/>
      </c>
      <c r="H10" s="22" t="n"/>
      <c r="I10" s="21">
        <f>(Tabelle1[[#This Row],[CaCl2_w]]+Tabelle1[[#This Row],[CaO_w]])/100</f>
        <v/>
      </c>
      <c r="J10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10" s="21">
        <f>Tabelle1[[#This Row],[Actual CaCl2 mass per experiment]]*Tabelle2!$C$28/(Tabelle2!$C$19*(1+Tabelle2!$C$29))*(2*Tabelle2!$C$44/Tabelle2!$C$36)</f>
        <v/>
      </c>
      <c r="L10" t="n">
        <v>0</v>
      </c>
      <c r="M10" t="n">
        <v>0</v>
      </c>
      <c r="N10" s="19" t="n">
        <v>45777</v>
      </c>
      <c r="O10" s="19">
        <f>IF(Tabelle1[[#This Row],[Reactor2]]=0,"BR300-2",IF(Tabelle1[[#This Row],[Reactor2]]=1,"BR300-3",IF(Tabelle1[[#This Row],[Reactor2]]=2,"BR300-4")))</f>
        <v/>
      </c>
    </row>
    <row r="11" ht="19" customHeight="1">
      <c r="A11" s="3" t="n">
        <v>118.4144714102685</v>
      </c>
      <c r="B11" s="3" t="n">
        <v>178.0559892473462</v>
      </c>
      <c r="C11" t="n">
        <v>0.05635457212017037</v>
      </c>
      <c r="D11" s="20">
        <f>Tabelle2!$C$42/Tabelle2!$C$43*0.01*Tabelle1[[#This Row],[CaO_w]]*Tabelle2!$C$19</f>
        <v/>
      </c>
      <c r="E11" s="22" t="n"/>
      <c r="F11" t="n">
        <v>0.4173435008402139</v>
      </c>
      <c r="G11" s="20">
        <f>Tabelle1[[#This Row],[CaCl2_w]]/Tabelle2!$C$43*Tabelle2!$C$36*Tabelle2!$C$19*0.01</f>
        <v/>
      </c>
      <c r="H11" s="22" t="n"/>
      <c r="I11" s="21">
        <f>(Tabelle1[[#This Row],[CaCl2_w]]+Tabelle1[[#This Row],[CaO_w]])/100</f>
        <v/>
      </c>
      <c r="J11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11" s="21">
        <f>Tabelle1[[#This Row],[Actual CaCl2 mass per experiment]]*Tabelle2!$C$28/(Tabelle2!$C$19*(1+Tabelle2!$C$29))*(2*Tabelle2!$C$44/Tabelle2!$C$36)</f>
        <v/>
      </c>
      <c r="L11" t="n">
        <v>3</v>
      </c>
      <c r="M11" t="n">
        <v>2</v>
      </c>
      <c r="O11" s="19">
        <f>IF(Tabelle1[[#This Row],[Reactor2]]=0,"BR300-2",IF(Tabelle1[[#This Row],[Reactor2]]=1,"BR300-3",IF(Tabelle1[[#This Row],[Reactor2]]=2,"BR300-4")))</f>
        <v/>
      </c>
    </row>
    <row r="12" ht="19" customHeight="1">
      <c r="A12" s="3" t="n">
        <v>123.9875648410537</v>
      </c>
      <c r="B12" s="3" t="n">
        <v>68.50136049159904</v>
      </c>
      <c r="C12" t="n">
        <v>0.7488239905616577</v>
      </c>
      <c r="D12" s="20">
        <f>Tabelle2!$C$42/Tabelle2!$C$43*0.01*Tabelle1[[#This Row],[CaO_w]]*Tabelle2!$C$19</f>
        <v/>
      </c>
      <c r="E12" s="22" t="n"/>
      <c r="F12" t="n">
        <v>0.01084590968858835</v>
      </c>
      <c r="G12" s="20">
        <f>Tabelle1[[#This Row],[CaCl2_w]]/Tabelle2!$C$43*Tabelle2!$C$36*Tabelle2!$C$19*0.01</f>
        <v/>
      </c>
      <c r="H12" s="22" t="n"/>
      <c r="I12" s="21">
        <f>(Tabelle1[[#This Row],[CaCl2_w]]+Tabelle1[[#This Row],[CaO_w]])/100</f>
        <v/>
      </c>
      <c r="J12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12" s="21">
        <f>Tabelle1[[#This Row],[Actual CaCl2 mass per experiment]]*Tabelle2!$C$28/(Tabelle2!$C$19*(1+Tabelle2!$C$29))*(2*Tabelle2!$C$44/Tabelle2!$C$36)</f>
        <v/>
      </c>
      <c r="L12" t="n">
        <v>3</v>
      </c>
      <c r="M12" t="n">
        <v>0</v>
      </c>
      <c r="O12" s="19">
        <f>IF(Tabelle1[[#This Row],[Reactor2]]=0,"BR300-2",IF(Tabelle1[[#This Row],[Reactor2]]=1,"BR300-3",IF(Tabelle1[[#This Row],[Reactor2]]=2,"BR300-4")))</f>
        <v/>
      </c>
    </row>
    <row r="13" ht="19" customHeight="1">
      <c r="A13" s="3" t="n">
        <v>162.2694227498486</v>
      </c>
      <c r="B13" s="3" t="n">
        <v>78.66862472240452</v>
      </c>
      <c r="C13" t="n">
        <v>1.075182293818747</v>
      </c>
      <c r="D13" s="20">
        <f>Tabelle2!$C$42/Tabelle2!$C$43*0.01*Tabelle1[[#This Row],[CaO_w]]*Tabelle2!$C$19</f>
        <v/>
      </c>
      <c r="E13" s="22" t="n"/>
      <c r="F13" t="n">
        <v>0.1952578741471178</v>
      </c>
      <c r="G13" s="20">
        <f>Tabelle1[[#This Row],[CaCl2_w]]/Tabelle2!$C$43*Tabelle2!$C$36*Tabelle2!$C$19*0.01</f>
        <v/>
      </c>
      <c r="H13" s="22" t="n"/>
      <c r="I13" s="21">
        <f>(Tabelle1[[#This Row],[CaCl2_w]]+Tabelle1[[#This Row],[CaO_w]])/100</f>
        <v/>
      </c>
      <c r="J13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13" s="21">
        <f>Tabelle1[[#This Row],[Actual CaCl2 mass per experiment]]*Tabelle2!$C$28/(Tabelle2!$C$19*(1+Tabelle2!$C$29))*(2*Tabelle2!$C$44/Tabelle2!$C$36)</f>
        <v/>
      </c>
      <c r="L13" t="n">
        <v>3</v>
      </c>
      <c r="M13" t="n">
        <v>0</v>
      </c>
      <c r="O13" s="19">
        <f>IF(Tabelle1[[#This Row],[Reactor2]]=0,"BR300-2",IF(Tabelle1[[#This Row],[Reactor2]]=1,"BR300-3",IF(Tabelle1[[#This Row],[Reactor2]]=2,"BR300-4")))</f>
        <v/>
      </c>
    </row>
    <row r="14" ht="19" customHeight="1">
      <c r="A14" s="3" t="n">
        <v>165.0824500787687</v>
      </c>
      <c r="B14" s="3" t="n">
        <v>152.9678557826824</v>
      </c>
      <c r="C14" t="n">
        <v>1.364113018248349</v>
      </c>
      <c r="D14" s="20">
        <f>Tabelle2!$C$42/Tabelle2!$C$43*0.01*Tabelle1[[#This Row],[CaO_w]]*Tabelle2!$C$19</f>
        <v/>
      </c>
      <c r="E14" s="22" t="n"/>
      <c r="F14" t="n">
        <v>0.2767055776198917</v>
      </c>
      <c r="G14" s="20">
        <f>Tabelle1[[#This Row],[CaCl2_w]]/Tabelle2!$C$43*Tabelle2!$C$36*Tabelle2!$C$19*0.01</f>
        <v/>
      </c>
      <c r="H14" s="22" t="n"/>
      <c r="I14" s="21">
        <f>(Tabelle1[[#This Row],[CaCl2_w]]+Tabelle1[[#This Row],[CaO_w]])/100</f>
        <v/>
      </c>
      <c r="J14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14" s="21">
        <f>Tabelle1[[#This Row],[Actual CaCl2 mass per experiment]]*Tabelle2!$C$28/(Tabelle2!$C$19*(1+Tabelle2!$C$29))*(2*Tabelle2!$C$44/Tabelle2!$C$36)</f>
        <v/>
      </c>
      <c r="L14" t="n">
        <v>3</v>
      </c>
      <c r="M14" t="n">
        <v>2</v>
      </c>
      <c r="O14" s="19">
        <f>IF(Tabelle1[[#This Row],[Reactor2]]=0,"BR300-2",IF(Tabelle1[[#This Row],[Reactor2]]=1,"BR300-3",IF(Tabelle1[[#This Row],[Reactor2]]=2,"BR300-4")))</f>
        <v/>
      </c>
    </row>
    <row r="15" ht="19" customHeight="1">
      <c r="A15" s="3" t="n">
        <v>180.3390325689746</v>
      </c>
      <c r="B15" s="3" t="n">
        <v>91.36903825713576</v>
      </c>
      <c r="C15" t="n">
        <v>0.3614649791138736</v>
      </c>
      <c r="D15" s="20">
        <f>Tabelle2!$C$42/Tabelle2!$C$43*0.01*Tabelle1[[#This Row],[CaO_w]]*Tabelle2!$C$19</f>
        <v/>
      </c>
      <c r="E15" s="22" t="n"/>
      <c r="F15" t="n">
        <v>0.2332113281811059</v>
      </c>
      <c r="G15" s="20">
        <f>Tabelle1[[#This Row],[CaCl2_w]]/Tabelle2!$C$43*Tabelle2!$C$36*Tabelle2!$C$19*0.01</f>
        <v/>
      </c>
      <c r="H15" s="22" t="n"/>
      <c r="I15" s="21">
        <f>(Tabelle1[[#This Row],[CaCl2_w]]+Tabelle1[[#This Row],[CaO_w]])/100</f>
        <v/>
      </c>
      <c r="J15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15" s="21">
        <f>Tabelle1[[#This Row],[Actual CaCl2 mass per experiment]]*Tabelle2!$C$28/(Tabelle2!$C$19*(1+Tabelle2!$C$29))*(2*Tabelle2!$C$44/Tabelle2!$C$36)</f>
        <v/>
      </c>
      <c r="L15" t="n">
        <v>3</v>
      </c>
      <c r="M15" t="n">
        <v>2</v>
      </c>
      <c r="O15" s="19">
        <f>IF(Tabelle1[[#This Row],[Reactor2]]=0,"BR300-2",IF(Tabelle1[[#This Row],[Reactor2]]=1,"BR300-3",IF(Tabelle1[[#This Row],[Reactor2]]=2,"BR300-4")))</f>
        <v/>
      </c>
    </row>
    <row r="16" ht="19" customHeight="1">
      <c r="A16" s="3" t="n">
        <v>112.0229874535897</v>
      </c>
      <c r="B16" s="3" t="n">
        <v>141.8627128353971</v>
      </c>
      <c r="C16" t="n">
        <v>1.42464973227477</v>
      </c>
      <c r="D16" s="20">
        <f>Tabelle2!$C$42/Tabelle2!$C$43*0.01*Tabelle1[[#This Row],[CaO_w]]*Tabelle2!$C$19</f>
        <v/>
      </c>
      <c r="E16" s="22" t="n"/>
      <c r="F16" t="n">
        <v>0.3559825443752375</v>
      </c>
      <c r="G16" s="20">
        <f>Tabelle1[[#This Row],[CaCl2_w]]/Tabelle2!$C$43*Tabelle2!$C$36*Tabelle2!$C$19*0.01</f>
        <v/>
      </c>
      <c r="H16" s="22" t="n"/>
      <c r="I16" s="21">
        <f>(Tabelle1[[#This Row],[CaCl2_w]]+Tabelle1[[#This Row],[CaO_w]])/100</f>
        <v/>
      </c>
      <c r="J16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16" s="21">
        <f>Tabelle1[[#This Row],[Actual CaCl2 mass per experiment]]*Tabelle2!$C$28/(Tabelle2!$C$19*(1+Tabelle2!$C$29))*(2*Tabelle2!$C$44/Tabelle2!$C$36)</f>
        <v/>
      </c>
      <c r="L16" t="n">
        <v>3</v>
      </c>
      <c r="M16" t="n">
        <v>1</v>
      </c>
      <c r="O16" s="19">
        <f>IF(Tabelle1[[#This Row],[Reactor2]]=0,"BR300-2",IF(Tabelle1[[#This Row],[Reactor2]]=1,"BR300-3",IF(Tabelle1[[#This Row],[Reactor2]]=2,"BR300-4")))</f>
        <v/>
      </c>
    </row>
    <row r="17" ht="19" customHeight="1">
      <c r="A17" s="3" t="n">
        <v>148.3639638609182</v>
      </c>
      <c r="B17" s="3" t="n">
        <v>59.25034728632708</v>
      </c>
      <c r="C17" t="n">
        <v>0.1249332324842895</v>
      </c>
      <c r="D17" s="20">
        <f>Tabelle2!$C$42/Tabelle2!$C$43*0.01*Tabelle1[[#This Row],[CaO_w]]*Tabelle2!$C$19</f>
        <v/>
      </c>
      <c r="E17" s="22" t="n"/>
      <c r="F17" t="n">
        <v>0.1534754650749588</v>
      </c>
      <c r="G17" s="20">
        <f>Tabelle1[[#This Row],[CaCl2_w]]/Tabelle2!$C$43*Tabelle2!$C$36*Tabelle2!$C$19*0.01</f>
        <v/>
      </c>
      <c r="H17" s="22" t="n"/>
      <c r="I17" s="21">
        <f>(Tabelle1[[#This Row],[CaCl2_w]]+Tabelle1[[#This Row],[CaO_w]])/100</f>
        <v/>
      </c>
      <c r="J17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17" s="21">
        <f>Tabelle1[[#This Row],[Actual CaCl2 mass per experiment]]*Tabelle2!$C$28/(Tabelle2!$C$19*(1+Tabelle2!$C$29))*(2*Tabelle2!$C$44/Tabelle2!$C$36)</f>
        <v/>
      </c>
      <c r="L17" t="n">
        <v>3</v>
      </c>
      <c r="M17" t="n">
        <v>2</v>
      </c>
      <c r="O17" s="19">
        <f>IF(Tabelle1[[#This Row],[Reactor2]]=0,"BR300-2",IF(Tabelle1[[#This Row],[Reactor2]]=1,"BR300-3",IF(Tabelle1[[#This Row],[Reactor2]]=2,"BR300-4")))</f>
        <v/>
      </c>
    </row>
    <row r="18" ht="19" customHeight="1">
      <c r="A18" s="3" t="n">
        <v>141.3549977662899</v>
      </c>
      <c r="B18" s="3" t="n">
        <v>32.47628428998969</v>
      </c>
      <c r="C18" t="n">
        <v>1.190985825749377</v>
      </c>
      <c r="D18" s="20">
        <f>Tabelle2!$C$42/Tabelle2!$C$43*0.01*Tabelle1[[#This Row],[CaO_w]]*Tabelle2!$C$19</f>
        <v/>
      </c>
      <c r="E18" s="22" t="n"/>
      <c r="F18" t="n">
        <v>0.2659446675709937</v>
      </c>
      <c r="G18" s="20">
        <f>Tabelle1[[#This Row],[CaCl2_w]]/Tabelle2!$C$43*Tabelle2!$C$36*Tabelle2!$C$19*0.01</f>
        <v/>
      </c>
      <c r="H18" s="22" t="n"/>
      <c r="I18" s="21">
        <f>(Tabelle1[[#This Row],[CaCl2_w]]+Tabelle1[[#This Row],[CaO_w]])/100</f>
        <v/>
      </c>
      <c r="J18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18" s="21">
        <f>Tabelle1[[#This Row],[Actual CaCl2 mass per experiment]]*Tabelle2!$C$28/(Tabelle2!$C$19*(1+Tabelle2!$C$29))*(2*Tabelle2!$C$44/Tabelle2!$C$36)</f>
        <v/>
      </c>
      <c r="L18" t="n">
        <v>2</v>
      </c>
      <c r="M18" t="n">
        <v>0</v>
      </c>
      <c r="O18" s="19">
        <f>IF(Tabelle1[[#This Row],[Reactor2]]=0,"BR300-2",IF(Tabelle1[[#This Row],[Reactor2]]=1,"BR300-3",IF(Tabelle1[[#This Row],[Reactor2]]=2,"BR300-4")))</f>
        <v/>
      </c>
    </row>
    <row r="19" ht="19" customHeight="1">
      <c r="A19" s="3" t="n">
        <v>185.642259020796</v>
      </c>
      <c r="B19" s="3" t="n">
        <v>36.46075350631743</v>
      </c>
      <c r="C19" t="n">
        <v>1.525136718270547</v>
      </c>
      <c r="D19" s="20">
        <f>Tabelle2!$C$42/Tabelle2!$C$43*0.01*Tabelle1[[#This Row],[CaO_w]]*Tabelle2!$C$19</f>
        <v/>
      </c>
      <c r="E19" s="22" t="n"/>
      <c r="F19" t="n">
        <v>0.172415904775122</v>
      </c>
      <c r="G19" s="20">
        <f>Tabelle1[[#This Row],[CaCl2_w]]/Tabelle2!$C$43*Tabelle2!$C$36*Tabelle2!$C$19*0.01</f>
        <v/>
      </c>
      <c r="H19" s="22" t="n"/>
      <c r="I19" s="21">
        <f>(Tabelle1[[#This Row],[CaCl2_w]]+Tabelle1[[#This Row],[CaO_w]])/100</f>
        <v/>
      </c>
      <c r="J19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19" s="21">
        <f>Tabelle1[[#This Row],[Actual CaCl2 mass per experiment]]*Tabelle2!$C$28/(Tabelle2!$C$19*(1+Tabelle2!$C$29))*(2*Tabelle2!$C$44/Tabelle2!$C$36)</f>
        <v/>
      </c>
      <c r="L19" t="n">
        <v>2</v>
      </c>
      <c r="M19" t="n">
        <v>2</v>
      </c>
      <c r="O19" s="19">
        <f>IF(Tabelle1[[#This Row],[Reactor2]]=0,"BR300-2",IF(Tabelle1[[#This Row],[Reactor2]]=1,"BR300-3",IF(Tabelle1[[#This Row],[Reactor2]]=2,"BR300-4")))</f>
        <v/>
      </c>
    </row>
    <row r="20" ht="19" customHeight="1">
      <c r="A20" s="3" t="n">
        <v>175.0690697929871</v>
      </c>
      <c r="B20" s="3" t="n">
        <v>63.44805278974636</v>
      </c>
      <c r="C20" t="n">
        <v>0.1625027149119474</v>
      </c>
      <c r="D20" s="20">
        <f>Tabelle2!$C$42/Tabelle2!$C$43*0.01*Tabelle1[[#This Row],[CaO_w]]*Tabelle2!$C$19</f>
        <v/>
      </c>
      <c r="E20" s="22" t="n"/>
      <c r="F20" t="n">
        <v>0.3052504035712699</v>
      </c>
      <c r="G20" s="20">
        <f>Tabelle1[[#This Row],[CaCl2_w]]/Tabelle2!$C$43*Tabelle2!$C$36*Tabelle2!$C$19*0.01</f>
        <v/>
      </c>
      <c r="H20" s="22" t="n"/>
      <c r="I20" s="21">
        <f>(Tabelle1[[#This Row],[CaCl2_w]]+Tabelle1[[#This Row],[CaO_w]])/100</f>
        <v/>
      </c>
      <c r="J20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20" s="21">
        <f>Tabelle1[[#This Row],[Actual CaCl2 mass per experiment]]*Tabelle2!$C$28/(Tabelle2!$C$19*(1+Tabelle2!$C$29))*(2*Tabelle2!$C$44/Tabelle2!$C$36)</f>
        <v/>
      </c>
      <c r="L20" t="n">
        <v>2</v>
      </c>
      <c r="M20" t="n">
        <v>0</v>
      </c>
      <c r="O20" s="19">
        <f>IF(Tabelle1[[#This Row],[Reactor2]]=0,"BR300-2",IF(Tabelle1[[#This Row],[Reactor2]]=1,"BR300-3",IF(Tabelle1[[#This Row],[Reactor2]]=2,"BR300-4")))</f>
        <v/>
      </c>
    </row>
    <row r="21" ht="19" customHeight="1">
      <c r="A21" s="3" t="n">
        <v>198.3632561874806</v>
      </c>
      <c r="B21" s="3" t="n">
        <v>103.3059277618427</v>
      </c>
      <c r="C21" t="n">
        <v>0.8552892342636282</v>
      </c>
      <c r="D21" s="20">
        <f>Tabelle2!$C$42/Tabelle2!$C$43*0.01*Tabelle1[[#This Row],[CaO_w]]*Tabelle2!$C$19</f>
        <v/>
      </c>
      <c r="E21" s="22" t="n"/>
      <c r="F21" t="n">
        <v>0.2185555107741083</v>
      </c>
      <c r="G21" s="20">
        <f>Tabelle1[[#This Row],[CaCl2_w]]/Tabelle2!$C$43*Tabelle2!$C$36*Tabelle2!$C$19*0.01</f>
        <v/>
      </c>
      <c r="H21" s="22" t="n"/>
      <c r="I21" s="21">
        <f>(Tabelle1[[#This Row],[CaCl2_w]]+Tabelle1[[#This Row],[CaO_w]])/100</f>
        <v/>
      </c>
      <c r="J21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21" s="21">
        <f>Tabelle1[[#This Row],[Actual CaCl2 mass per experiment]]*Tabelle2!$C$28/(Tabelle2!$C$19*(1+Tabelle2!$C$29))*(2*Tabelle2!$C$44/Tabelle2!$C$36)</f>
        <v/>
      </c>
      <c r="L21" t="n">
        <v>2</v>
      </c>
      <c r="M21" t="n">
        <v>0</v>
      </c>
      <c r="O21" s="19">
        <f>IF(Tabelle1[[#This Row],[Reactor2]]=0,"BR300-2",IF(Tabelle1[[#This Row],[Reactor2]]=1,"BR300-3",IF(Tabelle1[[#This Row],[Reactor2]]=2,"BR300-4")))</f>
        <v/>
      </c>
    </row>
    <row r="22" ht="19" customHeight="1">
      <c r="A22" s="3" t="n">
        <v>138.7184926064827</v>
      </c>
      <c r="B22" s="3" t="n">
        <v>167.1229369549654</v>
      </c>
      <c r="C22" t="n">
        <v>0.4126244529285455</v>
      </c>
      <c r="D22" s="20">
        <f>Tabelle2!$C$42/Tabelle2!$C$43*0.01*Tabelle1[[#This Row],[CaO_w]]*Tabelle2!$C$19</f>
        <v/>
      </c>
      <c r="E22" s="22" t="n"/>
      <c r="F22" t="n">
        <v>0.079818347790517</v>
      </c>
      <c r="G22" s="20">
        <f>Tabelle1[[#This Row],[CaCl2_w]]/Tabelle2!$C$43*Tabelle2!$C$36*Tabelle2!$C$19*0.01</f>
        <v/>
      </c>
      <c r="H22" s="22" t="n"/>
      <c r="I22" s="21">
        <f>(Tabelle1[[#This Row],[CaCl2_w]]+Tabelle1[[#This Row],[CaO_w]])/100</f>
        <v/>
      </c>
      <c r="J22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22" s="21">
        <f>Tabelle1[[#This Row],[Actual CaCl2 mass per experiment]]*Tabelle2!$C$28/(Tabelle2!$C$19*(1+Tabelle2!$C$29))*(2*Tabelle2!$C$44/Tabelle2!$C$36)</f>
        <v/>
      </c>
      <c r="L22" t="n">
        <v>2</v>
      </c>
      <c r="M22" t="n">
        <v>1</v>
      </c>
      <c r="O22" s="19">
        <f>IF(Tabelle1[[#This Row],[Reactor2]]=0,"BR300-2",IF(Tabelle1[[#This Row],[Reactor2]]=1,"BR300-3",IF(Tabelle1[[#This Row],[Reactor2]]=2,"BR300-4")))</f>
        <v/>
      </c>
    </row>
    <row r="23" ht="19" customHeight="1">
      <c r="A23" s="3" t="n">
        <v>121.4104351927308</v>
      </c>
      <c r="B23" s="3" t="n">
        <v>48.40911408749733</v>
      </c>
      <c r="C23" t="n">
        <v>1.922944959903503</v>
      </c>
      <c r="D23" s="20">
        <f>Tabelle2!$C$42/Tabelle2!$C$43*0.01*Tabelle1[[#This Row],[CaO_w]]*Tabelle2!$C$19</f>
        <v/>
      </c>
      <c r="E23" s="22" t="n"/>
      <c r="F23" t="n">
        <v>0.1421052688694939</v>
      </c>
      <c r="G23" s="20">
        <f>Tabelle1[[#This Row],[CaCl2_w]]/Tabelle2!$C$43*Tabelle2!$C$36*Tabelle2!$C$19*0.01</f>
        <v/>
      </c>
      <c r="H23" s="22" t="n"/>
      <c r="I23" s="21">
        <f>(Tabelle1[[#This Row],[CaCl2_w]]+Tabelle1[[#This Row],[CaO_w]])/100</f>
        <v/>
      </c>
      <c r="J23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23" s="21">
        <f>Tabelle1[[#This Row],[Actual CaCl2 mass per experiment]]*Tabelle2!$C$28/(Tabelle2!$C$19*(1+Tabelle2!$C$29))*(2*Tabelle2!$C$44/Tabelle2!$C$36)</f>
        <v/>
      </c>
      <c r="L23" t="n">
        <v>2</v>
      </c>
      <c r="M23" t="n">
        <v>0</v>
      </c>
      <c r="O23" s="19">
        <f>IF(Tabelle1[[#This Row],[Reactor2]]=0,"BR300-2",IF(Tabelle1[[#This Row],[Reactor2]]=1,"BR300-3",IF(Tabelle1[[#This Row],[Reactor2]]=2,"BR300-4")))</f>
        <v/>
      </c>
    </row>
    <row r="24" ht="19" customHeight="1">
      <c r="A24" s="3" t="n">
        <v>188.5112381113136</v>
      </c>
      <c r="B24" s="3" t="n">
        <v>156.4488552783842</v>
      </c>
      <c r="C24" t="n">
        <v>1.980792040064687</v>
      </c>
      <c r="D24" s="20">
        <f>Tabelle2!$C$42/Tabelle2!$C$43*0.01*Tabelle1[[#This Row],[CaO_w]]*Tabelle2!$C$19</f>
        <v/>
      </c>
      <c r="E24" s="22" t="n"/>
      <c r="F24" t="n">
        <v>0.3708224874067259</v>
      </c>
      <c r="G24" s="20">
        <f>Tabelle1[[#This Row],[CaCl2_w]]/Tabelle2!$C$43*Tabelle2!$C$36*Tabelle2!$C$19*0.01</f>
        <v/>
      </c>
      <c r="H24" s="22" t="n"/>
      <c r="I24" s="21">
        <f>(Tabelle1[[#This Row],[CaCl2_w]]+Tabelle1[[#This Row],[CaO_w]])/100</f>
        <v/>
      </c>
      <c r="J24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24" s="21">
        <f>Tabelle1[[#This Row],[Actual CaCl2 mass per experiment]]*Tabelle2!$C$28/(Tabelle2!$C$19*(1+Tabelle2!$C$29))*(2*Tabelle2!$C$44/Tabelle2!$C$36)</f>
        <v/>
      </c>
      <c r="L24" t="n">
        <v>2</v>
      </c>
      <c r="M24" t="n">
        <v>0</v>
      </c>
      <c r="O24" s="19">
        <f>IF(Tabelle1[[#This Row],[Reactor2]]=0,"BR300-2",IF(Tabelle1[[#This Row],[Reactor2]]=1,"BR300-3",IF(Tabelle1[[#This Row],[Reactor2]]=2,"BR300-4")))</f>
        <v/>
      </c>
    </row>
    <row r="25" ht="19" customHeight="1">
      <c r="A25" s="3" t="n">
        <v>170.7858106930853</v>
      </c>
      <c r="B25" s="3" t="n">
        <v>108.8205386966505</v>
      </c>
      <c r="C25" t="n">
        <v>1.568189161944036</v>
      </c>
      <c r="D25" s="20">
        <f>Tabelle2!$C$42/Tabelle2!$C$43*0.01*Tabelle1[[#This Row],[CaO_w]]*Tabelle2!$C$19</f>
        <v/>
      </c>
      <c r="E25" s="22" t="n"/>
      <c r="F25" t="n">
        <v>0.3977596056293449</v>
      </c>
      <c r="G25" s="20">
        <f>Tabelle1[[#This Row],[CaCl2_w]]/Tabelle2!$C$43*Tabelle2!$C$36*Tabelle2!$C$19*0.01</f>
        <v/>
      </c>
      <c r="H25" s="22" t="n"/>
      <c r="I25" s="21">
        <f>(Tabelle1[[#This Row],[CaCl2_w]]+Tabelle1[[#This Row],[CaO_w]])/100</f>
        <v/>
      </c>
      <c r="J25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25" s="21">
        <f>Tabelle1[[#This Row],[Actual CaCl2 mass per experiment]]*Tabelle2!$C$28/(Tabelle2!$C$19*(1+Tabelle2!$C$29))*(2*Tabelle2!$C$44/Tabelle2!$C$36)</f>
        <v/>
      </c>
      <c r="L25" t="n">
        <v>1</v>
      </c>
      <c r="M25" t="n">
        <v>1</v>
      </c>
      <c r="O25" s="19">
        <f>IF(Tabelle1[[#This Row],[Reactor2]]=0,"BR300-2",IF(Tabelle1[[#This Row],[Reactor2]]=1,"BR300-3",IF(Tabelle1[[#This Row],[Reactor2]]=2,"BR300-4")))</f>
        <v/>
      </c>
    </row>
    <row r="26" ht="19" customHeight="1">
      <c r="A26" s="3" t="n">
        <v>105.1186862056079</v>
      </c>
      <c r="B26" s="3" t="n">
        <v>84.20245885685537</v>
      </c>
      <c r="C26" t="n">
        <v>0.5028352591586726</v>
      </c>
      <c r="D26" s="20">
        <f>Tabelle2!$C$42/Tabelle2!$C$43*0.01*Tabelle1[[#This Row],[CaO_w]]*Tabelle2!$C$19</f>
        <v/>
      </c>
      <c r="E26" s="22" t="n"/>
      <c r="F26" t="n">
        <v>0.04187379949404611</v>
      </c>
      <c r="G26" s="20">
        <f>Tabelle1[[#This Row],[CaCl2_w]]/Tabelle2!$C$43*Tabelle2!$C$36*Tabelle2!$C$19*0.01</f>
        <v/>
      </c>
      <c r="H26" s="22" t="n"/>
      <c r="I26" s="21">
        <f>(Tabelle1[[#This Row],[CaCl2_w]]+Tabelle1[[#This Row],[CaO_w]])/100</f>
        <v/>
      </c>
      <c r="J26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26" s="21">
        <f>Tabelle1[[#This Row],[Actual CaCl2 mass per experiment]]*Tabelle2!$C$28/(Tabelle2!$C$19*(1+Tabelle2!$C$29))*(2*Tabelle2!$C$44/Tabelle2!$C$36)</f>
        <v/>
      </c>
      <c r="L26" t="n">
        <v>1</v>
      </c>
      <c r="M26" t="n">
        <v>1</v>
      </c>
      <c r="O26" s="19">
        <f>IF(Tabelle1[[#This Row],[Reactor2]]=0,"BR300-2",IF(Tabelle1[[#This Row],[Reactor2]]=1,"BR300-3",IF(Tabelle1[[#This Row],[Reactor2]]=2,"BR300-4")))</f>
        <v/>
      </c>
    </row>
    <row r="27" ht="19" customHeight="1">
      <c r="A27" s="3" t="n">
        <v>114.6887176132159</v>
      </c>
      <c r="B27" s="3" t="n">
        <v>117.9353588265079</v>
      </c>
      <c r="C27" t="n">
        <v>1.317841353842087</v>
      </c>
      <c r="D27" s="20">
        <f>Tabelle2!$C$42/Tabelle2!$C$43*0.01*Tabelle1[[#This Row],[CaO_w]]*Tabelle2!$C$19</f>
        <v/>
      </c>
      <c r="E27" s="22" t="n"/>
      <c r="F27" t="n">
        <v>0.4515549295165778</v>
      </c>
      <c r="G27" s="20">
        <f>Tabelle1[[#This Row],[CaCl2_w]]/Tabelle2!$C$43*Tabelle2!$C$36*Tabelle2!$C$19*0.01</f>
        <v/>
      </c>
      <c r="H27" s="22" t="n"/>
      <c r="I27" s="21">
        <f>(Tabelle1[[#This Row],[CaCl2_w]]+Tabelle1[[#This Row],[CaO_w]])/100</f>
        <v/>
      </c>
      <c r="J27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27" s="21">
        <f>Tabelle1[[#This Row],[Actual CaCl2 mass per experiment]]*Tabelle2!$C$28/(Tabelle2!$C$19*(1+Tabelle2!$C$29))*(2*Tabelle2!$C$44/Tabelle2!$C$36)</f>
        <v/>
      </c>
      <c r="L27" t="n">
        <v>1</v>
      </c>
      <c r="M27" t="n">
        <v>1</v>
      </c>
      <c r="O27" s="19">
        <f>IF(Tabelle1[[#This Row],[Reactor2]]=0,"BR300-2",IF(Tabelle1[[#This Row],[Reactor2]]=1,"BR300-3",IF(Tabelle1[[#This Row],[Reactor2]]=2,"BR300-4")))</f>
        <v/>
      </c>
    </row>
    <row r="28" ht="19" customHeight="1">
      <c r="A28" s="3" t="n">
        <v>154.7033216799084</v>
      </c>
      <c r="B28" s="3" t="n">
        <v>123.6252623017859</v>
      </c>
      <c r="C28" t="n">
        <v>1.055880671657239</v>
      </c>
      <c r="D28" s="20">
        <f>Tabelle2!$C$42/Tabelle2!$C$43*0.01*Tabelle1[[#This Row],[CaO_w]]*Tabelle2!$C$19</f>
        <v/>
      </c>
      <c r="E28" s="22" t="n"/>
      <c r="F28" t="n">
        <v>0.2061975716946331</v>
      </c>
      <c r="G28" s="20">
        <f>Tabelle1[[#This Row],[CaCl2_w]]/Tabelle2!$C$43*Tabelle2!$C$36*Tabelle2!$C$19*0.01</f>
        <v/>
      </c>
      <c r="H28" s="22" t="n"/>
      <c r="I28" s="21">
        <f>(Tabelle1[[#This Row],[CaCl2_w]]+Tabelle1[[#This Row],[CaO_w]])/100</f>
        <v/>
      </c>
      <c r="J28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28" s="21">
        <f>Tabelle1[[#This Row],[Actual CaCl2 mass per experiment]]*Tabelle2!$C$28/(Tabelle2!$C$19*(1+Tabelle2!$C$29))*(2*Tabelle2!$C$44/Tabelle2!$C$36)</f>
        <v/>
      </c>
      <c r="L28" t="n">
        <v>1</v>
      </c>
      <c r="M28" t="n">
        <v>1</v>
      </c>
      <c r="O28" s="19">
        <f>IF(Tabelle1[[#This Row],[Reactor2]]=0,"BR300-2",IF(Tabelle1[[#This Row],[Reactor2]]=1,"BR300-3",IF(Tabelle1[[#This Row],[Reactor2]]=2,"BR300-4")))</f>
        <v/>
      </c>
    </row>
    <row r="29" ht="19" customHeight="1">
      <c r="A29" s="3" t="n">
        <v>146.2320861942729</v>
      </c>
      <c r="B29" s="3" t="n">
        <v>146.1556493142012</v>
      </c>
      <c r="C29" t="n">
        <v>1.640870333255019</v>
      </c>
      <c r="D29" s="20">
        <f>Tabelle2!$C$42/Tabelle2!$C$43*0.01*Tabelle1[[#This Row],[CaO_w]]*Tabelle2!$C$19</f>
        <v/>
      </c>
      <c r="E29" s="22" t="n"/>
      <c r="F29" t="n">
        <v>0.0262709721076279</v>
      </c>
      <c r="G29" s="20">
        <f>Tabelle1[[#This Row],[CaCl2_w]]/Tabelle2!$C$43*Tabelle2!$C$36*Tabelle2!$C$19*0.01</f>
        <v/>
      </c>
      <c r="H29" s="22" t="n"/>
      <c r="I29" s="21">
        <f>(Tabelle1[[#This Row],[CaCl2_w]]+Tabelle1[[#This Row],[CaO_w]])/100</f>
        <v/>
      </c>
      <c r="J29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29" s="21">
        <f>Tabelle1[[#This Row],[Actual CaCl2 mass per experiment]]*Tabelle2!$C$28/(Tabelle2!$C$19*(1+Tabelle2!$C$29))*(2*Tabelle2!$C$44/Tabelle2!$C$36)</f>
        <v/>
      </c>
      <c r="L29" t="n">
        <v>1</v>
      </c>
      <c r="M29" t="n">
        <v>2</v>
      </c>
      <c r="O29" s="19">
        <f>IF(Tabelle1[[#This Row],[Reactor2]]=0,"BR300-2",IF(Tabelle1[[#This Row],[Reactor2]]=1,"BR300-3",IF(Tabelle1[[#This Row],[Reactor2]]=2,"BR300-4")))</f>
        <v/>
      </c>
    </row>
    <row r="30" ht="19" customHeight="1">
      <c r="A30" s="3" t="n">
        <v>131.0194604992951</v>
      </c>
      <c r="B30" s="3" t="n">
        <v>132.8720960875262</v>
      </c>
      <c r="C30" t="n">
        <v>0.9754853851779666</v>
      </c>
      <c r="D30" s="20">
        <f>Tabelle2!$C$42/Tabelle2!$C$43*0.01*Tabelle1[[#This Row],[CaO_w]]*Tabelle2!$C$19</f>
        <v/>
      </c>
      <c r="E30" s="22" t="n"/>
      <c r="F30" t="n">
        <v>0.1176948760798519</v>
      </c>
      <c r="G30" s="20">
        <f>Tabelle1[[#This Row],[CaCl2_w]]/Tabelle2!$C$43*Tabelle2!$C$36*Tabelle2!$C$19*0.01</f>
        <v/>
      </c>
      <c r="H30" s="22" t="n"/>
      <c r="I30" s="21">
        <f>(Tabelle1[[#This Row],[CaCl2_w]]+Tabelle1[[#This Row],[CaO_w]])/100</f>
        <v/>
      </c>
      <c r="J30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30" s="21">
        <f>Tabelle1[[#This Row],[Actual CaCl2 mass per experiment]]*Tabelle2!$C$28/(Tabelle2!$C$19*(1+Tabelle2!$C$29))*(2*Tabelle2!$C$44/Tabelle2!$C$36)</f>
        <v/>
      </c>
      <c r="L30" t="n">
        <v>1</v>
      </c>
      <c r="M30" t="n">
        <v>2</v>
      </c>
      <c r="O30" s="19">
        <f>IF(Tabelle1[[#This Row],[Reactor2]]=0,"BR300-2",IF(Tabelle1[[#This Row],[Reactor2]]=1,"BR300-3",IF(Tabelle1[[#This Row],[Reactor2]]=2,"BR300-4")))</f>
        <v/>
      </c>
    </row>
    <row r="31" ht="19" customHeight="1">
      <c r="A31" s="3" t="n">
        <v>178.4637900862816</v>
      </c>
      <c r="B31" s="3" t="n">
        <v>127.0010479738838</v>
      </c>
      <c r="C31" t="n">
        <v>0.7090117475489106</v>
      </c>
      <c r="D31" s="20">
        <f>Tabelle2!$C$42/Tabelle2!$C$43*0.01*Tabelle1[[#This Row],[CaO_w]]*Tabelle2!$C$19</f>
        <v/>
      </c>
      <c r="E31" s="22" t="n"/>
      <c r="F31" t="n">
        <v>0.09555782217634975</v>
      </c>
      <c r="G31" s="20">
        <f>Tabelle1[[#This Row],[CaCl2_w]]/Tabelle2!$C$43*Tabelle2!$C$36*Tabelle2!$C$19*0.01</f>
        <v/>
      </c>
      <c r="H31" s="22" t="n"/>
      <c r="I31" s="21">
        <f>(Tabelle1[[#This Row],[CaCl2_w]]+Tabelle1[[#This Row],[CaO_w]])/100</f>
        <v/>
      </c>
      <c r="J31" s="21">
        <f>(Tabelle1[[#This Row],[Actual CaCl2 mass per experiment]]/(1/Tabelle2!$C$43*Tabelle2!$C$36*Tabelle2!$C$19*0.01)+Tabelle1[[#This Row],[Actual CaO mass per experiment]]/(Tabelle2!$C$42/Tabelle2!$C$43*0.01*Tabelle2!$C$19))*0.01</f>
        <v/>
      </c>
      <c r="K31" s="21">
        <f>Tabelle1[[#This Row],[Actual CaCl2 mass per experiment]]*Tabelle2!$C$28/(Tabelle2!$C$19*(1+Tabelle2!$C$29))*(2*Tabelle2!$C$44/Tabelle2!$C$36)</f>
        <v/>
      </c>
      <c r="L31" t="n">
        <v>1</v>
      </c>
      <c r="M31" t="n">
        <v>1</v>
      </c>
      <c r="O31" s="19">
        <f>IF(Tabelle1[[#This Row],[Reactor2]]=0,"BR300-2",IF(Tabelle1[[#This Row],[Reactor2]]=1,"BR300-3",IF(Tabelle1[[#This Row],[Reactor2]]=2,"BR300-4")))</f>
        <v/>
      </c>
    </row>
  </sheetData>
  <conditionalFormatting sqref="I2:K31">
    <cfRule type="expression" priority="1" dxfId="0">
      <formula>I2&gt;0.02</formula>
    </cfRule>
  </conditionalFormatting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6"/>
  <sheetViews>
    <sheetView tabSelected="1" workbookViewId="0">
      <selection activeCell="G23" sqref="A2:AA56"/>
    </sheetView>
  </sheetViews>
  <sheetFormatPr baseColWidth="10" defaultRowHeight="15"/>
  <cols>
    <col width="9.83203125" customWidth="1" min="1" max="16"/>
    <col width="17" bestFit="1" customWidth="1" min="17" max="17"/>
    <col width="9.83203125" customWidth="1" min="18" max="19"/>
    <col width="17.1640625" customWidth="1" min="20" max="20"/>
    <col width="27.33203125" customWidth="1" min="21" max="21"/>
    <col width="10.83203125" customWidth="1" min="22" max="22"/>
    <col width="27.33203125" bestFit="1" customWidth="1" min="24" max="24"/>
  </cols>
  <sheetData>
    <row r="1" ht="80" customHeight="1">
      <c r="A1" s="23" t="inlineStr">
        <is>
          <t>Reaction #</t>
        </is>
      </c>
      <c r="B1" s="23" t="inlineStr">
        <is>
          <t>Temperature [°C]</t>
        </is>
      </c>
      <c r="C1" s="23" t="inlineStr">
        <is>
          <t>Reaction Time [min]</t>
        </is>
      </c>
      <c r="D1" s="23" t="inlineStr">
        <is>
          <t>CaO_w</t>
        </is>
      </c>
      <c r="E1" s="23" t="inlineStr">
        <is>
          <t>CaO mass per experiment</t>
        </is>
      </c>
      <c r="F1" s="23" t="inlineStr">
        <is>
          <t>CaO mass [g]</t>
        </is>
      </c>
      <c r="G1" s="23" t="inlineStr">
        <is>
          <t>CaCl2_w</t>
        </is>
      </c>
      <c r="H1" s="23" t="inlineStr">
        <is>
          <t>CaCl2 mass per experiment</t>
        </is>
      </c>
      <c r="I1" s="23" t="inlineStr">
        <is>
          <t>CaCl2 mass [g]</t>
        </is>
      </c>
      <c r="J1" s="23" t="inlineStr">
        <is>
          <t xml:space="preserve">Total Ca </t>
        </is>
      </c>
      <c r="K1" s="23" t="inlineStr">
        <is>
          <t>Actual total Ca [w%]</t>
        </is>
      </c>
      <c r="L1" s="23" t="inlineStr">
        <is>
          <t>Chlorid in product [w%]</t>
        </is>
      </c>
      <c r="M1" s="2" t="inlineStr">
        <is>
          <t>PSD</t>
        </is>
      </c>
      <c r="N1" s="2" t="inlineStr">
        <is>
          <t>Reactor #</t>
        </is>
      </c>
      <c r="O1" s="23" t="inlineStr">
        <is>
          <t>Date of experimentation</t>
        </is>
      </c>
      <c r="P1" s="23" t="inlineStr">
        <is>
          <t>Reactor idf.</t>
        </is>
      </c>
      <c r="Q1" s="2" t="inlineStr">
        <is>
          <t>Dry weight [g]</t>
        </is>
      </c>
      <c r="R1" s="23" t="inlineStr">
        <is>
          <t>Moisture after filtration</t>
        </is>
      </c>
      <c r="S1" s="23" t="inlineStr">
        <is>
          <t>Reaction yield (mass)</t>
        </is>
      </c>
      <c r="T1" s="23" t="inlineStr">
        <is>
          <t>Reaction yield (LOI)</t>
        </is>
      </c>
      <c r="U1" s="23" t="inlineStr">
        <is>
          <t>Yield regression</t>
        </is>
      </c>
      <c r="V1" s="23" t="inlineStr">
        <is>
          <t>LOI result</t>
        </is>
      </c>
      <c r="W1" s="23" t="inlineStr">
        <is>
          <t>Total mass</t>
        </is>
      </c>
      <c r="X1" s="23" t="inlineStr">
        <is>
          <t>Conversion [%]</t>
        </is>
      </c>
      <c r="Y1" s="23" t="inlineStr">
        <is>
          <t>UpdatedI yield</t>
        </is>
      </c>
      <c r="Z1" s="26" t="inlineStr">
        <is>
          <t>Comments</t>
        </is>
      </c>
      <c r="AA1" s="26" t="inlineStr">
        <is>
          <t>Sampling date</t>
        </is>
      </c>
    </row>
    <row r="2" ht="19" customHeight="1">
      <c r="A2" s="3" t="n">
        <v>397</v>
      </c>
      <c r="B2" s="3" t="n">
        <v>194.658350012081</v>
      </c>
      <c r="C2" s="3" t="n">
        <v>104.792185718259</v>
      </c>
      <c r="D2" t="n">
        <v>0.114208649389782</v>
      </c>
      <c r="E2" s="20">
        <f>Tabelle2!$C$42/Tabelle2!$C$43*0.01*Tabelle16[[#This Row],[CaO_w]]*Tabelle2!$C$19</f>
        <v/>
      </c>
      <c r="F2" s="22" t="n">
        <v>0.082</v>
      </c>
      <c r="G2" t="n">
        <v>0.140163642744557</v>
      </c>
      <c r="H2" s="20">
        <f>Tabelle16[[#This Row],[CaCl2_w]]/Tabelle2!$C$43*Tabelle2!$C$36*Tabelle2!$C$19*0.01</f>
        <v/>
      </c>
      <c r="I2" s="22" t="n">
        <v>0.196</v>
      </c>
      <c r="J2" s="21">
        <f>(Tabelle16[[#This Row],[CaCl2_w]]+Tabelle16[[#This Row],[CaO_w]])/100</f>
        <v/>
      </c>
      <c r="K2" s="21">
        <f>(Tabelle16[[#This Row],[CaCl2 mass '[g']]]/(1/Tabelle2!$C$43*Tabelle2!$C$36*Tabelle2!$C$19*0.01)+Tabelle16[[#This Row],[CaO mass '[g']]]/(Tabelle2!$C$42/Tabelle2!$C$43*0.01*Tabelle2!$C$19))*0.01</f>
        <v/>
      </c>
      <c r="L2" s="24">
        <f>Tabelle16[[#This Row],[CaCl2 mass '[g']]]*Tabelle2!$C$28/(Tabelle2!$C$19*(1+Tabelle2!$C$29))*(2*Tabelle2!$C$44/Tabelle2!$C$36)</f>
        <v/>
      </c>
      <c r="M2" t="n">
        <v>0</v>
      </c>
      <c r="N2" t="n">
        <v>2</v>
      </c>
      <c r="O2" s="19" t="n">
        <v>45784</v>
      </c>
      <c r="P2" s="30">
        <f>IF(Tabelle16[[#This Row],[Reactor '#]]=0,"BR300-2",IF(Tabelle16[[#This Row],[Reactor '#]]=1,"BR300-3",IF(Tabelle16[[#This Row],[Reactor '#]]=2,"BR300-4")))</f>
        <v/>
      </c>
      <c r="Q2" s="8" t="n"/>
      <c r="R2" s="25" t="n"/>
      <c r="S2" s="24" t="n"/>
      <c r="U2">
        <f>0.0846+0.9069*Tabelle16[[#This Row],[Reaction yield (mass)]]</f>
        <v/>
      </c>
      <c r="V2" s="21">
        <f>Tabelle16[[#This Row],[Reaction yield (LOI)]]*Tabelle2!$C$31/(1+Tabelle2!$C$31*Tabelle16[[#This Row],[Reaction yield (LOI)]])</f>
        <v/>
      </c>
      <c r="W2" s="29">
        <f>50+Tabelle16[[#This Row],[CaO mass '[g']]]+Tabelle16[[#This Row],[CaCl2 mass per experiment]]</f>
        <v/>
      </c>
      <c r="X2" s="29" t="n"/>
      <c r="Y2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2" t="inlineStr">
        <is>
          <t>NEW add. 9 Point sampling</t>
        </is>
      </c>
      <c r="AA2" s="19" t="n">
        <v>45777</v>
      </c>
    </row>
    <row r="3" ht="19" customHeight="1">
      <c r="A3" s="3" t="n">
        <v>396</v>
      </c>
      <c r="B3" s="3" t="n">
        <v>153.331684645093</v>
      </c>
      <c r="C3" s="3" t="n">
        <v>127.286302693986</v>
      </c>
      <c r="D3" t="n">
        <v>0.948635840109514</v>
      </c>
      <c r="E3" s="20">
        <f>Tabelle2!$C$42/Tabelle2!$C$43*0.01*Tabelle16[[#This Row],[CaO_w]]*Tabelle2!$C$19</f>
        <v/>
      </c>
      <c r="F3" s="22" t="n">
        <v>0.662</v>
      </c>
      <c r="G3" t="n">
        <v>0.0401790862632582</v>
      </c>
      <c r="H3" s="20">
        <f>Tabelle16[[#This Row],[CaCl2_w]]/Tabelle2!$C$43*Tabelle2!$C$36*Tabelle2!$C$19*0.01</f>
        <v/>
      </c>
      <c r="I3" s="22" t="n">
        <v>0.056</v>
      </c>
      <c r="J3" s="21">
        <f>(Tabelle16[[#This Row],[CaCl2_w]]+Tabelle16[[#This Row],[CaO_w]])/100</f>
        <v/>
      </c>
      <c r="K3" s="21">
        <f>(Tabelle16[[#This Row],[CaCl2 mass '[g']]]/(1/Tabelle2!$C$43*Tabelle2!$C$36*Tabelle2!$C$19*0.01)+Tabelle16[[#This Row],[CaO mass '[g']]]/(Tabelle2!$C$42/Tabelle2!$C$43*0.01*Tabelle2!$C$19))*0.01</f>
        <v/>
      </c>
      <c r="L3" s="24">
        <f>Tabelle16[[#This Row],[CaCl2 mass '[g']]]*Tabelle2!$C$28/(Tabelle2!$C$19*(1+Tabelle2!$C$29))*(2*Tabelle2!$C$44/Tabelle2!$C$36)</f>
        <v/>
      </c>
      <c r="M3" t="n">
        <v>0</v>
      </c>
      <c r="N3" t="n">
        <v>1</v>
      </c>
      <c r="O3" s="19" t="n">
        <v>45784</v>
      </c>
      <c r="P3" s="30">
        <f>IF(Tabelle16[[#This Row],[Reactor '#]]=0,"BR300-2",IF(Tabelle16[[#This Row],[Reactor '#]]=1,"BR300-3",IF(Tabelle16[[#This Row],[Reactor '#]]=2,"BR300-4")))</f>
        <v/>
      </c>
      <c r="Q3" s="8" t="n"/>
      <c r="R3" s="25" t="n"/>
      <c r="S3" s="24" t="n"/>
      <c r="U3">
        <f>0.0846+0.9069*Tabelle16[[#This Row],[Reaction yield (mass)]]</f>
        <v/>
      </c>
      <c r="V3" s="21">
        <f>Tabelle16[[#This Row],[Reaction yield (LOI)]]*Tabelle2!$C$31/(1+Tabelle2!$C$31*Tabelle16[[#This Row],[Reaction yield (LOI)]])</f>
        <v/>
      </c>
      <c r="W3" s="29">
        <f>50+Tabelle16[[#This Row],[CaO mass '[g']]]+Tabelle16[[#This Row],[CaCl2 mass per experiment]]</f>
        <v/>
      </c>
      <c r="X3" s="29" t="n"/>
      <c r="Y3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3" t="inlineStr">
        <is>
          <t>NEW add. 9 Point sampling</t>
        </is>
      </c>
      <c r="AA3" s="19" t="n">
        <v>45777</v>
      </c>
      <c r="AB3" s="21" t="n"/>
      <c r="AC3" s="21" t="n"/>
    </row>
    <row r="4" ht="19" customHeight="1">
      <c r="A4" s="3" t="n">
        <v>395</v>
      </c>
      <c r="B4" s="3" t="n">
        <v>159.020808871413</v>
      </c>
      <c r="C4" s="3" t="n">
        <v>74.0563402917433</v>
      </c>
      <c r="D4" t="n">
        <v>1.83807382837655</v>
      </c>
      <c r="E4" s="20">
        <f>Tabelle2!$C$42/Tabelle2!$C$43*0.01*Tabelle16[[#This Row],[CaO_w]]*Tabelle2!$C$19</f>
        <v/>
      </c>
      <c r="F4" s="22" t="n">
        <v>1.285</v>
      </c>
      <c r="G4" t="n">
        <v>0.0719397990707862</v>
      </c>
      <c r="H4" s="20">
        <f>Tabelle16[[#This Row],[CaCl2_w]]/Tabelle2!$C$43*Tabelle2!$C$36*Tabelle2!$C$19*0.01</f>
        <v/>
      </c>
      <c r="I4" s="22" t="n">
        <v>0.103</v>
      </c>
      <c r="J4" s="21">
        <f>(Tabelle16[[#This Row],[CaCl2_w]]+Tabelle16[[#This Row],[CaO_w]])/100</f>
        <v/>
      </c>
      <c r="K4" s="21">
        <f>(Tabelle16[[#This Row],[CaCl2 mass '[g']]]/(1/Tabelle2!$C$43*Tabelle2!$C$36*Tabelle2!$C$19*0.01)+Tabelle16[[#This Row],[CaO mass '[g']]]/(Tabelle2!$C$42/Tabelle2!$C$43*0.01*Tabelle2!$C$19))*0.01</f>
        <v/>
      </c>
      <c r="L4" s="24">
        <f>Tabelle16[[#This Row],[CaCl2 mass '[g']]]*Tabelle2!$C$28/(Tabelle2!$C$19*(1+Tabelle2!$C$29))*(2*Tabelle2!$C$44/Tabelle2!$C$36)</f>
        <v/>
      </c>
      <c r="M4" t="n">
        <v>0</v>
      </c>
      <c r="N4" t="n">
        <v>0</v>
      </c>
      <c r="O4" s="19" t="n">
        <v>45784</v>
      </c>
      <c r="P4" s="30">
        <f>IF(Tabelle16[[#This Row],[Reactor '#]]=0,"BR300-2",IF(Tabelle16[[#This Row],[Reactor '#]]=1,"BR300-3",IF(Tabelle16[[#This Row],[Reactor '#]]=2,"BR300-4")))</f>
        <v/>
      </c>
      <c r="Q4" s="8" t="n"/>
      <c r="R4" s="25" t="n"/>
      <c r="S4" s="25" t="n"/>
      <c r="U4">
        <f>0.0846+0.9069*Tabelle16[[#This Row],[Reaction yield (mass)]]</f>
        <v/>
      </c>
      <c r="V4" s="21" t="n">
        <v>0</v>
      </c>
      <c r="W4" s="29">
        <f>50+Tabelle16[[#This Row],[CaO mass '[g']]]+Tabelle16[[#This Row],[CaCl2 mass per experiment]]</f>
        <v/>
      </c>
      <c r="X4" s="29" t="n"/>
      <c r="Y4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4" t="inlineStr">
        <is>
          <t>NEW add. 9 Point sampling</t>
        </is>
      </c>
      <c r="AA4" s="19" t="n">
        <v>45777</v>
      </c>
    </row>
    <row r="5" ht="19" customHeight="1">
      <c r="A5" s="3" t="n">
        <v>394</v>
      </c>
      <c r="B5" s="3" t="n">
        <v>114.721960549088</v>
      </c>
      <c r="C5" s="3" t="n">
        <v>142.571652074351</v>
      </c>
      <c r="D5" t="n">
        <v>1.68456590771239</v>
      </c>
      <c r="E5" s="20">
        <f>Tabelle2!$C$42/Tabelle2!$C$43*0.01*Tabelle16[[#This Row],[CaO_w]]*Tabelle2!$C$19</f>
        <v/>
      </c>
      <c r="F5" s="22" t="n">
        <v>1.181</v>
      </c>
      <c r="G5" t="n">
        <v>0.187343228598409</v>
      </c>
      <c r="H5" s="20" t="n">
        <v>0.259</v>
      </c>
      <c r="I5" s="22" t="n">
        <v>0.2593954399267157</v>
      </c>
      <c r="J5" s="21">
        <f>(Tabelle16[[#This Row],[CaCl2_w]]+Tabelle16[[#This Row],[CaO_w]])/100</f>
        <v/>
      </c>
      <c r="K5" s="21">
        <f>(Tabelle16[[#This Row],[CaCl2 mass '[g']]]/(1/Tabelle2!$C$43*Tabelle2!$C$36*Tabelle2!$C$19*0.01)+Tabelle16[[#This Row],[CaO mass '[g']]]/(Tabelle2!$C$42/Tabelle2!$C$43*0.01*Tabelle2!$C$19))*0.01</f>
        <v/>
      </c>
      <c r="L5" s="24">
        <f>Tabelle16[[#This Row],[CaCl2 mass '[g']]]*Tabelle2!$C$28/(Tabelle2!$C$19*(1+Tabelle2!$C$29))*(2*Tabelle2!$C$44/Tabelle2!$C$36)</f>
        <v/>
      </c>
      <c r="M5" t="n">
        <v>0</v>
      </c>
      <c r="N5" t="n">
        <v>2</v>
      </c>
      <c r="O5" s="19" t="n">
        <v>45783</v>
      </c>
      <c r="P5" s="30">
        <f>IF(Tabelle16[[#This Row],[Reactor '#]]=0,"BR300-2",IF(Tabelle16[[#This Row],[Reactor '#]]=1,"BR300-3",IF(Tabelle16[[#This Row],[Reactor '#]]=2,"BR300-4")))</f>
        <v/>
      </c>
      <c r="Q5" s="8" t="n">
        <v>56.622</v>
      </c>
      <c r="R5" s="24" t="n">
        <v>0.1911</v>
      </c>
      <c r="S5" s="24" t="n">
        <v>0.2718</v>
      </c>
      <c r="T5" s="21" t="n">
        <v>0.331095</v>
      </c>
      <c r="U5">
        <f>0.0846+0.9069*Tabelle16[[#This Row],[Reaction yield (mass)]]</f>
        <v/>
      </c>
      <c r="V5" s="21">
        <f>Tabelle16[[#This Row],[Reaction yield (LOI)]]*Tabelle2!$C$31/(1+Tabelle2!$C$31*Tabelle16[[#This Row],[Reaction yield (LOI)]])</f>
        <v/>
      </c>
      <c r="W5" s="29">
        <f>50+Tabelle16[[#This Row],[CaO mass '[g']]]+Tabelle16[[#This Row],[CaCl2 mass per experiment]]</f>
        <v/>
      </c>
      <c r="X5" s="29" t="n">
        <v>0.2983684655073182</v>
      </c>
      <c r="Y5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5" t="inlineStr">
        <is>
          <t>NEW add. 9 Point sampling</t>
        </is>
      </c>
      <c r="AA5" s="19" t="n">
        <v>45777</v>
      </c>
    </row>
    <row r="6" ht="19" customHeight="1">
      <c r="A6" s="3" t="n">
        <v>393</v>
      </c>
      <c r="B6" s="3" t="n">
        <v>143.331833944296</v>
      </c>
      <c r="C6" s="3" t="n">
        <v>176.518332917919</v>
      </c>
      <c r="D6" t="n">
        <v>0.813603605100701</v>
      </c>
      <c r="E6" s="20">
        <f>Tabelle2!$C$42/Tabelle2!$C$43*0.01*Tabelle16[[#This Row],[CaO_w]]*Tabelle2!$C$19</f>
        <v/>
      </c>
      <c r="F6" s="22" t="n">
        <v>0.57</v>
      </c>
      <c r="G6" t="n">
        <v>0.296155347887977</v>
      </c>
      <c r="H6" s="20">
        <f>Tabelle16[[#This Row],[CaCl2_w]]/Tabelle2!$C$43*Tabelle2!$C$36*Tabelle2!$C$19*0.01</f>
        <v/>
      </c>
      <c r="I6" s="22" t="n">
        <v>0.417</v>
      </c>
      <c r="J6" s="21">
        <f>(Tabelle16[[#This Row],[CaCl2_w]]+Tabelle16[[#This Row],[CaO_w]])/100</f>
        <v/>
      </c>
      <c r="K6" s="21">
        <f>(Tabelle16[[#This Row],[CaCl2 mass '[g']]]/(1/Tabelle2!$C$43*Tabelle2!$C$36*Tabelle2!$C$19*0.01)+Tabelle16[[#This Row],[CaO mass '[g']]]/(Tabelle2!$C$42/Tabelle2!$C$43*0.01*Tabelle2!$C$19))*0.01</f>
        <v/>
      </c>
      <c r="L6" s="24">
        <f>Tabelle16[[#This Row],[CaCl2 mass '[g']]]*Tabelle2!$C$28/(Tabelle2!$C$19*(1+Tabelle2!$C$29))*(2*Tabelle2!$C$44/Tabelle2!$C$36)</f>
        <v/>
      </c>
      <c r="M6" t="n">
        <v>0</v>
      </c>
      <c r="N6" t="n">
        <v>1</v>
      </c>
      <c r="O6" s="19" t="n">
        <v>45783</v>
      </c>
      <c r="P6" s="30">
        <f>IF(Tabelle16[[#This Row],[Reactor '#]]=0,"BR300-2",IF(Tabelle16[[#This Row],[Reactor '#]]=1,"BR300-3",IF(Tabelle16[[#This Row],[Reactor '#]]=2,"BR300-4")))</f>
        <v/>
      </c>
      <c r="Q6" s="8" t="n">
        <v>61.45</v>
      </c>
      <c r="R6" s="24" t="n">
        <v>0.1696</v>
      </c>
      <c r="S6" s="24" t="n">
        <v>0.4699</v>
      </c>
      <c r="T6" s="21" t="n">
        <v>0.5107523</v>
      </c>
      <c r="U6">
        <f>0.0846+0.9069*Tabelle16[[#This Row],[Reaction yield (mass)]]</f>
        <v/>
      </c>
      <c r="V6" s="21">
        <f>Tabelle16[[#This Row],[Reaction yield (LOI)]]*Tabelle2!$C$31/(1+Tabelle2!$C$31*Tabelle16[[#This Row],[Reaction yield (LOI)]])</f>
        <v/>
      </c>
      <c r="W6" s="29">
        <f>50+Tabelle16[[#This Row],[CaO mass '[g']]]+Tabelle16[[#This Row],[CaCl2 mass per experiment]]</f>
        <v/>
      </c>
      <c r="X6" s="29" t="n">
        <v>0.4956170388019006</v>
      </c>
      <c r="Y6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6" t="inlineStr">
        <is>
          <t>NEW add. 9 Point sampling</t>
        </is>
      </c>
      <c r="AA6" s="19" t="n">
        <v>45777</v>
      </c>
    </row>
    <row r="7" ht="19" customHeight="1">
      <c r="A7" s="3" t="n">
        <v>392</v>
      </c>
      <c r="B7" s="3" t="n">
        <v>186.477779091378</v>
      </c>
      <c r="C7" s="3" t="n">
        <v>159.255617719098</v>
      </c>
      <c r="D7" t="n">
        <v>1.19927476970511</v>
      </c>
      <c r="E7" s="20">
        <f>Tabelle2!$C$42/Tabelle2!$C$43*0.01*Tabelle16[[#This Row],[CaO_w]]*Tabelle2!$C$19</f>
        <v/>
      </c>
      <c r="F7" s="22" t="n">
        <v>0.838</v>
      </c>
      <c r="G7" t="n">
        <v>0.392873444501372</v>
      </c>
      <c r="H7" s="20">
        <f>Tabelle16[[#This Row],[CaCl2_w]]/Tabelle2!$C$43*Tabelle2!$C$36*Tabelle2!$C$19*0.01</f>
        <v/>
      </c>
      <c r="I7" s="22" t="n">
        <v>0.545</v>
      </c>
      <c r="J7" s="21">
        <f>(Tabelle16[[#This Row],[CaCl2_w]]+Tabelle16[[#This Row],[CaO_w]])/100</f>
        <v/>
      </c>
      <c r="K7" s="21">
        <f>(Tabelle16[[#This Row],[CaCl2 mass '[g']]]/(1/Tabelle2!$C$43*Tabelle2!$C$36*Tabelle2!$C$19*0.01)+Tabelle16[[#This Row],[CaO mass '[g']]]/(Tabelle2!$C$42/Tabelle2!$C$43*0.01*Tabelle2!$C$19))*0.01</f>
        <v/>
      </c>
      <c r="L7" s="24">
        <f>Tabelle16[[#This Row],[CaCl2 mass '[g']]]*Tabelle2!$C$28/(Tabelle2!$C$19*(1+Tabelle2!$C$29))*(2*Tabelle2!$C$44/Tabelle2!$C$36)</f>
        <v/>
      </c>
      <c r="M7" t="n">
        <v>0</v>
      </c>
      <c r="N7" t="n">
        <v>0</v>
      </c>
      <c r="O7" s="19" t="n">
        <v>45783</v>
      </c>
      <c r="P7" s="30">
        <f>IF(Tabelle16[[#This Row],[Reactor '#]]=0,"BR300-2",IF(Tabelle16[[#This Row],[Reactor '#]]=1,"BR300-3",IF(Tabelle16[[#This Row],[Reactor '#]]=2,"BR300-4")))</f>
        <v/>
      </c>
      <c r="Q7" s="31" t="n">
        <v>58.653</v>
      </c>
      <c r="R7" s="24" t="n">
        <v>0.1621</v>
      </c>
      <c r="S7" s="24" t="n">
        <v>0.3551</v>
      </c>
      <c r="T7" s="21" t="n">
        <v>0.40664</v>
      </c>
      <c r="U7">
        <f>0.0846+0.9069*Tabelle16[[#This Row],[Reaction yield (mass)]]</f>
        <v/>
      </c>
      <c r="V7" s="21">
        <f>Tabelle16[[#This Row],[Reaction yield (LOI)]]*Tabelle2!$C$31/(1+Tabelle2!$C$31*Tabelle16[[#This Row],[Reaction yield (LOI)]])</f>
        <v/>
      </c>
      <c r="W7" s="29">
        <f>50+Tabelle16[[#This Row],[CaO mass '[g']]]+Tabelle16[[#This Row],[CaCl2 mass per experiment]]</f>
        <v/>
      </c>
      <c r="X7" s="29" t="n">
        <v>0.3820171462434828</v>
      </c>
      <c r="Y7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7" t="inlineStr">
        <is>
          <t>NEW add. 9 Point sampling</t>
        </is>
      </c>
      <c r="AA7" s="19" t="n">
        <v>45777</v>
      </c>
      <c r="AC7" s="21" t="n"/>
    </row>
    <row r="8" ht="19" customHeight="1">
      <c r="A8" s="3" t="n">
        <v>391</v>
      </c>
      <c r="B8" s="3" t="n">
        <v>169.812426458426</v>
      </c>
      <c r="C8" s="3" t="n">
        <v>38.1604318552561</v>
      </c>
      <c r="D8" t="n">
        <v>1.40259810955774</v>
      </c>
      <c r="E8" s="20">
        <f>Tabelle2!$C$42/Tabelle2!$C$43*0.01*Tabelle16[[#This Row],[CaO_w]]*Tabelle2!$C$19</f>
        <v/>
      </c>
      <c r="F8" s="22" t="n">
        <v>0.981</v>
      </c>
      <c r="G8" t="n">
        <v>0.420137807161303</v>
      </c>
      <c r="H8" s="20">
        <f>Tabelle16[[#This Row],[CaCl2_w]]/Tabelle2!$C$43*Tabelle2!$C$36*Tabelle2!$C$19*0.01</f>
        <v/>
      </c>
      <c r="I8" s="22" t="n">
        <v>0.584</v>
      </c>
      <c r="J8" s="21">
        <f>(Tabelle16[[#This Row],[CaCl2_w]]+Tabelle16[[#This Row],[CaO_w]])/100</f>
        <v/>
      </c>
      <c r="K8" s="21">
        <f>(Tabelle16[[#This Row],[CaCl2 mass '[g']]]/(1/Tabelle2!$C$43*Tabelle2!$C$36*Tabelle2!$C$19*0.01)+Tabelle16[[#This Row],[CaO mass '[g']]]/(Tabelle2!$C$42/Tabelle2!$C$43*0.01*Tabelle2!$C$19))*0.01</f>
        <v/>
      </c>
      <c r="L8" s="24">
        <f>Tabelle16[[#This Row],[CaCl2 mass '[g']]]*Tabelle2!$C$28/(Tabelle2!$C$19*(1+Tabelle2!$C$29))*(2*Tabelle2!$C$44/Tabelle2!$C$36)</f>
        <v/>
      </c>
      <c r="M8" t="n">
        <v>0</v>
      </c>
      <c r="N8" t="n">
        <v>2</v>
      </c>
      <c r="O8" s="19" t="n">
        <v>45782</v>
      </c>
      <c r="P8" s="30">
        <f>IF(Tabelle16[[#This Row],[Reactor '#]]=0,"BR300-2",IF(Tabelle16[[#This Row],[Reactor '#]]=1,"BR300-3",IF(Tabelle16[[#This Row],[Reactor '#]]=2,"BR300-4")))</f>
        <v/>
      </c>
      <c r="Q8" s="8" t="n">
        <v>57.037</v>
      </c>
      <c r="R8" s="21" t="n">
        <v>0.1612</v>
      </c>
      <c r="S8" s="24" t="n">
        <v>0.2888</v>
      </c>
      <c r="T8" s="21" t="n">
        <v>0.2775049</v>
      </c>
      <c r="U8">
        <f>0.0846+0.9069*Tabelle16[[#This Row],[Reaction yield (mass)]]</f>
        <v/>
      </c>
      <c r="V8" s="21">
        <f>Tabelle16[[#This Row],[Reaction yield (LOI)]]*Tabelle2!$C$31/(1+Tabelle2!$C$31*Tabelle16[[#This Row],[Reaction yield (LOI)]])</f>
        <v/>
      </c>
      <c r="W8" s="29">
        <f>50+Tabelle16[[#This Row],[CaO mass '[g']]]+Tabelle16[[#This Row],[CaCl2 mass per experiment]]</f>
        <v/>
      </c>
      <c r="X8" s="29" t="n">
        <v>0.2450752005644022</v>
      </c>
      <c r="Y8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8" t="inlineStr">
        <is>
          <t>NEW add. 9 Point sampling</t>
        </is>
      </c>
      <c r="AA8" s="19" t="n">
        <v>45777</v>
      </c>
      <c r="AC8" s="21" t="n"/>
    </row>
    <row r="9" ht="19" customHeight="1">
      <c r="A9" s="3" t="n">
        <v>390</v>
      </c>
      <c r="B9" s="3" t="n">
        <v>106.067122606195</v>
      </c>
      <c r="C9" s="3" t="n">
        <v>94.21800964293151</v>
      </c>
      <c r="D9" t="n">
        <v>0.599618916434221</v>
      </c>
      <c r="E9" s="20">
        <f>Tabelle2!$C$42/Tabelle2!$C$43*0.01*Tabelle16[[#This Row],[CaO_w]]*Tabelle2!$C$19</f>
        <v/>
      </c>
      <c r="F9" s="22" t="n">
        <v>0.417</v>
      </c>
      <c r="G9" t="n">
        <v>0.30937119987843</v>
      </c>
      <c r="H9" s="20">
        <f>Tabelle16[[#This Row],[CaCl2_w]]/Tabelle2!$C$43*Tabelle2!$C$36*Tabelle2!$C$19*0.01</f>
        <v/>
      </c>
      <c r="I9" s="22" t="n">
        <v>0.428</v>
      </c>
      <c r="J9" s="21">
        <f>(Tabelle16[[#This Row],[CaCl2_w]]+Tabelle16[[#This Row],[CaO_w]])/100</f>
        <v/>
      </c>
      <c r="K9" s="21">
        <f>(Tabelle16[[#This Row],[CaCl2 mass '[g']]]/(1/Tabelle2!$C$43*Tabelle2!$C$36*Tabelle2!$C$19*0.01)+Tabelle16[[#This Row],[CaO mass '[g']]]/(Tabelle2!$C$42/Tabelle2!$C$43*0.01*Tabelle2!$C$19))*0.01</f>
        <v/>
      </c>
      <c r="L9" s="24">
        <f>Tabelle16[[#This Row],[CaCl2 mass '[g']]]*Tabelle2!$C$28/(Tabelle2!$C$19*(1+Tabelle2!$C$29))*(2*Tabelle2!$C$44/Tabelle2!$C$36)</f>
        <v/>
      </c>
      <c r="M9" t="n">
        <v>0</v>
      </c>
      <c r="N9" t="n">
        <v>1</v>
      </c>
      <c r="O9" s="19" t="n">
        <v>45782</v>
      </c>
      <c r="P9" s="30">
        <f>IF(Tabelle16[[#This Row],[Reactor '#]]=0,"BR300-2",IF(Tabelle16[[#This Row],[Reactor '#]]=1,"BR300-3",IF(Tabelle16[[#This Row],[Reactor '#]]=2,"BR300-4")))</f>
        <v/>
      </c>
      <c r="Q9" s="8" t="n">
        <v>53.604</v>
      </c>
      <c r="R9" s="21" t="n">
        <v>0.1999</v>
      </c>
      <c r="S9" s="24" t="n">
        <v>0.1479</v>
      </c>
      <c r="T9" s="21" t="n">
        <v>0.21187305</v>
      </c>
      <c r="U9">
        <f>0.0846+0.9069*Tabelle16[[#This Row],[Reaction yield (mass)]]</f>
        <v/>
      </c>
      <c r="V9" s="21">
        <f>Tabelle16[[#This Row],[Reaction yield (LOI)]]*Tabelle2!$C$31/(1+Tabelle2!$C$31*Tabelle16[[#This Row],[Reaction yield (LOI)]])</f>
        <v/>
      </c>
      <c r="W9" s="29">
        <f>50+Tabelle16[[#This Row],[CaO mass '[g']]]+Tabelle16[[#This Row],[CaCl2 mass per experiment]]</f>
        <v/>
      </c>
      <c r="X9" s="29" t="n">
        <v>0.1950577790086805</v>
      </c>
      <c r="Y9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9" t="inlineStr">
        <is>
          <t>NEW add. 9 Point sampling</t>
        </is>
      </c>
      <c r="AA9" s="19" t="n">
        <v>45777</v>
      </c>
    </row>
    <row r="10" ht="19" customHeight="1">
      <c r="A10" s="3" t="n">
        <v>389</v>
      </c>
      <c r="B10" s="3" t="n">
        <v>128.736355765927</v>
      </c>
      <c r="C10" s="3" t="n">
        <v>49.172140581473</v>
      </c>
      <c r="D10" t="n">
        <v>0.359048117491159</v>
      </c>
      <c r="E10" s="20">
        <f>Tabelle2!$C$42/Tabelle2!$C$43*0.01*Tabelle16[[#This Row],[CaO_w]]*Tabelle2!$C$19</f>
        <v/>
      </c>
      <c r="F10" s="22" t="n">
        <v>0.252</v>
      </c>
      <c r="G10" t="n">
        <v>0.233475497947942</v>
      </c>
      <c r="H10" s="20">
        <f>Tabelle16[[#This Row],[CaCl2_w]]/Tabelle2!$C$43*Tabelle2!$C$36*Tabelle2!$C$19*0.01</f>
        <v/>
      </c>
      <c r="I10" s="22" t="n">
        <v>0.328</v>
      </c>
      <c r="J10" s="21">
        <f>(Tabelle16[[#This Row],[CaCl2_w]]+Tabelle16[[#This Row],[CaO_w]])/100</f>
        <v/>
      </c>
      <c r="K10" s="21">
        <f>(Tabelle16[[#This Row],[CaCl2 mass '[g']]]/(1/Tabelle2!$C$43*Tabelle2!$C$36*Tabelle2!$C$19*0.01)+Tabelle16[[#This Row],[CaO mass '[g']]]/(Tabelle2!$C$42/Tabelle2!$C$43*0.01*Tabelle2!$C$19))*0.01</f>
        <v/>
      </c>
      <c r="L10" s="24">
        <f>Tabelle16[[#This Row],[CaCl2 mass '[g']]]*Tabelle2!$C$28/(Tabelle2!$C$19*(1+Tabelle2!$C$29))*(2*Tabelle2!$C$44/Tabelle2!$C$36)</f>
        <v/>
      </c>
      <c r="M10" t="n">
        <v>0</v>
      </c>
      <c r="N10" t="n">
        <v>0</v>
      </c>
      <c r="O10" s="19" t="n">
        <v>45782</v>
      </c>
      <c r="P10" s="30">
        <f>IF(Tabelle16[[#This Row],[Reactor '#]]=0,"BR300-2",IF(Tabelle16[[#This Row],[Reactor '#]]=1,"BR300-3",IF(Tabelle16[[#This Row],[Reactor '#]]=2,"BR300-4")))</f>
        <v/>
      </c>
      <c r="Q10" s="8" t="n">
        <v>55.118</v>
      </c>
      <c r="R10" s="21" t="n">
        <v>0.2012</v>
      </c>
      <c r="S10" s="24" t="n">
        <v>0.21</v>
      </c>
      <c r="T10" s="21" t="n">
        <v>0.3465127</v>
      </c>
      <c r="U10">
        <f>0.0846+0.9069*Tabelle16[[#This Row],[Reaction yield (mass)]]</f>
        <v/>
      </c>
      <c r="V10" s="21">
        <f>Tabelle16[[#This Row],[Reaction yield (LOI)]]*Tabelle2!$C$31/(1+Tabelle2!$C$31*Tabelle16[[#This Row],[Reaction yield (LOI)]])</f>
        <v/>
      </c>
      <c r="W10" s="29">
        <f>50+Tabelle16[[#This Row],[CaO mass '[g']]]+Tabelle16[[#This Row],[CaCl2 mass per experiment]]</f>
        <v/>
      </c>
      <c r="X10" s="29" t="n">
        <v>0.3370442467499817</v>
      </c>
      <c r="Y10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0" t="inlineStr">
        <is>
          <t>NEW add. 9 Point sampling</t>
        </is>
      </c>
      <c r="AA10" s="19" t="n">
        <v>45777</v>
      </c>
    </row>
    <row r="11" ht="19" customHeight="1">
      <c r="A11" s="3" t="n">
        <v>382</v>
      </c>
      <c r="B11" s="3" t="n">
        <v>128.582132653504</v>
      </c>
      <c r="C11" s="3" t="n">
        <v>89.23848009746386</v>
      </c>
      <c r="D11" t="n">
        <v>0.5609004629869452</v>
      </c>
      <c r="E11" s="20">
        <f>Tabelle2!$C$42/Tabelle2!$C$43*0.01*Tabelle16[[#This Row],[CaO_w]]*Tabelle2!$C$19</f>
        <v/>
      </c>
      <c r="F11" s="22" t="n">
        <v>0.392</v>
      </c>
      <c r="G11" t="n">
        <v>0.3913884681989979</v>
      </c>
      <c r="H11" s="20">
        <f>Tabelle16[[#This Row],[CaCl2_w]]/Tabelle2!$C$43*Tabelle2!$C$36*Tabelle2!$C$19*0.01</f>
        <v/>
      </c>
      <c r="I11" s="22" t="n">
        <v>0.542</v>
      </c>
      <c r="J11" s="21">
        <f>(Tabelle16[[#This Row],[CaCl2_w]]+Tabelle16[[#This Row],[CaO_w]])/100</f>
        <v/>
      </c>
      <c r="K11" s="21">
        <f>(Tabelle16[[#This Row],[CaCl2 mass '[g']]]/(1/Tabelle2!$C$43*Tabelle2!$C$36*Tabelle2!$C$19*0.01)+Tabelle16[[#This Row],[CaO mass '[g']]]/(Tabelle2!$C$42/Tabelle2!$C$43*0.01*Tabelle2!$C$19))*0.01</f>
        <v/>
      </c>
      <c r="L11" s="24">
        <f>Tabelle16[[#This Row],[CaCl2 mass '[g']]]*Tabelle2!$C$28/(Tabelle2!$C$19*(1+Tabelle2!$C$29))*(2*Tabelle2!$C$44/Tabelle2!$C$36)</f>
        <v/>
      </c>
      <c r="M11" t="n">
        <v>0</v>
      </c>
      <c r="N11" t="n">
        <v>2</v>
      </c>
      <c r="O11" s="19" t="n">
        <v>45776</v>
      </c>
      <c r="P11" s="30">
        <f>IF(Tabelle16[[#This Row],[Reactor '#]]=0,"BR300-2",IF(Tabelle16[[#This Row],[Reactor '#]]=1,"BR300-3",IF(Tabelle16[[#This Row],[Reactor '#]]=2,"BR300-4")))</f>
        <v/>
      </c>
      <c r="Q11" s="8" t="n">
        <v>55.752</v>
      </c>
      <c r="R11" s="24" t="n">
        <v>0.192</v>
      </c>
      <c r="S11" s="24" t="n">
        <v>0.2361</v>
      </c>
      <c r="T11" s="21" t="n">
        <v>0.2987</v>
      </c>
      <c r="U11">
        <f>0.0846+0.9069*Tabelle16[[#This Row],[Reaction yield (mass)]]</f>
        <v/>
      </c>
      <c r="V11" s="21">
        <f>Tabelle16[[#This Row],[Reaction yield (LOI)]]*Tabelle2!$C$31/(1+Tabelle2!$C$31*Tabelle16[[#This Row],[Reaction yield (LOI)]])</f>
        <v/>
      </c>
      <c r="W11" s="29">
        <f>50+Tabelle16[[#This Row],[CaO mass '[g']]]+Tabelle16[[#This Row],[CaCl2 mass per experiment]]</f>
        <v/>
      </c>
      <c r="X11" s="29" t="n">
        <v>0.2828316869237796</v>
      </c>
      <c r="Y11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1" t="inlineStr">
        <is>
          <t>Sampling from 30 points with PSD</t>
        </is>
      </c>
      <c r="AA11" s="19" t="n">
        <v>45774</v>
      </c>
    </row>
    <row r="12" ht="19" customHeight="1">
      <c r="A12" s="3" t="n">
        <v>381</v>
      </c>
      <c r="B12" s="3" t="n">
        <v>194.5230323668147</v>
      </c>
      <c r="C12" s="3" t="n">
        <v>111.2720515927708</v>
      </c>
      <c r="D12" t="n">
        <v>0.8774673060357087</v>
      </c>
      <c r="E12" s="20">
        <f>Tabelle2!$C$42/Tabelle2!$C$43*0.01*Tabelle16[[#This Row],[CaO_w]]*Tabelle2!$C$19</f>
        <v/>
      </c>
      <c r="F12" s="22" t="n">
        <v>0.613</v>
      </c>
      <c r="G12" t="n">
        <v>0.2493563502555145</v>
      </c>
      <c r="H12" s="20">
        <f>Tabelle16[[#This Row],[CaCl2_w]]/Tabelle2!$C$43*Tabelle2!$C$36*Tabelle2!$C$19*0.01</f>
        <v/>
      </c>
      <c r="I12" s="22" t="n">
        <v>0.347</v>
      </c>
      <c r="J12" s="21">
        <f>(Tabelle16[[#This Row],[CaCl2_w]]+Tabelle16[[#This Row],[CaO_w]])/100</f>
        <v/>
      </c>
      <c r="K12" s="21">
        <f>(Tabelle16[[#This Row],[CaCl2 mass '[g']]]/(1/Tabelle2!$C$43*Tabelle2!$C$36*Tabelle2!$C$19*0.01)+Tabelle16[[#This Row],[CaO mass '[g']]]/(Tabelle2!$C$42/Tabelle2!$C$43*0.01*Tabelle2!$C$19))*0.01</f>
        <v/>
      </c>
      <c r="L12" s="24">
        <f>Tabelle16[[#This Row],[CaCl2 mass '[g']]]*Tabelle2!$C$28/(Tabelle2!$C$19*(1+Tabelle2!$C$29))*(2*Tabelle2!$C$44/Tabelle2!$C$36)</f>
        <v/>
      </c>
      <c r="M12" t="n">
        <v>0</v>
      </c>
      <c r="N12" t="n">
        <v>1</v>
      </c>
      <c r="O12" s="19" t="n">
        <v>45776</v>
      </c>
      <c r="P12" s="30">
        <f>IF(Tabelle16[[#This Row],[Reactor '#]]=0,"BR300-2",IF(Tabelle16[[#This Row],[Reactor '#]]=1,"BR300-3",IF(Tabelle16[[#This Row],[Reactor '#]]=2,"BR300-4")))</f>
        <v/>
      </c>
      <c r="Q12" s="8" t="n">
        <v>58.324</v>
      </c>
      <c r="R12" s="24" t="n">
        <v>0.1547</v>
      </c>
      <c r="S12" s="24" t="n">
        <v>0.3416</v>
      </c>
      <c r="T12" s="21" t="n">
        <v>0.3944</v>
      </c>
      <c r="U12">
        <f>0.0846+0.9069*Tabelle16[[#This Row],[Reaction yield (mass)]]</f>
        <v/>
      </c>
      <c r="V12" s="21">
        <f>Tabelle16[[#This Row],[Reaction yield (LOI)]]*Tabelle2!$C$31/(1+Tabelle2!$C$31*Tabelle16[[#This Row],[Reaction yield (LOI)]])</f>
        <v/>
      </c>
      <c r="W12" s="29">
        <f>50+Tabelle16[[#This Row],[CaO mass '[g']]]+Tabelle16[[#This Row],[CaCl2 mass per experiment]]</f>
        <v/>
      </c>
      <c r="X12" s="29" t="n">
        <v>0.3765663702221178</v>
      </c>
      <c r="Y12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2" t="inlineStr">
        <is>
          <t>Sampling from 30 points with PSD</t>
        </is>
      </c>
      <c r="AA12" s="19" t="n">
        <v>45774</v>
      </c>
    </row>
    <row r="13" ht="19" customHeight="1">
      <c r="A13" s="3" t="n">
        <v>380</v>
      </c>
      <c r="B13" s="3" t="n">
        <v>135.7194290512448</v>
      </c>
      <c r="C13" s="3" t="n">
        <v>138.3738624444177</v>
      </c>
      <c r="D13" t="n">
        <v>0.2355322709988796</v>
      </c>
      <c r="E13" s="20">
        <f>Tabelle2!$C$42/Tabelle2!$C$43*0.01*Tabelle16[[#This Row],[CaO_w]]*Tabelle2!$C$19</f>
        <v/>
      </c>
      <c r="F13" s="22" t="n">
        <v>0.164</v>
      </c>
      <c r="G13" t="n">
        <v>0.4354461245933116</v>
      </c>
      <c r="H13" s="20">
        <f>Tabelle16[[#This Row],[CaCl2_w]]/Tabelle2!$C$43*Tabelle2!$C$36*Tabelle2!$C$19*0.01</f>
        <v/>
      </c>
      <c r="I13" s="22" t="n">
        <v>0.606</v>
      </c>
      <c r="J13" s="21">
        <f>(Tabelle16[[#This Row],[CaCl2_w]]+Tabelle16[[#This Row],[CaO_w]])/100</f>
        <v/>
      </c>
      <c r="K13" s="21">
        <f>(Tabelle16[[#This Row],[CaCl2 mass '[g']]]/(1/Tabelle2!$C$43*Tabelle2!$C$36*Tabelle2!$C$19*0.01)+Tabelle16[[#This Row],[CaO mass '[g']]]/(Tabelle2!$C$42/Tabelle2!$C$43*0.01*Tabelle2!$C$19))*0.01</f>
        <v/>
      </c>
      <c r="L13" s="24">
        <f>Tabelle16[[#This Row],[CaCl2 mass '[g']]]*Tabelle2!$C$28/(Tabelle2!$C$19*(1+Tabelle2!$C$29))*(2*Tabelle2!$C$44/Tabelle2!$C$36)</f>
        <v/>
      </c>
      <c r="M13" t="n">
        <v>0</v>
      </c>
      <c r="N13" t="n">
        <v>0</v>
      </c>
      <c r="O13" s="19" t="n">
        <v>45776</v>
      </c>
      <c r="P13" s="30">
        <f>IF(Tabelle16[[#This Row],[Reactor '#]]=0,"BR300-2",IF(Tabelle16[[#This Row],[Reactor '#]]=1,"BR300-3",IF(Tabelle16[[#This Row],[Reactor '#]]=2,"BR300-4")))</f>
        <v/>
      </c>
      <c r="Q13" s="8" t="n">
        <v>58.807</v>
      </c>
      <c r="R13" s="24" t="n">
        <v>0.1832</v>
      </c>
      <c r="S13" s="24" t="n">
        <v>0.3614</v>
      </c>
      <c r="T13" s="21" t="n">
        <v>0.4123</v>
      </c>
      <c r="U13">
        <f>0.0846+0.9069*Tabelle16[[#This Row],[Reaction yield (mass)]]</f>
        <v/>
      </c>
      <c r="V13" s="21">
        <f>Tabelle16[[#This Row],[Reaction yield (LOI)]]*Tabelle2!$C$31/(1+Tabelle2!$C$31*Tabelle16[[#This Row],[Reaction yield (LOI)]])</f>
        <v/>
      </c>
      <c r="W13" s="29">
        <f>50+Tabelle16[[#This Row],[CaO mass '[g']]]+Tabelle16[[#This Row],[CaCl2 mass per experiment]]</f>
        <v/>
      </c>
      <c r="X13" s="29" t="n">
        <v>0.4034788318742614</v>
      </c>
      <c r="Y13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3" t="inlineStr">
        <is>
          <t>Sampling from 30 points with PSD</t>
        </is>
      </c>
      <c r="AA13" s="19" t="n">
        <v>45774</v>
      </c>
    </row>
    <row r="14" ht="19" customHeight="1">
      <c r="A14" s="3" t="n">
        <v>379</v>
      </c>
      <c r="B14" s="3" t="n">
        <v>167.1901565937721</v>
      </c>
      <c r="C14" s="3" t="n">
        <v>40.6657120697186</v>
      </c>
      <c r="D14" t="n">
        <v>0.299873148760247</v>
      </c>
      <c r="E14" s="20">
        <f>Tabelle2!$C$42/Tabelle2!$C$43*0.01*Tabelle16[[#This Row],[CaO_w]]*Tabelle2!$C$19</f>
        <v/>
      </c>
      <c r="F14" s="22" t="n">
        <v>0.212</v>
      </c>
      <c r="G14" t="n">
        <v>0.336453353531038</v>
      </c>
      <c r="H14" s="20">
        <f>Tabelle16[[#This Row],[CaCl2_w]]/Tabelle2!$C$43*Tabelle2!$C$36*Tabelle2!$C$19*0.01</f>
        <v/>
      </c>
      <c r="I14" s="22" t="n">
        <v>0.467</v>
      </c>
      <c r="J14" s="21">
        <f>(Tabelle16[[#This Row],[CaCl2_w]]+Tabelle16[[#This Row],[CaO_w]])/100</f>
        <v/>
      </c>
      <c r="K14" s="21">
        <f>(Tabelle16[[#This Row],[CaCl2 mass '[g']]]/(1/Tabelle2!$C$43*Tabelle2!$C$36*Tabelle2!$C$19*0.01)+Tabelle16[[#This Row],[CaO mass '[g']]]/(Tabelle2!$C$42/Tabelle2!$C$43*0.01*Tabelle2!$C$19))*0.01</f>
        <v/>
      </c>
      <c r="L14" s="24">
        <f>Tabelle16[[#This Row],[CaCl2 mass '[g']]]*Tabelle2!$C$28/(Tabelle2!$C$19*(1+Tabelle2!$C$29))*(2*Tabelle2!$C$44/Tabelle2!$C$36)</f>
        <v/>
      </c>
      <c r="M14" t="n">
        <v>0</v>
      </c>
      <c r="N14" t="n">
        <v>2</v>
      </c>
      <c r="O14" s="19" t="n">
        <v>45775</v>
      </c>
      <c r="P14" s="30">
        <f>IF(Tabelle16[[#This Row],[Reactor '#]]=0,"BR300-2",IF(Tabelle16[[#This Row],[Reactor '#]]=1,"BR300-3",IF(Tabelle16[[#This Row],[Reactor '#]]=2,"BR300-4")))</f>
        <v/>
      </c>
      <c r="Q14" s="8" t="n">
        <v>57.115</v>
      </c>
      <c r="R14" s="24" t="n">
        <v>0.1475</v>
      </c>
      <c r="S14" s="24" t="n">
        <v>0.292</v>
      </c>
      <c r="T14" s="21" t="n">
        <v>0.3252</v>
      </c>
      <c r="U14">
        <f>0.0846+0.9069*Tabelle16[[#This Row],[Reaction yield (mass)]]</f>
        <v/>
      </c>
      <c r="V14" s="21">
        <f>Tabelle16[[#This Row],[Reaction yield (LOI)]]*Tabelle2!$C$31/(1+Tabelle2!$C$31*Tabelle16[[#This Row],[Reaction yield (LOI)]])</f>
        <v/>
      </c>
      <c r="W14" s="29">
        <f>50+Tabelle16[[#This Row],[CaO mass '[g']]]+Tabelle16[[#This Row],[CaCl2 mass per experiment]]</f>
        <v/>
      </c>
      <c r="X14" s="29" t="n">
        <v>0.3151797159176661</v>
      </c>
      <c r="Y14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4" t="inlineStr">
        <is>
          <t>Sampling from 30 points with PSD</t>
        </is>
      </c>
      <c r="AA14" s="19" t="n">
        <v>45774</v>
      </c>
    </row>
    <row r="15" ht="19" customHeight="1">
      <c r="A15" s="3" t="n">
        <v>378</v>
      </c>
      <c r="B15" s="3" t="n">
        <v>102.8122794351714</v>
      </c>
      <c r="C15" s="3" t="n">
        <v>54.0767361988398</v>
      </c>
      <c r="D15" t="n">
        <v>1.215493106071189</v>
      </c>
      <c r="E15" s="20">
        <f>Tabelle2!$C$42/Tabelle2!$C$43*0.01*Tabelle16[[#This Row],[CaO_w]]*Tabelle2!$C$19</f>
        <v/>
      </c>
      <c r="F15" s="22" t="n">
        <v>0.855</v>
      </c>
      <c r="G15" t="n">
        <v>0.2969591796530708</v>
      </c>
      <c r="H15" s="20">
        <f>Tabelle16[[#This Row],[CaCl2_w]]/Tabelle2!$C$43*Tabelle2!$C$36*Tabelle2!$C$19*0.01</f>
        <v/>
      </c>
      <c r="I15" s="22" t="n">
        <v>0.433</v>
      </c>
      <c r="J15" s="21">
        <f>(Tabelle16[[#This Row],[CaCl2_w]]+Tabelle16[[#This Row],[CaO_w]])/100</f>
        <v/>
      </c>
      <c r="K15" s="21">
        <f>(Tabelle16[[#This Row],[CaCl2 mass '[g']]]/(1/Tabelle2!$C$43*Tabelle2!$C$36*Tabelle2!$C$19*0.01)+Tabelle16[[#This Row],[CaO mass '[g']]]/(Tabelle2!$C$42/Tabelle2!$C$43*0.01*Tabelle2!$C$19))*0.01</f>
        <v/>
      </c>
      <c r="L15" s="24">
        <f>Tabelle16[[#This Row],[CaCl2 mass '[g']]]*Tabelle2!$C$28/(Tabelle2!$C$19*(1+Tabelle2!$C$29))*(2*Tabelle2!$C$44/Tabelle2!$C$36)</f>
        <v/>
      </c>
      <c r="M15" t="n">
        <v>0</v>
      </c>
      <c r="N15" t="n">
        <v>1</v>
      </c>
      <c r="O15" s="19" t="n">
        <v>45775</v>
      </c>
      <c r="P15" s="30">
        <f>IF(Tabelle16[[#This Row],[Reactor '#]]=0,"BR300-2",IF(Tabelle16[[#This Row],[Reactor '#]]=1,"BR300-3",IF(Tabelle16[[#This Row],[Reactor '#]]=2,"BR300-4")))</f>
        <v/>
      </c>
      <c r="Q15" s="8" t="n">
        <v>55.09</v>
      </c>
      <c r="R15" s="24" t="n">
        <v>0.2349</v>
      </c>
      <c r="S15" s="24" t="n">
        <v>0.2089</v>
      </c>
      <c r="T15" s="21" t="n">
        <v>0.2505</v>
      </c>
      <c r="U15">
        <f>0.0846+0.9069*Tabelle16[[#This Row],[Reaction yield (mass)]]</f>
        <v/>
      </c>
      <c r="V15" s="21">
        <f>Tabelle16[[#This Row],[Reaction yield (LOI)]]*Tabelle2!$C$31/(1+Tabelle2!$C$31*Tabelle16[[#This Row],[Reaction yield (LOI)]])</f>
        <v/>
      </c>
      <c r="W15" s="29">
        <f>50+Tabelle16[[#This Row],[CaO mass '[g']]]+Tabelle16[[#This Row],[CaCl2 mass per experiment]]</f>
        <v/>
      </c>
      <c r="X15" s="29" t="n">
        <v>0.2222565809858955</v>
      </c>
      <c r="Y15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5" t="inlineStr">
        <is>
          <t>Sampling from 30 points with PSD</t>
        </is>
      </c>
      <c r="AA15" s="19" t="n">
        <v>45774</v>
      </c>
    </row>
    <row r="16" ht="19" customHeight="1">
      <c r="A16" s="3" t="n">
        <v>377</v>
      </c>
      <c r="B16" s="3" t="n">
        <v>107.1127360402414</v>
      </c>
      <c r="C16" s="3" t="n">
        <v>163.2431056250521</v>
      </c>
      <c r="D16" t="n">
        <v>1.82402163978071</v>
      </c>
      <c r="E16" s="20">
        <f>Tabelle2!$C$42/Tabelle2!$C$43*0.01*Tabelle16[[#This Row],[CaO_w]]*Tabelle2!$C$19</f>
        <v/>
      </c>
      <c r="F16" s="22" t="n">
        <v>1.277</v>
      </c>
      <c r="G16" t="n">
        <v>0.05158066843362354</v>
      </c>
      <c r="H16" s="20">
        <f>Tabelle16[[#This Row],[CaCl2_w]]/Tabelle2!$C$43*Tabelle2!$C$36*Tabelle2!$C$19*0.01</f>
        <v/>
      </c>
      <c r="I16" s="22" t="n">
        <v>0.078</v>
      </c>
      <c r="J16" s="21">
        <f>(Tabelle16[[#This Row],[CaCl2_w]]+Tabelle16[[#This Row],[CaO_w]])/100</f>
        <v/>
      </c>
      <c r="K16" s="21">
        <f>(Tabelle16[[#This Row],[CaCl2 mass '[g']]]/(1/Tabelle2!$C$43*Tabelle2!$C$36*Tabelle2!$C$19*0.01)+Tabelle16[[#This Row],[CaO mass '[g']]]/(Tabelle2!$C$42/Tabelle2!$C$43*0.01*Tabelle2!$C$19))*0.01</f>
        <v/>
      </c>
      <c r="L16" s="24">
        <f>Tabelle16[[#This Row],[CaCl2 mass '[g']]]*Tabelle2!$C$28/(Tabelle2!$C$19*(1+Tabelle2!$C$29))*(2*Tabelle2!$C$44/Tabelle2!$C$36)</f>
        <v/>
      </c>
      <c r="M16" t="n">
        <v>0</v>
      </c>
      <c r="N16" t="n">
        <v>0</v>
      </c>
      <c r="O16" s="19" t="n">
        <v>45775</v>
      </c>
      <c r="P16" s="30">
        <f>IF(Tabelle16[[#This Row],[Reactor '#]]=0,"BR300-2",IF(Tabelle16[[#This Row],[Reactor '#]]=1,"BR300-3",IF(Tabelle16[[#This Row],[Reactor '#]]=2,"BR300-4")))</f>
        <v/>
      </c>
      <c r="Q16" s="8" t="n">
        <v>59.035</v>
      </c>
      <c r="R16" s="25" t="n">
        <v>20.22</v>
      </c>
      <c r="S16" s="24" t="n">
        <v>0.3708</v>
      </c>
      <c r="T16" s="21" t="n">
        <v>0.3282</v>
      </c>
      <c r="U16">
        <f>0.0846+0.9069*Tabelle16[[#This Row],[Reaction yield (mass)]]</f>
        <v/>
      </c>
      <c r="V16" s="21">
        <f>Tabelle16[[#This Row],[Reaction yield (LOI)]]*Tabelle2!$C$31/(1+Tabelle2!$C$31*Tabelle16[[#This Row],[Reaction yield (LOI)]])</f>
        <v/>
      </c>
      <c r="W16" s="29">
        <f>50+Tabelle16[[#This Row],[CaO mass '[g']]]+Tabelle16[[#This Row],[CaCl2 mass per experiment]]</f>
        <v/>
      </c>
      <c r="X16" s="29" t="n">
        <v>0.2946489796657853</v>
      </c>
      <c r="Y16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6" t="inlineStr">
        <is>
          <t>Sampling from 30 points with PSD</t>
        </is>
      </c>
      <c r="AA16" s="19" t="n">
        <v>45774</v>
      </c>
    </row>
    <row r="17" ht="19" customHeight="1">
      <c r="A17" s="3" t="n">
        <v>373</v>
      </c>
      <c r="B17" s="3" t="n">
        <v>180</v>
      </c>
      <c r="C17" s="3" t="n">
        <v>180</v>
      </c>
      <c r="D17" t="n">
        <v>0</v>
      </c>
      <c r="E17" s="20">
        <f>Tabelle2!$C$42/Tabelle2!$C$43*0.01*Tabelle16[[#This Row],[CaO_w]]*Tabelle2!$C$19</f>
        <v/>
      </c>
      <c r="F17" s="22" t="n">
        <v>0</v>
      </c>
      <c r="G17" t="n">
        <v>0</v>
      </c>
      <c r="H17" s="20">
        <f>Tabelle16[[#This Row],[CaCl2_w]]/Tabelle2!$C$43*Tabelle2!$C$36*Tabelle2!$C$19*0.01</f>
        <v/>
      </c>
      <c r="I17" s="22" t="n">
        <v>0</v>
      </c>
      <c r="J17" s="21">
        <f>(Tabelle16[[#This Row],[CaCl2_w]]+Tabelle16[[#This Row],[CaO_w]])/100</f>
        <v/>
      </c>
      <c r="K17" s="21">
        <f>(Tabelle16[[#This Row],[CaCl2 mass '[g']]]/(1/Tabelle2!$C$43*Tabelle2!$C$36*Tabelle2!$C$19*0.01)+Tabelle16[[#This Row],[CaO mass '[g']]]/(Tabelle2!$C$42/Tabelle2!$C$43*0.01*Tabelle2!$C$19))*0.01</f>
        <v/>
      </c>
      <c r="L17" s="24">
        <f>Tabelle16[[#This Row],[CaCl2 mass '[g']]]*Tabelle2!$C$28/(Tabelle2!$C$19*(1+Tabelle2!$C$29))*(2*Tabelle2!$C$44/Tabelle2!$C$36)</f>
        <v/>
      </c>
      <c r="M17" t="n">
        <v>0</v>
      </c>
      <c r="N17" t="n">
        <v>1</v>
      </c>
      <c r="O17" s="19" t="n">
        <v>45771</v>
      </c>
      <c r="P17" s="30">
        <f>IF(Tabelle16[[#This Row],[Reactor '#]]=0,"BR300-2",IF(Tabelle16[[#This Row],[Reactor '#]]=1,"BR300-3",IF(Tabelle16[[#This Row],[Reactor '#]]=2,"BR300-4")))</f>
        <v/>
      </c>
      <c r="Q17" s="8" t="n">
        <v>56.606</v>
      </c>
      <c r="R17" s="24" t="n">
        <v>0.1424</v>
      </c>
      <c r="S17" s="24" t="n">
        <v>0.2709</v>
      </c>
      <c r="T17" s="27" t="n">
        <v>0.2536</v>
      </c>
      <c r="U17">
        <f>0.0846+0.9069*Tabelle16[[#This Row],[Reaction yield (mass)]]</f>
        <v/>
      </c>
      <c r="V17" s="21">
        <f>Tabelle16[[#This Row],[Reaction yield (LOI)]]*Tabelle2!$C$31/(1+Tabelle2!$C$31*Tabelle16[[#This Row],[Reaction yield (LOI)]])</f>
        <v/>
      </c>
      <c r="W17" s="29">
        <f>50+Tabelle16[[#This Row],[CaO mass '[g']]]+Tabelle16[[#This Row],[CaCl2 mass per experiment]]</f>
        <v/>
      </c>
      <c r="X17" s="29" t="n">
        <v>0.2536</v>
      </c>
      <c r="Y17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7" t="inlineStr">
        <is>
          <t>Screening experiements</t>
        </is>
      </c>
      <c r="AA17" t="inlineStr">
        <is>
          <t>-</t>
        </is>
      </c>
    </row>
    <row r="18" ht="19" customHeight="1">
      <c r="A18" s="3" t="n">
        <v>371</v>
      </c>
      <c r="B18" s="3" t="n">
        <v>180</v>
      </c>
      <c r="C18" s="3" t="n">
        <v>180</v>
      </c>
      <c r="D18" t="n">
        <v>1</v>
      </c>
      <c r="E18" s="20">
        <f>Tabelle2!$C$42/Tabelle2!$C$43*0.01*Tabelle16[[#This Row],[CaO_w]]*Tabelle2!$C$19</f>
        <v/>
      </c>
      <c r="F18" s="22" t="n">
        <v>0.702</v>
      </c>
      <c r="G18" t="n">
        <v>0.2</v>
      </c>
      <c r="H18" s="20">
        <f>Tabelle16[[#This Row],[CaCl2_w]]/Tabelle2!$C$43*Tabelle2!$C$36*Tabelle2!$C$19*0.01</f>
        <v/>
      </c>
      <c r="I18" s="22" t="n">
        <v>0.278</v>
      </c>
      <c r="J18" s="21">
        <f>(Tabelle16[[#This Row],[CaCl2_w]]+Tabelle16[[#This Row],[CaO_w]])/100</f>
        <v/>
      </c>
      <c r="K18" s="21">
        <f>(Tabelle16[[#This Row],[CaCl2 mass '[g']]]/(1/Tabelle2!$C$43*Tabelle2!$C$36*Tabelle2!$C$19*0.01)+Tabelle16[[#This Row],[CaO mass '[g']]]/(Tabelle2!$C$42/Tabelle2!$C$43*0.01*Tabelle2!$C$19))*0.01</f>
        <v/>
      </c>
      <c r="L18" s="24">
        <f>Tabelle16[[#This Row],[CaCl2 mass '[g']]]*Tabelle2!$C$28/(Tabelle2!$C$19*(1+Tabelle2!$C$29))*(2*Tabelle2!$C$44/Tabelle2!$C$36)</f>
        <v/>
      </c>
      <c r="M18" t="n">
        <v>0</v>
      </c>
      <c r="N18" t="n">
        <v>0</v>
      </c>
      <c r="O18" s="19" t="n">
        <v>45771</v>
      </c>
      <c r="P18" s="30">
        <f>IF(Tabelle16[[#This Row],[Reactor '#]]=0,"BR300-2",IF(Tabelle16[[#This Row],[Reactor '#]]=1,"BR300-3",IF(Tabelle16[[#This Row],[Reactor '#]]=2,"BR300-4")))</f>
        <v/>
      </c>
      <c r="Q18" s="8" t="n">
        <v>60.277</v>
      </c>
      <c r="R18" s="24" t="n">
        <v>0.1628</v>
      </c>
      <c r="S18" s="24" t="n">
        <v>0.4217</v>
      </c>
      <c r="T18" s="21" t="n">
        <v>0.4398</v>
      </c>
      <c r="U18">
        <f>0.0846+0.9069*Tabelle16[[#This Row],[Reaction yield (mass)]]</f>
        <v/>
      </c>
      <c r="V18" s="21">
        <f>Tabelle16[[#This Row],[Reaction yield (LOI)]]*Tabelle2!$C$31/(1+Tabelle2!$C$31*Tabelle16[[#This Row],[Reaction yield (LOI)]])</f>
        <v/>
      </c>
      <c r="W18" s="29">
        <f>50+Tabelle16[[#This Row],[CaO mass '[g']]]+Tabelle16[[#This Row],[CaCl2 mass per experiment]]</f>
        <v/>
      </c>
      <c r="X18" s="29" t="n">
        <v>0.4212744653175526</v>
      </c>
      <c r="Y18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8" t="inlineStr">
        <is>
          <t>Screening experiements</t>
        </is>
      </c>
      <c r="AA18" t="inlineStr">
        <is>
          <t>-</t>
        </is>
      </c>
    </row>
    <row r="19" ht="19" customHeight="1">
      <c r="A19" s="3" t="n">
        <v>370</v>
      </c>
      <c r="B19" s="3" t="n">
        <v>180</v>
      </c>
      <c r="C19" s="3" t="n">
        <v>180</v>
      </c>
      <c r="D19" t="n">
        <v>0</v>
      </c>
      <c r="E19" s="20">
        <f>Tabelle2!$C$42/Tabelle2!$C$43*0.01*Tabelle16[[#This Row],[CaO_w]]*Tabelle2!$C$19</f>
        <v/>
      </c>
      <c r="F19" s="22" t="n">
        <v>0</v>
      </c>
      <c r="G19" t="n">
        <v>0</v>
      </c>
      <c r="H19" s="20">
        <f>Tabelle16[[#This Row],[CaCl2_w]]/Tabelle2!$C$43*Tabelle2!$C$36*Tabelle2!$C$19*0.01</f>
        <v/>
      </c>
      <c r="I19" s="22" t="n">
        <v>0</v>
      </c>
      <c r="J19" s="21">
        <f>(Tabelle16[[#This Row],[CaCl2_w]]+Tabelle16[[#This Row],[CaO_w]])/100</f>
        <v/>
      </c>
      <c r="K19" s="21">
        <f>(Tabelle16[[#This Row],[CaCl2 mass '[g']]]/(1/Tabelle2!$C$43*Tabelle2!$C$36*Tabelle2!$C$19*0.01)+Tabelle16[[#This Row],[CaO mass '[g']]]/(Tabelle2!$C$42/Tabelle2!$C$43*0.01*Tabelle2!$C$19))*0.01</f>
        <v/>
      </c>
      <c r="L19" s="24">
        <f>Tabelle16[[#This Row],[CaCl2 mass '[g']]]*Tabelle2!$C$28/(Tabelle2!$C$19*(1+Tabelle2!$C$29))*(2*Tabelle2!$C$44/Tabelle2!$C$36)</f>
        <v/>
      </c>
      <c r="M19" t="n">
        <v>0</v>
      </c>
      <c r="N19" t="n">
        <v>2</v>
      </c>
      <c r="O19" s="19" t="n">
        <v>45769</v>
      </c>
      <c r="P19" s="30">
        <f>IF(Tabelle16[[#This Row],[Reactor '#]]=0,"BR300-2",IF(Tabelle16[[#This Row],[Reactor '#]]=1,"BR300-3",IF(Tabelle16[[#This Row],[Reactor '#]]=2,"BR300-4")))</f>
        <v/>
      </c>
      <c r="Q19" s="8" t="n">
        <v>84.892</v>
      </c>
      <c r="R19" s="24" t="n">
        <v>0.2926</v>
      </c>
      <c r="S19" s="24" t="n">
        <v>0.2706</v>
      </c>
      <c r="T19" s="27" t="n">
        <v>0.3107</v>
      </c>
      <c r="U19">
        <f>0.0846+0.9069*Tabelle16[[#This Row],[Reaction yield (mass)]]</f>
        <v/>
      </c>
      <c r="V19" s="21">
        <f>Tabelle16[[#This Row],[Reaction yield (LOI)]]*Tabelle2!$C$31/(1+Tabelle2!$C$31*Tabelle16[[#This Row],[Reaction yield (LOI)]])</f>
        <v/>
      </c>
      <c r="W19" s="29">
        <f>50+Tabelle16[[#This Row],[CaO mass '[g']]]+Tabelle16[[#This Row],[CaCl2 mass per experiment]]</f>
        <v/>
      </c>
      <c r="X19" s="29" t="n">
        <v>0.3106999999999997</v>
      </c>
      <c r="Y19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9" t="inlineStr">
        <is>
          <t>Screening experiements</t>
        </is>
      </c>
      <c r="AA19" t="inlineStr">
        <is>
          <t>-</t>
        </is>
      </c>
    </row>
    <row r="20" ht="19" customHeight="1">
      <c r="A20" s="3" t="n">
        <v>366</v>
      </c>
      <c r="B20" s="3" t="n">
        <v>180</v>
      </c>
      <c r="C20" s="3" t="n">
        <v>180</v>
      </c>
      <c r="D20" t="n">
        <v>1</v>
      </c>
      <c r="E20" s="20">
        <f>Tabelle2!$C$42/Tabelle2!$C$43*0.01*Tabelle16[[#This Row],[CaO_w]]*Tabelle2!$C$19</f>
        <v/>
      </c>
      <c r="F20" s="22" t="n">
        <v>0.699</v>
      </c>
      <c r="G20" t="n">
        <v>0</v>
      </c>
      <c r="H20" s="20">
        <f>Tabelle16[[#This Row],[CaCl2_w]]/Tabelle2!$C$43*Tabelle2!$C$36*Tabelle2!$C$19*0.01</f>
        <v/>
      </c>
      <c r="I20" s="22" t="n">
        <v>0</v>
      </c>
      <c r="J20" s="21">
        <f>(Tabelle16[[#This Row],[CaCl2_w]]+Tabelle16[[#This Row],[CaO_w]])/100</f>
        <v/>
      </c>
      <c r="K20" s="21">
        <f>(Tabelle16[[#This Row],[CaCl2 mass '[g']]]/(1/Tabelle2!$C$43*Tabelle2!$C$36*Tabelle2!$C$19*0.01)+Tabelle16[[#This Row],[CaO mass '[g']]]/(Tabelle2!$C$42/Tabelle2!$C$43*0.01*Tabelle2!$C$19))*0.01</f>
        <v/>
      </c>
      <c r="L20" s="24">
        <f>Tabelle16[[#This Row],[CaCl2 mass '[g']]]*Tabelle2!$C$28/(Tabelle2!$C$19*(1+Tabelle2!$C$29))*(2*Tabelle2!$C$44/Tabelle2!$C$36)</f>
        <v/>
      </c>
      <c r="M20" t="n">
        <v>0</v>
      </c>
      <c r="N20" t="n">
        <v>1</v>
      </c>
      <c r="O20" s="19" t="n">
        <v>45764</v>
      </c>
      <c r="P20" s="30">
        <f>IF(Tabelle16[[#This Row],[Reactor '#]]=0,"BR300-2",IF(Tabelle16[[#This Row],[Reactor '#]]=1,"BR300-3",IF(Tabelle16[[#This Row],[Reactor '#]]=2,"BR300-4")))</f>
        <v/>
      </c>
      <c r="Q20" s="8" t="n">
        <v>91.089</v>
      </c>
      <c r="R20" s="24" t="n">
        <v>0.2594</v>
      </c>
      <c r="S20" s="24" t="n">
        <v>0.4402</v>
      </c>
      <c r="T20" s="21" t="n">
        <v>0.477</v>
      </c>
      <c r="U20">
        <f>0.0846+0.9069*Tabelle16[[#This Row],[Reaction yield (mass)]]</f>
        <v/>
      </c>
      <c r="V20" s="21">
        <f>Tabelle16[[#This Row],[Reaction yield (LOI)]]*Tabelle2!$C$31/(1+Tabelle2!$C$31*Tabelle16[[#This Row],[Reaction yield (LOI)]])</f>
        <v/>
      </c>
      <c r="W20" s="29">
        <f>50+Tabelle16[[#This Row],[CaO mass '[g']]]+Tabelle16[[#This Row],[CaCl2 mass per experiment]]</f>
        <v/>
      </c>
      <c r="X20" s="29" t="n">
        <v>0.4611534426800205</v>
      </c>
      <c r="Y20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20" t="inlineStr">
        <is>
          <t>Screening experiements</t>
        </is>
      </c>
      <c r="AA20" t="inlineStr">
        <is>
          <t>-</t>
        </is>
      </c>
    </row>
    <row r="21" ht="19" customHeight="1">
      <c r="A21" s="3" t="n">
        <v>362</v>
      </c>
      <c r="B21" s="3" t="n">
        <v>180</v>
      </c>
      <c r="C21" s="3" t="n">
        <v>180</v>
      </c>
      <c r="D21" t="n">
        <v>0</v>
      </c>
      <c r="E21" s="20">
        <f>Tabelle2!$C$42/Tabelle2!$C$43*0.01*Tabelle16[[#This Row],[CaO_w]]*Tabelle2!$C$19</f>
        <v/>
      </c>
      <c r="F21" s="22" t="n">
        <v>0</v>
      </c>
      <c r="G21" t="n">
        <v>0</v>
      </c>
      <c r="H21" s="20">
        <f>Tabelle16[[#This Row],[CaCl2_w]]/Tabelle2!$C$43*Tabelle2!$C$36*Tabelle2!$C$19*0.01</f>
        <v/>
      </c>
      <c r="I21" s="22" t="n">
        <v>0</v>
      </c>
      <c r="J21" s="21">
        <f>(Tabelle16[[#This Row],[CaCl2_w]]+Tabelle16[[#This Row],[CaO_w]])/100</f>
        <v/>
      </c>
      <c r="K21" s="21">
        <f>(Tabelle16[[#This Row],[CaCl2 mass '[g']]]/(1/Tabelle2!$C$43*Tabelle2!$C$36*Tabelle2!$C$19*0.01)+Tabelle16[[#This Row],[CaO mass '[g']]]/(Tabelle2!$C$42/Tabelle2!$C$43*0.01*Tabelle2!$C$19))*0.01</f>
        <v/>
      </c>
      <c r="L21" s="24">
        <f>Tabelle16[[#This Row],[CaCl2 mass '[g']]]*Tabelle2!$C$28/(Tabelle2!$C$19*(1+Tabelle2!$C$29))*(2*Tabelle2!$C$44/Tabelle2!$C$36)</f>
        <v/>
      </c>
      <c r="M21" t="n">
        <v>0</v>
      </c>
      <c r="N21" t="n">
        <v>0</v>
      </c>
      <c r="O21" s="19" t="n">
        <v>45763</v>
      </c>
      <c r="P21" s="30">
        <f>IF(Tabelle16[[#This Row],[Reactor '#]]=0,"BR300-2",IF(Tabelle16[[#This Row],[Reactor '#]]=1,"BR300-3",IF(Tabelle16[[#This Row],[Reactor '#]]=2,"BR300-4")))</f>
        <v/>
      </c>
      <c r="Q21" s="8" t="n">
        <v>83.31100000000001</v>
      </c>
      <c r="R21" s="24" t="n">
        <v>0.2214</v>
      </c>
      <c r="S21" s="24" t="n">
        <v>0.2274</v>
      </c>
      <c r="T21" s="27" t="n">
        <v>0.2695</v>
      </c>
      <c r="U21">
        <f>0.0846+0.9069*Tabelle16[[#This Row],[Reaction yield (mass)]]</f>
        <v/>
      </c>
      <c r="V21" s="21">
        <f>Tabelle16[[#This Row],[Reaction yield (LOI)]]*Tabelle2!$C$31/(1+Tabelle2!$C$31*Tabelle16[[#This Row],[Reaction yield (LOI)]])</f>
        <v/>
      </c>
      <c r="W21" s="29">
        <f>50+Tabelle16[[#This Row],[CaO mass '[g']]]+Tabelle16[[#This Row],[CaCl2 mass per experiment]]</f>
        <v/>
      </c>
      <c r="X21" s="29" t="n">
        <v>0.2694999999999999</v>
      </c>
      <c r="Y21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21" t="inlineStr">
        <is>
          <t>Screening experiements</t>
        </is>
      </c>
      <c r="AA21" t="inlineStr">
        <is>
          <t>-</t>
        </is>
      </c>
    </row>
    <row r="22" ht="19" customHeight="1">
      <c r="A22" s="3" t="n"/>
      <c r="B22" s="3" t="n"/>
      <c r="C22" s="3" t="n"/>
      <c r="E22" s="20" t="n"/>
      <c r="F22" s="22" t="n"/>
      <c r="H22" s="20" t="n"/>
      <c r="I22" s="22" t="n"/>
      <c r="J22" s="21" t="n"/>
      <c r="K22" s="21" t="n"/>
      <c r="L22" s="24" t="n"/>
      <c r="P22" s="30" t="n"/>
      <c r="R22" s="25" t="n"/>
      <c r="S22" s="25" t="n"/>
      <c r="V22" s="21" t="n"/>
      <c r="W22" s="29" t="n"/>
      <c r="X22" s="29" t="n"/>
      <c r="Y22" s="21" t="n"/>
    </row>
    <row r="23" ht="19" customHeight="1">
      <c r="A23" s="3" t="n"/>
      <c r="B23" s="3" t="n"/>
      <c r="C23" s="3" t="n"/>
      <c r="E23" s="20" t="n"/>
      <c r="F23" s="22" t="n"/>
      <c r="H23" s="20" t="n"/>
      <c r="I23" s="22" t="n"/>
      <c r="J23" s="21" t="n"/>
      <c r="K23" s="21" t="n"/>
      <c r="L23" s="24" t="n"/>
      <c r="P23" s="30" t="n"/>
      <c r="R23" s="25" t="n"/>
      <c r="S23" s="25" t="n"/>
      <c r="V23" s="21" t="n"/>
      <c r="W23" s="29" t="n"/>
      <c r="X23" s="29" t="n"/>
      <c r="Y23" s="21" t="n"/>
    </row>
    <row r="24" ht="19" customHeight="1">
      <c r="A24" s="3" t="n"/>
      <c r="B24" s="3" t="n"/>
      <c r="C24" s="3" t="n"/>
      <c r="E24" s="20" t="n"/>
      <c r="F24" s="22" t="n"/>
      <c r="H24" s="20" t="n"/>
      <c r="I24" s="22" t="n"/>
      <c r="J24" s="21" t="n"/>
      <c r="K24" s="21" t="n"/>
      <c r="L24" s="24" t="n"/>
      <c r="P24" s="30" t="n"/>
      <c r="R24" s="25" t="n"/>
      <c r="S24" s="25" t="n"/>
      <c r="V24" s="21" t="n"/>
      <c r="W24" s="29" t="n"/>
      <c r="X24" s="29" t="n"/>
      <c r="Y24" s="21" t="n"/>
    </row>
    <row r="25" ht="19" customHeight="1">
      <c r="A25" s="3" t="n"/>
      <c r="B25" s="3" t="n"/>
      <c r="C25" s="3" t="n"/>
      <c r="E25" s="20" t="n"/>
      <c r="F25" s="22" t="n"/>
      <c r="H25" s="20" t="n"/>
      <c r="I25" s="22" t="n"/>
      <c r="J25" s="21" t="n"/>
      <c r="K25" s="21" t="n"/>
      <c r="L25" s="24" t="n"/>
      <c r="P25" s="30" t="n"/>
      <c r="R25" s="25" t="n"/>
      <c r="S25" s="25" t="n"/>
      <c r="V25" s="21" t="n"/>
      <c r="W25" s="29" t="n"/>
      <c r="X25" s="29" t="n"/>
      <c r="Y25" s="21" t="n"/>
    </row>
    <row r="26" ht="19" customHeight="1">
      <c r="A26" s="3" t="n"/>
      <c r="B26" s="3" t="n"/>
      <c r="C26" s="3" t="n"/>
      <c r="E26" s="20" t="n"/>
      <c r="F26" s="22" t="n"/>
      <c r="H26" s="20" t="n"/>
      <c r="I26" s="22" t="n"/>
      <c r="J26" s="21" t="n"/>
      <c r="K26" s="21" t="n"/>
      <c r="L26" s="24" t="n"/>
      <c r="P26" s="30" t="n"/>
      <c r="R26" s="25" t="n"/>
      <c r="S26" s="25" t="n"/>
      <c r="V26" s="21" t="n"/>
      <c r="W26" s="29" t="n"/>
      <c r="X26" s="29" t="n"/>
      <c r="Y26" s="21" t="n"/>
    </row>
    <row r="27" ht="19" customHeight="1">
      <c r="A27" s="3" t="n"/>
      <c r="B27" s="3" t="n"/>
      <c r="C27" s="3" t="n"/>
      <c r="E27" s="20" t="n"/>
      <c r="F27" s="22" t="n"/>
      <c r="H27" s="20" t="n"/>
      <c r="I27" s="22" t="n"/>
      <c r="J27" s="21" t="n"/>
      <c r="K27" s="21" t="n"/>
      <c r="L27" s="24" t="n"/>
      <c r="P27" s="30" t="n"/>
      <c r="R27" s="25" t="n"/>
      <c r="S27" s="25" t="n"/>
      <c r="V27" s="21" t="n"/>
      <c r="W27" s="29" t="n"/>
      <c r="X27" s="29" t="n"/>
      <c r="Y27" s="21" t="n"/>
    </row>
    <row r="28" ht="19" customHeight="1">
      <c r="A28" s="3" t="n"/>
      <c r="B28" s="3" t="n"/>
      <c r="C28" s="3" t="n"/>
      <c r="E28" s="20" t="n"/>
      <c r="F28" s="22" t="n"/>
      <c r="H28" s="20" t="n"/>
      <c r="I28" s="22" t="n"/>
      <c r="J28" s="21" t="n"/>
      <c r="K28" s="21" t="n"/>
      <c r="L28" s="24" t="n"/>
      <c r="P28" s="30" t="n"/>
      <c r="R28" s="25" t="n"/>
      <c r="S28" s="25" t="n"/>
      <c r="V28" s="21" t="n"/>
      <c r="W28" s="29" t="n"/>
      <c r="X28" s="29" t="n"/>
      <c r="Y28" s="21" t="n"/>
    </row>
    <row r="29" ht="19" customHeight="1">
      <c r="A29" s="3" t="n"/>
      <c r="B29" s="3" t="n"/>
      <c r="C29" s="3" t="n"/>
      <c r="E29" s="20" t="n"/>
      <c r="F29" s="22" t="n"/>
      <c r="H29" s="20" t="n"/>
      <c r="I29" s="22" t="n"/>
      <c r="J29" s="21" t="n"/>
      <c r="K29" s="21" t="n"/>
      <c r="L29" s="24" t="n"/>
      <c r="P29" s="30" t="n"/>
      <c r="R29" s="25" t="n"/>
      <c r="S29" s="25" t="n"/>
      <c r="V29" s="21" t="n"/>
      <c r="W29" s="29" t="n"/>
      <c r="X29" s="29" t="n"/>
      <c r="Y29" s="21" t="n"/>
    </row>
    <row r="30" ht="19" customHeight="1">
      <c r="A30" s="3" t="n"/>
      <c r="B30" s="3" t="n"/>
      <c r="C30" s="3" t="n"/>
      <c r="E30" s="20" t="n"/>
      <c r="F30" s="22" t="n"/>
      <c r="H30" s="20" t="n"/>
      <c r="I30" s="22" t="n"/>
      <c r="J30" s="21" t="n"/>
      <c r="K30" s="21" t="n"/>
      <c r="L30" s="24" t="n"/>
      <c r="P30" s="30" t="n"/>
      <c r="R30" s="25" t="n"/>
      <c r="S30" s="25" t="n"/>
      <c r="V30" s="21" t="n"/>
      <c r="W30" s="29" t="n"/>
      <c r="X30" s="29" t="n"/>
      <c r="Y30" s="21" t="n"/>
    </row>
    <row r="31" ht="19" customHeight="1">
      <c r="A31" s="3" t="n"/>
      <c r="B31" s="3" t="n"/>
      <c r="C31" s="3" t="n"/>
      <c r="E31" s="20" t="n"/>
      <c r="F31" s="22" t="n"/>
      <c r="H31" s="20" t="n"/>
      <c r="I31" s="22" t="n"/>
      <c r="J31" s="21" t="n"/>
      <c r="K31" s="21" t="n"/>
      <c r="L31" s="24" t="n"/>
      <c r="P31" s="30" t="n"/>
      <c r="R31" s="25" t="n"/>
      <c r="S31" s="25" t="n"/>
      <c r="V31" s="21" t="n"/>
      <c r="W31" s="29" t="n"/>
      <c r="X31" s="29" t="n"/>
      <c r="Y31" s="21" t="n"/>
    </row>
    <row r="32" ht="19" customHeight="1">
      <c r="A32" s="3" t="n"/>
      <c r="B32" s="3" t="n"/>
      <c r="C32" s="3" t="n"/>
      <c r="E32" s="20" t="n"/>
      <c r="F32" s="22" t="n"/>
      <c r="H32" s="20" t="n"/>
      <c r="I32" s="22" t="n"/>
      <c r="J32" s="21" t="n"/>
      <c r="K32" s="21" t="n"/>
      <c r="L32" s="24" t="n"/>
      <c r="P32" s="30" t="n"/>
      <c r="R32" s="25" t="n"/>
      <c r="S32" s="25" t="n"/>
      <c r="V32" s="21" t="n"/>
      <c r="W32" s="29" t="n"/>
      <c r="X32" s="29" t="n"/>
      <c r="Y32" s="21" t="n"/>
    </row>
    <row r="33" ht="19" customHeight="1">
      <c r="A33" s="3" t="n"/>
      <c r="B33" s="3" t="n"/>
      <c r="C33" s="3" t="n"/>
      <c r="E33" s="20" t="n"/>
      <c r="F33" s="22" t="n"/>
      <c r="H33" s="20" t="n"/>
      <c r="I33" s="22" t="n"/>
      <c r="J33" s="21" t="n"/>
      <c r="K33" s="21" t="n"/>
      <c r="L33" s="24" t="n"/>
      <c r="P33" s="30" t="n"/>
      <c r="R33" s="25" t="n"/>
      <c r="S33" s="25" t="n"/>
      <c r="V33" s="21" t="n"/>
      <c r="W33" s="29" t="n"/>
      <c r="X33" s="29" t="n"/>
      <c r="Y33" s="21" t="n"/>
    </row>
    <row r="34" ht="19" customHeight="1">
      <c r="A34" s="3" t="n"/>
      <c r="B34" s="3" t="n"/>
      <c r="C34" s="3" t="n"/>
      <c r="E34" s="20" t="n"/>
      <c r="F34" s="22" t="n"/>
      <c r="H34" s="20" t="n"/>
      <c r="I34" s="22" t="n"/>
      <c r="J34" s="21" t="n"/>
      <c r="K34" s="21" t="n"/>
      <c r="L34" s="24" t="n"/>
      <c r="P34" s="30" t="n"/>
      <c r="R34" s="25" t="n"/>
      <c r="S34" s="25" t="n"/>
      <c r="V34" s="21" t="n"/>
      <c r="W34" s="29" t="n"/>
      <c r="X34" s="29" t="n"/>
      <c r="Y34" s="21" t="n"/>
    </row>
    <row r="35" ht="19" customHeight="1">
      <c r="A35" s="3" t="n"/>
      <c r="B35" s="3" t="n"/>
      <c r="C35" s="3" t="n"/>
      <c r="E35" s="20" t="n"/>
      <c r="F35" s="22" t="n"/>
      <c r="H35" s="20" t="n"/>
      <c r="I35" s="22" t="n"/>
      <c r="J35" s="21" t="n"/>
      <c r="K35" s="21" t="n"/>
      <c r="L35" s="24" t="n"/>
      <c r="P35" s="30" t="n"/>
      <c r="R35" s="25" t="n"/>
      <c r="S35" s="25" t="n"/>
      <c r="V35" s="21" t="n"/>
      <c r="W35" s="29" t="n"/>
      <c r="X35" s="29" t="n"/>
      <c r="Y35" s="21" t="n"/>
    </row>
    <row r="36" ht="19" customHeight="1">
      <c r="A36" s="3" t="n"/>
      <c r="B36" s="3" t="n"/>
      <c r="C36" s="3" t="n"/>
      <c r="E36" s="20" t="n"/>
      <c r="F36" s="22" t="n"/>
      <c r="H36" s="20" t="n"/>
      <c r="I36" s="22" t="n"/>
      <c r="J36" s="21" t="n"/>
      <c r="K36" s="21" t="n"/>
      <c r="L36" s="24" t="n"/>
      <c r="P36" s="30" t="n"/>
      <c r="R36" s="25" t="n"/>
      <c r="S36" s="25" t="n"/>
      <c r="V36" s="21" t="n"/>
      <c r="W36" s="29" t="n"/>
      <c r="X36" s="29" t="n"/>
      <c r="Y36" s="21" t="n"/>
    </row>
    <row r="37" ht="19" customHeight="1">
      <c r="A37" s="3" t="n"/>
      <c r="B37" s="3" t="n"/>
      <c r="C37" s="3" t="n"/>
      <c r="E37" s="20" t="n"/>
      <c r="F37" s="22" t="n"/>
      <c r="H37" s="20" t="n"/>
      <c r="I37" s="22" t="n"/>
      <c r="J37" s="21" t="n"/>
      <c r="K37" s="21" t="n"/>
      <c r="L37" s="24" t="n"/>
      <c r="P37" s="30" t="n"/>
      <c r="R37" s="25" t="n"/>
      <c r="S37" s="25" t="n"/>
      <c r="V37" s="21" t="n"/>
      <c r="W37" s="29" t="n"/>
      <c r="X37" s="29" t="n"/>
      <c r="Y37" s="21" t="n"/>
    </row>
    <row r="38" ht="19" customHeight="1">
      <c r="A38" s="3" t="n"/>
      <c r="B38" s="3" t="n"/>
      <c r="C38" s="3" t="n"/>
      <c r="E38" s="20" t="n"/>
      <c r="F38" s="22" t="n"/>
      <c r="H38" s="20" t="n"/>
      <c r="I38" s="22" t="n"/>
      <c r="J38" s="21" t="n"/>
      <c r="K38" s="21" t="n"/>
      <c r="L38" s="24" t="n"/>
      <c r="P38" s="30" t="n"/>
      <c r="R38" s="25" t="n"/>
      <c r="S38" s="25" t="n"/>
      <c r="V38" s="21" t="n"/>
      <c r="W38" s="29" t="n"/>
      <c r="X38" s="29" t="n"/>
      <c r="Y38" s="21" t="n"/>
    </row>
    <row r="39" ht="19" customHeight="1">
      <c r="A39" s="3" t="n"/>
      <c r="B39" s="3" t="n"/>
      <c r="C39" s="3" t="n"/>
      <c r="E39" s="20" t="n"/>
      <c r="F39" s="22" t="n"/>
      <c r="H39" s="20" t="n"/>
      <c r="I39" s="22" t="n"/>
      <c r="J39" s="21" t="n"/>
      <c r="K39" s="21" t="n"/>
      <c r="L39" s="24" t="n"/>
      <c r="P39" s="30" t="n"/>
      <c r="R39" s="25" t="n"/>
      <c r="S39" s="25" t="n"/>
      <c r="V39" s="21" t="n"/>
      <c r="W39" s="29" t="n"/>
      <c r="X39" s="29" t="n"/>
      <c r="Y39" s="21" t="n"/>
    </row>
    <row r="40" ht="19" customHeight="1">
      <c r="A40" s="3" t="n"/>
      <c r="B40" s="3" t="n"/>
      <c r="C40" s="3" t="n"/>
      <c r="E40" s="20" t="n"/>
      <c r="F40" s="22" t="n"/>
      <c r="H40" s="20" t="n"/>
      <c r="I40" s="22" t="n"/>
      <c r="J40" s="21" t="n"/>
      <c r="K40" s="21" t="n"/>
      <c r="L40" s="24" t="n"/>
      <c r="P40" s="30" t="n"/>
      <c r="R40" s="25" t="n"/>
      <c r="S40" s="25" t="n"/>
      <c r="V40" s="21" t="n"/>
      <c r="W40" s="29" t="n"/>
      <c r="X40" s="29" t="n"/>
      <c r="Y40" s="21" t="n"/>
    </row>
    <row r="41" ht="19" customHeight="1">
      <c r="A41" s="3" t="n"/>
      <c r="B41" s="3" t="n"/>
      <c r="C41" s="3" t="n"/>
      <c r="E41" s="20" t="n"/>
      <c r="F41" s="22" t="n"/>
      <c r="H41" s="20" t="n"/>
      <c r="I41" s="22" t="n"/>
      <c r="J41" s="21" t="n"/>
      <c r="K41" s="21" t="n"/>
      <c r="L41" s="24" t="n"/>
      <c r="P41" s="30" t="n"/>
      <c r="R41" s="25" t="n"/>
      <c r="S41" s="25" t="n"/>
      <c r="V41" s="21" t="n"/>
      <c r="W41" s="29" t="n"/>
      <c r="X41" s="29" t="n"/>
      <c r="Y41" s="21" t="n"/>
    </row>
    <row r="42" ht="19" customHeight="1">
      <c r="A42" s="3" t="n"/>
      <c r="B42" s="3" t="n"/>
      <c r="C42" s="3" t="n"/>
      <c r="E42" s="20" t="n"/>
      <c r="F42" s="22" t="n"/>
      <c r="H42" s="20" t="n"/>
      <c r="I42" s="22" t="n"/>
      <c r="J42" s="21" t="n"/>
      <c r="K42" s="21" t="n"/>
      <c r="L42" s="24" t="n"/>
      <c r="P42" s="30" t="n"/>
      <c r="R42" s="25" t="n"/>
      <c r="S42" s="25" t="n"/>
      <c r="V42" s="21" t="n"/>
      <c r="W42" s="29" t="n"/>
      <c r="X42" s="29" t="n"/>
      <c r="Y42" s="21" t="n"/>
    </row>
    <row r="43" ht="19" customHeight="1">
      <c r="A43" s="3" t="n"/>
      <c r="B43" s="3" t="n"/>
      <c r="C43" s="3" t="n"/>
      <c r="E43" s="20" t="n"/>
      <c r="F43" s="22" t="n"/>
      <c r="H43" s="20" t="n"/>
      <c r="I43" s="22" t="n"/>
      <c r="J43" s="21" t="n"/>
      <c r="K43" s="21" t="n"/>
      <c r="L43" s="24" t="n"/>
      <c r="P43" s="30" t="n"/>
      <c r="R43" s="25" t="n"/>
      <c r="S43" s="25" t="n"/>
      <c r="V43" s="21" t="n"/>
      <c r="W43" s="29" t="n"/>
      <c r="X43" s="29" t="n"/>
      <c r="Y43" s="21" t="n"/>
      <c r="AB43" t="inlineStr">
        <is>
          <t>s</t>
        </is>
      </c>
    </row>
    <row r="44" ht="19" customHeight="1">
      <c r="A44" s="3" t="n"/>
      <c r="B44" s="3" t="n"/>
      <c r="C44" s="3" t="n"/>
      <c r="E44" s="20" t="n"/>
      <c r="F44" s="22" t="n"/>
      <c r="H44" s="20" t="n"/>
      <c r="I44" s="22" t="n"/>
      <c r="J44" s="21" t="n"/>
      <c r="K44" s="21" t="n"/>
      <c r="L44" s="24" t="n"/>
      <c r="P44" s="30" t="n"/>
      <c r="R44" s="25" t="n"/>
      <c r="S44" s="25" t="n"/>
      <c r="V44" s="21" t="n"/>
      <c r="W44" s="29" t="n"/>
      <c r="X44" s="29" t="n"/>
      <c r="Y44" s="21" t="n"/>
    </row>
    <row r="45" ht="19" customHeight="1">
      <c r="A45" s="3" t="n"/>
      <c r="B45" s="3" t="n"/>
      <c r="C45" s="3" t="n"/>
      <c r="E45" s="20" t="n"/>
      <c r="F45" s="22" t="n"/>
      <c r="H45" s="20" t="n"/>
      <c r="I45" s="22" t="n"/>
      <c r="J45" s="21" t="n"/>
      <c r="K45" s="21" t="n"/>
      <c r="L45" s="24" t="n"/>
      <c r="P45" s="30" t="n"/>
      <c r="R45" s="25" t="n"/>
      <c r="S45" s="25" t="n"/>
      <c r="V45" s="21" t="n"/>
      <c r="W45" s="29" t="n"/>
      <c r="X45" s="29" t="n"/>
      <c r="Y45" s="21" t="n"/>
    </row>
    <row r="46" ht="19" customHeight="1">
      <c r="A46" s="3" t="n"/>
      <c r="B46" s="3" t="n"/>
      <c r="C46" s="3" t="n"/>
      <c r="E46" s="20" t="n"/>
      <c r="F46" s="22" t="n"/>
      <c r="H46" s="20" t="n"/>
      <c r="I46" s="22" t="n"/>
      <c r="J46" s="21" t="n"/>
      <c r="K46" s="21" t="n"/>
      <c r="L46" s="24" t="n"/>
      <c r="P46" s="30" t="n"/>
      <c r="R46" s="25" t="n"/>
      <c r="S46" s="25" t="n"/>
      <c r="V46" s="21" t="n"/>
      <c r="W46" s="29" t="n"/>
      <c r="X46" s="29" t="n"/>
      <c r="Y46" s="21" t="n"/>
    </row>
    <row r="47" ht="19" customHeight="1">
      <c r="A47" s="3" t="n"/>
      <c r="B47" s="3" t="n"/>
      <c r="C47" s="3" t="n"/>
      <c r="E47" s="20" t="n"/>
      <c r="F47" s="22" t="n"/>
      <c r="H47" s="20" t="n"/>
      <c r="I47" s="22" t="n"/>
      <c r="J47" s="21" t="n"/>
      <c r="K47" s="21" t="n"/>
      <c r="L47" s="24" t="n"/>
      <c r="P47" s="30" t="n"/>
      <c r="R47" s="25" t="n"/>
      <c r="S47" s="25" t="n"/>
      <c r="V47" s="21" t="n"/>
      <c r="W47" s="29" t="n"/>
      <c r="X47" s="29" t="n"/>
      <c r="Y47" s="21" t="n"/>
    </row>
    <row r="48" ht="19" customHeight="1">
      <c r="A48" s="3" t="n"/>
      <c r="B48" s="3" t="n"/>
      <c r="C48" s="3" t="n"/>
      <c r="E48" s="20" t="n"/>
      <c r="F48" s="22" t="n"/>
      <c r="H48" s="20" t="n"/>
      <c r="I48" s="22" t="n"/>
      <c r="J48" s="21" t="n"/>
      <c r="K48" s="21" t="n"/>
      <c r="L48" s="24" t="n"/>
      <c r="P48" s="30" t="n"/>
      <c r="R48" s="25" t="n"/>
      <c r="S48" s="25" t="n"/>
      <c r="V48" s="21" t="n"/>
      <c r="W48" s="29" t="n"/>
      <c r="X48" s="29" t="n"/>
      <c r="Y48" s="21" t="n"/>
    </row>
    <row r="49" ht="19" customHeight="1">
      <c r="A49" s="3" t="n"/>
      <c r="B49" s="3" t="n"/>
      <c r="C49" s="3" t="n"/>
      <c r="E49" s="20" t="n"/>
      <c r="F49" s="22" t="n"/>
      <c r="H49" s="20" t="n"/>
      <c r="I49" s="22" t="n"/>
      <c r="J49" s="21" t="n"/>
      <c r="K49" s="21" t="n"/>
      <c r="L49" s="24" t="n"/>
      <c r="P49" s="30" t="n"/>
      <c r="R49" s="25" t="n"/>
      <c r="S49" s="25" t="n"/>
      <c r="V49" s="21" t="n"/>
      <c r="W49" s="29" t="n"/>
      <c r="X49" s="29" t="n"/>
      <c r="Y49" s="21" t="n"/>
    </row>
    <row r="50" ht="19" customHeight="1">
      <c r="A50" s="3" t="n"/>
      <c r="B50" s="3" t="n"/>
      <c r="C50" s="3" t="n"/>
      <c r="E50" s="20" t="n"/>
      <c r="F50" s="22" t="n"/>
      <c r="H50" s="20" t="n"/>
      <c r="I50" s="22" t="n"/>
      <c r="J50" s="21" t="n"/>
      <c r="K50" s="21" t="n"/>
      <c r="L50" s="24" t="n"/>
      <c r="P50" s="30" t="n"/>
      <c r="R50" s="25" t="n"/>
      <c r="S50" s="25" t="n"/>
      <c r="V50" s="21" t="n"/>
      <c r="W50" s="29" t="n"/>
      <c r="X50" s="29" t="n"/>
      <c r="Y50" s="21" t="n"/>
    </row>
    <row r="51" ht="19" customHeight="1">
      <c r="A51" s="3" t="n"/>
      <c r="B51" s="3" t="n"/>
      <c r="C51" s="3" t="n"/>
      <c r="E51" s="20" t="n"/>
      <c r="F51" s="22" t="n"/>
      <c r="H51" s="20" t="n"/>
      <c r="I51" s="22" t="n"/>
      <c r="J51" s="21" t="n"/>
      <c r="K51" s="21" t="n"/>
      <c r="L51" s="24" t="n"/>
      <c r="P51" s="30" t="n"/>
      <c r="R51" s="25" t="n"/>
      <c r="S51" s="25" t="n"/>
      <c r="V51" s="21" t="n"/>
      <c r="W51" s="29" t="n"/>
      <c r="X51" s="29" t="n"/>
      <c r="Y51" s="21" t="n"/>
    </row>
    <row r="52" ht="19" customHeight="1">
      <c r="A52" s="3" t="n"/>
      <c r="B52" s="3" t="n"/>
      <c r="C52" s="3" t="n"/>
      <c r="E52" s="20" t="n"/>
      <c r="F52" s="22" t="n"/>
      <c r="H52" s="20" t="n"/>
      <c r="I52" s="22" t="n"/>
      <c r="J52" s="21" t="n"/>
      <c r="K52" s="21" t="n"/>
      <c r="L52" s="24" t="n"/>
      <c r="P52" s="30" t="n"/>
      <c r="R52" s="25" t="n"/>
      <c r="S52" s="25" t="n"/>
      <c r="V52" s="21" t="n"/>
      <c r="W52" s="29" t="n"/>
      <c r="X52" s="29" t="n"/>
      <c r="Y52" s="21" t="n"/>
    </row>
    <row r="53" ht="19" customHeight="1">
      <c r="A53" s="3" t="n"/>
      <c r="B53" s="3" t="n"/>
      <c r="C53" s="3" t="n"/>
      <c r="E53" s="20" t="n"/>
      <c r="F53" s="22" t="n"/>
      <c r="H53" s="20" t="n"/>
      <c r="I53" s="22" t="n"/>
      <c r="J53" s="21" t="n"/>
      <c r="K53" s="21" t="n"/>
      <c r="L53" s="24" t="n"/>
      <c r="P53" s="30" t="n"/>
      <c r="R53" s="25" t="n"/>
      <c r="S53" s="25" t="n"/>
      <c r="V53" s="21" t="n"/>
      <c r="W53" s="29" t="n"/>
      <c r="X53" s="29" t="n"/>
      <c r="Y53" s="21" t="n"/>
    </row>
    <row r="54" ht="19" customHeight="1">
      <c r="A54" s="3" t="n"/>
      <c r="B54" s="3" t="n"/>
      <c r="C54" s="3" t="n"/>
      <c r="E54" s="20" t="n"/>
      <c r="F54" s="22" t="n"/>
      <c r="H54" s="20" t="n"/>
      <c r="I54" s="22" t="n"/>
      <c r="J54" s="21" t="n"/>
      <c r="K54" s="21" t="n"/>
      <c r="L54" s="24" t="n"/>
      <c r="P54" s="30" t="n"/>
      <c r="R54" s="25" t="n"/>
      <c r="S54" s="25" t="n"/>
      <c r="V54" s="21" t="n"/>
      <c r="W54" s="29" t="n"/>
      <c r="X54" s="29" t="n"/>
      <c r="Y54" s="21" t="n"/>
    </row>
    <row r="55" ht="19" customHeight="1">
      <c r="A55" s="3" t="n"/>
      <c r="B55" s="3" t="n"/>
      <c r="C55" s="3" t="n"/>
      <c r="E55" s="20" t="n"/>
      <c r="F55" s="22" t="n"/>
      <c r="H55" s="20" t="n"/>
      <c r="I55" s="22" t="n"/>
      <c r="J55" s="21" t="n"/>
      <c r="K55" s="21" t="n"/>
      <c r="L55" s="24" t="n"/>
      <c r="P55" s="30" t="n"/>
      <c r="R55" s="25" t="n"/>
      <c r="S55" s="25" t="n"/>
      <c r="V55" s="21" t="n"/>
      <c r="W55" s="29" t="n"/>
      <c r="X55" s="29" t="n"/>
      <c r="Y55" s="21" t="n"/>
    </row>
    <row r="56" ht="19" customHeight="1">
      <c r="A56" s="3" t="n"/>
      <c r="B56" s="3" t="n"/>
      <c r="C56" s="3" t="n"/>
      <c r="E56" s="20" t="n"/>
      <c r="F56" s="22" t="n"/>
      <c r="H56" s="20" t="n"/>
      <c r="I56" s="22" t="n"/>
      <c r="J56" s="21" t="n"/>
      <c r="K56" s="21" t="n"/>
      <c r="L56" s="24" t="n"/>
      <c r="P56" s="30" t="n"/>
      <c r="R56" s="25" t="n"/>
      <c r="S56" s="25" t="n"/>
      <c r="V56" s="21" t="n"/>
      <c r="W56" s="29" t="n"/>
      <c r="X56" s="29" t="n"/>
      <c r="Y56" s="21" t="n"/>
    </row>
  </sheetData>
  <conditionalFormatting sqref="J2:L56">
    <cfRule type="expression" priority="10" dxfId="0">
      <formula>J2&gt;0.02</formula>
    </cfRule>
  </conditionalFormatting>
  <conditionalFormatting sqref="T2 T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 T4:T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:T9 T11:T15 T17:T18 T20:T5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:T15 T17:T18 T20:T5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:Y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52"/>
  <sheetViews>
    <sheetView topLeftCell="A17" workbookViewId="0">
      <selection activeCell="C51" sqref="C51"/>
    </sheetView>
  </sheetViews>
  <sheetFormatPr baseColWidth="10" defaultRowHeight="15"/>
  <cols>
    <col width="24.33203125" bestFit="1" customWidth="1" min="2" max="2"/>
    <col width="19.33203125" bestFit="1" customWidth="1" min="3" max="3"/>
    <col width="25.6640625" bestFit="1" customWidth="1" min="4" max="4"/>
  </cols>
  <sheetData>
    <row r="1">
      <c r="C1" s="8" t="n"/>
    </row>
    <row r="2">
      <c r="C2" s="8" t="n"/>
    </row>
    <row r="3">
      <c r="C3" s="8" t="n"/>
    </row>
    <row r="4">
      <c r="C4" s="8" t="n"/>
    </row>
    <row r="5">
      <c r="B5" t="inlineStr">
        <is>
          <t>Component</t>
        </is>
      </c>
      <c r="C5" t="inlineStr">
        <is>
          <t>Total Mass (max) [g]</t>
        </is>
      </c>
      <c r="D5" t="inlineStr">
        <is>
          <t>Total Mass (max w buffer) [g]</t>
        </is>
      </c>
      <c r="E5" t="inlineStr">
        <is>
          <t>mass per experiment</t>
        </is>
      </c>
      <c r="F5" t="inlineStr">
        <is>
          <t>pH of the solution (based only on additives)</t>
        </is>
      </c>
      <c r="G5" t="inlineStr">
        <is>
          <t>mmol/L additive</t>
        </is>
      </c>
      <c r="H5" t="inlineStr">
        <is>
          <t xml:space="preserve">% chlorid in product </t>
        </is>
      </c>
      <c r="I5" t="inlineStr">
        <is>
          <t>Ca w% feedstock</t>
        </is>
      </c>
    </row>
    <row r="6" ht="19" customHeight="1">
      <c r="B6" s="9" t="inlineStr">
        <is>
          <t>Ca(OH)2</t>
        </is>
      </c>
      <c r="C6" s="4">
        <f>C35/$C$43*$C$21*0.01*$C$20*$C$19</f>
        <v/>
      </c>
      <c r="D6" s="4">
        <f>C6*$C$25</f>
        <v/>
      </c>
      <c r="E6" s="5">
        <f>C6/C20</f>
        <v/>
      </c>
      <c r="F6" s="10" t="n">
        <v>13.04</v>
      </c>
      <c r="G6" s="11">
        <f>E6/C35/C23*1000*1000</f>
        <v/>
      </c>
      <c r="H6" s="12" t="n">
        <v>0</v>
      </c>
      <c r="I6" s="6">
        <f>Tabelle510[[#This Row],[mass per experiment]]*$C$43/C35/$C$19</f>
        <v/>
      </c>
    </row>
    <row r="7" ht="19" customHeight="1">
      <c r="B7" s="9" t="inlineStr">
        <is>
          <t>CaCl2</t>
        </is>
      </c>
      <c r="C7" s="4">
        <f>C19*C20*C30*C36/(2*C44)*0.01</f>
        <v/>
      </c>
      <c r="D7" s="4">
        <f>C7*$C$25</f>
        <v/>
      </c>
      <c r="E7" s="5">
        <f>C7/C20</f>
        <v/>
      </c>
      <c r="F7" s="10" t="n">
        <v>6.89</v>
      </c>
      <c r="G7" s="11">
        <f>E7/C36/C23*1000*1000</f>
        <v/>
      </c>
      <c r="H7" s="12">
        <f>G7*C44*2*C23/1000*C28/(C19*(1+C29))/1000</f>
        <v/>
      </c>
      <c r="I7" s="6">
        <f>Tabelle510[[#This Row],[mass per experiment]]*$C$43/C36/$C$19</f>
        <v/>
      </c>
    </row>
    <row r="8" ht="19" customHeight="1">
      <c r="B8" s="9" t="inlineStr">
        <is>
          <t>CaCO3</t>
        </is>
      </c>
      <c r="C8" s="4">
        <f>C37/$C$43*$C$21*0.01*$C$20*$C$19</f>
        <v/>
      </c>
      <c r="D8" s="4">
        <f>C8*$C$25</f>
        <v/>
      </c>
      <c r="E8" s="5">
        <f>C8/C20</f>
        <v/>
      </c>
      <c r="F8" s="10" t="n">
        <v>11.07</v>
      </c>
      <c r="G8" s="11">
        <f>E8/C37/C23*1000*1000</f>
        <v/>
      </c>
      <c r="H8" s="12" t="n">
        <v>0</v>
      </c>
      <c r="I8" s="6">
        <f>Tabelle510[[#This Row],[mass per experiment]]*$C$43/C37/$C$19</f>
        <v/>
      </c>
    </row>
    <row r="9" ht="19" customHeight="1">
      <c r="B9" s="9" t="inlineStr">
        <is>
          <t>NaCl</t>
        </is>
      </c>
      <c r="C9" s="4">
        <f>C19*C20*C30*C38/(C44)*0.01</f>
        <v/>
      </c>
      <c r="D9" s="4">
        <f>C9*$C$25</f>
        <v/>
      </c>
      <c r="E9" s="5">
        <f>C9/C20</f>
        <v/>
      </c>
      <c r="F9" s="10" t="n">
        <v>6.94</v>
      </c>
      <c r="G9" s="11">
        <f>E9/C38/C23*1000*1000</f>
        <v/>
      </c>
      <c r="H9" s="12">
        <f>G9*C44*C23/1000*C28/(C19*(1+C29))/1000</f>
        <v/>
      </c>
      <c r="I9" s="6" t="n">
        <v>0</v>
      </c>
    </row>
    <row r="10" ht="19" customHeight="1">
      <c r="B10" s="9" t="inlineStr">
        <is>
          <t>NaOH</t>
        </is>
      </c>
      <c r="C10" s="4">
        <f>C39*C20*C23/1000</f>
        <v/>
      </c>
      <c r="D10" s="4">
        <f>C10*$C$25</f>
        <v/>
      </c>
      <c r="E10" s="5">
        <f>C10/C20</f>
        <v/>
      </c>
      <c r="F10" s="10" t="n">
        <v>13.75</v>
      </c>
      <c r="G10" s="11">
        <f>E10/C39/C23*1000*1000</f>
        <v/>
      </c>
      <c r="H10" s="12" t="n">
        <v>0</v>
      </c>
      <c r="I10" s="6" t="n">
        <v>0</v>
      </c>
    </row>
    <row r="11" ht="19" customHeight="1">
      <c r="B11" s="9" t="inlineStr">
        <is>
          <t>NaHCO3</t>
        </is>
      </c>
      <c r="C11" s="4">
        <f>C40*C20*C23/1000</f>
        <v/>
      </c>
      <c r="D11" s="4">
        <f>C11*$C$25</f>
        <v/>
      </c>
      <c r="E11" s="5">
        <f>C11/C20</f>
        <v/>
      </c>
      <c r="F11" s="10" t="n">
        <v>7.64</v>
      </c>
      <c r="G11" s="11">
        <f>E11/C40/C23*1000*1000</f>
        <v/>
      </c>
      <c r="H11" s="12" t="n">
        <v>0</v>
      </c>
      <c r="I11" s="6" t="n">
        <v>0</v>
      </c>
    </row>
    <row r="12" ht="19" customHeight="1">
      <c r="B12" s="9" t="inlineStr">
        <is>
          <t>CaSO4(2(H2O)</t>
        </is>
      </c>
      <c r="C12" s="11">
        <f>C41/$C$43*$C$21*0.01*$C$20*$C$19</f>
        <v/>
      </c>
      <c r="D12" s="4">
        <f>C12*$C$25</f>
        <v/>
      </c>
      <c r="E12" s="5">
        <f>C12/C20</f>
        <v/>
      </c>
      <c r="F12" s="10" t="n"/>
      <c r="G12" s="11">
        <f>E12/C41/C23*1000*1000</f>
        <v/>
      </c>
      <c r="H12" s="12" t="n">
        <v>0</v>
      </c>
      <c r="I12" s="6">
        <f>Tabelle510[[#This Row],[mass per experiment]]*$C$43/C41/$C$19</f>
        <v/>
      </c>
    </row>
    <row r="13" ht="19" customHeight="1">
      <c r="B13" s="9" t="inlineStr">
        <is>
          <t xml:space="preserve">CaO </t>
        </is>
      </c>
      <c r="C13" s="11">
        <f>C42/$C$43*$C$21*0.01*$C$20*$C$19</f>
        <v/>
      </c>
      <c r="D13" s="4">
        <f>C13*$C$25</f>
        <v/>
      </c>
      <c r="E13" s="5">
        <f>C13/C20</f>
        <v/>
      </c>
      <c r="F13" s="10" t="n"/>
      <c r="G13" s="11">
        <f>E13/C42/C23*1000*1000</f>
        <v/>
      </c>
      <c r="H13" s="12" t="n">
        <v>0</v>
      </c>
      <c r="I13" s="6">
        <f>Tabelle510[[#This Row],[mass per experiment]]*$C$43/C42/$C$19</f>
        <v/>
      </c>
    </row>
    <row r="14">
      <c r="C14" s="8" t="n"/>
    </row>
    <row r="15">
      <c r="C15" s="8" t="n"/>
    </row>
    <row r="16">
      <c r="C16" s="8" t="n"/>
    </row>
    <row r="17">
      <c r="C17" s="8" t="n"/>
    </row>
    <row r="18" ht="16" customHeight="1">
      <c r="B18" t="inlineStr">
        <is>
          <t>Parameters</t>
        </is>
      </c>
      <c r="C18" s="8" t="inlineStr">
        <is>
          <t>Value</t>
        </is>
      </c>
      <c r="D18" t="inlineStr">
        <is>
          <t>Comment</t>
        </is>
      </c>
      <c r="E18" s="7" t="n"/>
    </row>
    <row r="19">
      <c r="B19" s="9" t="inlineStr">
        <is>
          <t>Mass of slag</t>
        </is>
      </c>
      <c r="C19" s="13" t="n">
        <v>50</v>
      </c>
      <c r="D19" s="9" t="n"/>
    </row>
    <row r="20">
      <c r="B20" s="9" t="inlineStr">
        <is>
          <t># of Experiements</t>
        </is>
      </c>
      <c r="C20" s="13" t="n">
        <v>50</v>
      </c>
      <c r="D20" s="9" t="inlineStr">
        <is>
          <t>25 LHS, 25 BO</t>
        </is>
      </c>
    </row>
    <row r="21">
      <c r="B21" s="9" t="inlineStr">
        <is>
          <t>W%</t>
        </is>
      </c>
      <c r="C21" s="13" t="n">
        <v>1.82402163978071</v>
      </c>
      <c r="D21" s="9" t="inlineStr">
        <is>
          <t>gCa/gFeedstock</t>
        </is>
      </c>
    </row>
    <row r="22">
      <c r="B22" s="9" t="inlineStr">
        <is>
          <t>Molar</t>
        </is>
      </c>
      <c r="C22" s="13" t="n">
        <v>1</v>
      </c>
      <c r="D22" s="9" t="n"/>
    </row>
    <row r="23">
      <c r="B23" s="10" t="inlineStr">
        <is>
          <t>Water mass</t>
        </is>
      </c>
      <c r="C23" s="14">
        <f>C19/C24</f>
        <v/>
      </c>
      <c r="D23" s="10" t="inlineStr">
        <is>
          <t>g</t>
        </is>
      </c>
    </row>
    <row r="24">
      <c r="B24" s="9" t="inlineStr">
        <is>
          <t>S/L ratio</t>
        </is>
      </c>
      <c r="C24" s="15" t="n">
        <v>0.4</v>
      </c>
      <c r="D24" s="9" t="n"/>
    </row>
    <row r="25">
      <c r="B25" s="9" t="inlineStr">
        <is>
          <t>Buffer</t>
        </is>
      </c>
      <c r="C25" s="15" t="n">
        <v>1.1</v>
      </c>
      <c r="D25" s="9" t="inlineStr">
        <is>
          <t>x times the amount</t>
        </is>
      </c>
    </row>
    <row r="26" ht="16" customHeight="1">
      <c r="B26" s="9" t="inlineStr">
        <is>
          <t>water density</t>
        </is>
      </c>
      <c r="C26" s="16" t="n">
        <v>0.9998395</v>
      </c>
      <c r="D26" s="9" t="inlineStr">
        <is>
          <t>g/ml</t>
        </is>
      </c>
    </row>
    <row r="27">
      <c r="B27" s="9" t="inlineStr">
        <is>
          <t>Chlorid Threshold (product)</t>
        </is>
      </c>
      <c r="C27" s="15" t="n">
        <v>0.2</v>
      </c>
      <c r="D27" s="9" t="inlineStr">
        <is>
          <t>% in Final Product</t>
        </is>
      </c>
    </row>
    <row r="28">
      <c r="B28" s="9" t="inlineStr">
        <is>
          <t>Remaining Moisture filter cake</t>
        </is>
      </c>
      <c r="C28" s="17" t="n">
        <v>0.275473295302747</v>
      </c>
      <c r="D28" s="9" t="inlineStr">
        <is>
          <t>% with buffer (5%)</t>
        </is>
      </c>
    </row>
    <row r="29">
      <c r="B29" s="9" t="inlineStr">
        <is>
          <t>Average mass gain</t>
        </is>
      </c>
      <c r="C29" s="17">
        <f>83/75-1</f>
        <v/>
      </c>
      <c r="D29" s="9" t="inlineStr">
        <is>
          <t>%</t>
        </is>
      </c>
    </row>
    <row r="30">
      <c r="B30" s="10" t="inlineStr">
        <is>
          <t>Chlorid Threshold (feedstock)</t>
        </is>
      </c>
      <c r="C30" s="10">
        <f>C27*(1+C29)/C28</f>
        <v/>
      </c>
      <c r="D30" s="10" t="inlineStr">
        <is>
          <t>%</t>
        </is>
      </c>
    </row>
    <row r="31">
      <c r="B31" t="inlineStr">
        <is>
          <t>CO intake max</t>
        </is>
      </c>
      <c r="C31" s="28" t="n">
        <v>0.4873</v>
      </c>
    </row>
    <row r="32">
      <c r="C32" s="8" t="n"/>
    </row>
    <row r="33">
      <c r="C33" s="8" t="n"/>
    </row>
    <row r="34">
      <c r="B34" t="inlineStr">
        <is>
          <t>Component</t>
        </is>
      </c>
      <c r="C34" s="8" t="inlineStr">
        <is>
          <t>Molar Mass [g/mol ]</t>
        </is>
      </c>
    </row>
    <row r="35">
      <c r="B35" s="9" t="inlineStr">
        <is>
          <t>Ca(OH)2</t>
        </is>
      </c>
      <c r="C35" s="15">
        <f>C43+2*(C46+C47)</f>
        <v/>
      </c>
      <c r="H35">
        <f>(C46*2+C48)/C43</f>
        <v/>
      </c>
    </row>
    <row r="36">
      <c r="B36" s="9" t="inlineStr">
        <is>
          <t>CaCl2</t>
        </is>
      </c>
      <c r="C36" s="15">
        <f>C43+C44*2</f>
        <v/>
      </c>
    </row>
    <row r="37">
      <c r="B37" s="9" t="inlineStr">
        <is>
          <t>CaCO3</t>
        </is>
      </c>
      <c r="C37" s="15">
        <f>C43+C48+C46*3</f>
        <v/>
      </c>
    </row>
    <row r="38">
      <c r="B38" s="9" t="inlineStr">
        <is>
          <t>NaCl</t>
        </is>
      </c>
      <c r="C38" s="15">
        <f>C45+C44</f>
        <v/>
      </c>
    </row>
    <row r="39">
      <c r="B39" s="9" t="inlineStr">
        <is>
          <t>NaOH</t>
        </is>
      </c>
      <c r="C39" s="15">
        <f>C45+C46+C47</f>
        <v/>
      </c>
    </row>
    <row r="40">
      <c r="B40" s="9" t="inlineStr">
        <is>
          <t>NaHCO3</t>
        </is>
      </c>
      <c r="C40" s="15">
        <f>C45+C47+C48+C46*3</f>
        <v/>
      </c>
    </row>
    <row r="41">
      <c r="B41" s="9" t="inlineStr">
        <is>
          <t>CaSO4(2(H2O)</t>
        </is>
      </c>
      <c r="C41" s="15">
        <f>C47*4+C46*2+C49+C43+C46*4</f>
        <v/>
      </c>
    </row>
    <row r="42">
      <c r="B42" s="9" t="inlineStr">
        <is>
          <t xml:space="preserve">CaO </t>
        </is>
      </c>
      <c r="C42" s="15">
        <f>C43+C46</f>
        <v/>
      </c>
    </row>
    <row r="43" ht="16" customHeight="1">
      <c r="B43" s="9" t="inlineStr">
        <is>
          <t>Ca</t>
        </is>
      </c>
      <c r="C43" s="18" t="n">
        <v>40.078</v>
      </c>
    </row>
    <row r="44" ht="16" customHeight="1">
      <c r="B44" s="9" t="inlineStr">
        <is>
          <t xml:space="preserve">Cl </t>
        </is>
      </c>
      <c r="C44" s="18" t="n">
        <v>35.453</v>
      </c>
    </row>
    <row r="45" ht="16" customHeight="1">
      <c r="B45" s="9" t="inlineStr">
        <is>
          <t>Na</t>
        </is>
      </c>
      <c r="C45" s="18" t="n">
        <v>22.989769</v>
      </c>
    </row>
    <row r="46" ht="16" customHeight="1">
      <c r="B46" s="9" t="inlineStr">
        <is>
          <t>O</t>
        </is>
      </c>
      <c r="C46" s="18" t="n">
        <v>15.9994</v>
      </c>
    </row>
    <row r="47" ht="16" customHeight="1">
      <c r="B47" s="9" t="inlineStr">
        <is>
          <t>H</t>
        </is>
      </c>
      <c r="C47" s="18" t="n">
        <v>1.00784</v>
      </c>
    </row>
    <row r="48">
      <c r="B48" s="9" t="inlineStr">
        <is>
          <t>C</t>
        </is>
      </c>
      <c r="C48" s="15" t="n">
        <v>12.011</v>
      </c>
    </row>
    <row r="49">
      <c r="B49" s="9" t="inlineStr">
        <is>
          <t>S</t>
        </is>
      </c>
      <c r="C49" s="15" t="n">
        <v>32.065</v>
      </c>
    </row>
    <row r="50">
      <c r="B50" s="9" t="inlineStr">
        <is>
          <t>CO2</t>
        </is>
      </c>
      <c r="C50" s="15">
        <f>2*C46+C48</f>
        <v/>
      </c>
    </row>
    <row r="51">
      <c r="B51" t="inlineStr">
        <is>
          <t>gCO2/gCaO</t>
        </is>
      </c>
      <c r="C51" s="8">
        <f>Tabelle49[[#Totals],[Molar Mass '[g/mol ']]]/C42</f>
        <v/>
      </c>
    </row>
    <row r="52">
      <c r="B52" t="inlineStr">
        <is>
          <t>gCO2/gCaCl2</t>
        </is>
      </c>
      <c r="C52">
        <f>Tabelle49[[#Totals],[Molar Mass '[g/mol ']]]/C36</f>
        <v/>
      </c>
    </row>
  </sheetData>
  <pageMargins left="0.7" right="0.7" top="0.787401575" bottom="0.7874015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9" sqref="E9"/>
    </sheetView>
  </sheetViews>
  <sheetFormatPr baseColWidth="10" defaultRowHeight="15"/>
  <cols>
    <col width="16" bestFit="1" customWidth="1" min="1" max="1"/>
    <col width="13.83203125" bestFit="1" customWidth="1" min="2" max="2"/>
    <col width="13.5" customWidth="1" min="3" max="3"/>
  </cols>
  <sheetData>
    <row r="1">
      <c r="A1" t="inlineStr">
        <is>
          <t>Parameter</t>
        </is>
      </c>
      <c r="B1" t="inlineStr">
        <is>
          <t>min</t>
        </is>
      </c>
      <c r="C1" t="inlineStr">
        <is>
          <t>max</t>
        </is>
      </c>
    </row>
    <row r="2">
      <c r="A2" t="inlineStr">
        <is>
          <t>Temperature [°C]</t>
        </is>
      </c>
      <c r="B2" t="n">
        <v>100</v>
      </c>
      <c r="C2" t="n">
        <v>200</v>
      </c>
    </row>
    <row r="3">
      <c r="A3" t="inlineStr">
        <is>
          <t>Reaction time [min]</t>
        </is>
      </c>
      <c r="B3" t="n">
        <v>30</v>
      </c>
      <c r="C3" t="n">
        <v>180</v>
      </c>
    </row>
    <row r="4">
      <c r="A4" t="inlineStr">
        <is>
          <t>CaO mass [g]</t>
        </is>
      </c>
      <c r="B4" t="n">
        <v>0</v>
      </c>
      <c r="C4" t="n">
        <v>1.399206547232896</v>
      </c>
    </row>
    <row r="5">
      <c r="A5" t="inlineStr">
        <is>
          <t>CaCl2 mass [g]</t>
        </is>
      </c>
      <c r="B5" t="n">
        <v>0</v>
      </c>
      <c r="C5" t="n">
        <v>0.6288022575976845</v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5" sqref="F25"/>
    </sheetView>
  </sheetViews>
  <sheetFormatPr baseColWidth="10" defaultRowHeight="15"/>
  <sheetData/>
  <pageMargins left="0.7" right="0.7" top="0.787401575" bottom="0.7874015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10" defaultRowHeight="15"/>
  <cols>
    <col width="9.83203125" customWidth="1" min="1" max="16"/>
    <col width="17" bestFit="1" customWidth="1" min="17" max="17"/>
    <col width="9.83203125" customWidth="1" min="18" max="19"/>
    <col width="17.1640625" customWidth="1" min="20" max="20"/>
    <col width="27.33203125" customWidth="1" min="21" max="21"/>
    <col width="10.83203125" customWidth="1" min="22" max="22"/>
    <col width="27.33203125" bestFit="1" customWidth="1" min="24" max="24"/>
  </cols>
  <sheetData>
    <row r="1" ht="80" customHeight="1">
      <c r="A1" s="23" t="inlineStr">
        <is>
          <t>Reaction #</t>
        </is>
      </c>
      <c r="B1" s="23" t="inlineStr">
        <is>
          <t>Temperature [°C]</t>
        </is>
      </c>
      <c r="C1" s="23" t="inlineStr">
        <is>
          <t>Reaction Time [min]</t>
        </is>
      </c>
      <c r="D1" s="23" t="inlineStr">
        <is>
          <t>CaO_w</t>
        </is>
      </c>
      <c r="E1" s="23" t="inlineStr">
        <is>
          <t>CaO mass per experiment</t>
        </is>
      </c>
      <c r="F1" s="23" t="inlineStr">
        <is>
          <t>CaO mass [g]</t>
        </is>
      </c>
      <c r="G1" s="23" t="inlineStr">
        <is>
          <t>CaCl2_w</t>
        </is>
      </c>
      <c r="H1" s="23" t="inlineStr">
        <is>
          <t>CaCl2 mass per experiment</t>
        </is>
      </c>
      <c r="I1" s="23" t="inlineStr">
        <is>
          <t>CaCl2 mass [g]</t>
        </is>
      </c>
      <c r="J1" s="23" t="inlineStr">
        <is>
          <t xml:space="preserve">Total Ca </t>
        </is>
      </c>
      <c r="K1" s="23" t="inlineStr">
        <is>
          <t>Actual total Ca [w%]</t>
        </is>
      </c>
      <c r="L1" s="23" t="inlineStr">
        <is>
          <t>Chlorid in product [w%]</t>
        </is>
      </c>
      <c r="M1" s="2" t="inlineStr">
        <is>
          <t>PSD</t>
        </is>
      </c>
      <c r="N1" s="2" t="inlineStr">
        <is>
          <t>Reactor #</t>
        </is>
      </c>
      <c r="O1" s="23" t="inlineStr">
        <is>
          <t>Date of experimentation</t>
        </is>
      </c>
      <c r="P1" s="23" t="inlineStr">
        <is>
          <t>Reactor idf.</t>
        </is>
      </c>
      <c r="Q1" s="2" t="inlineStr">
        <is>
          <t>Dry weight [g]</t>
        </is>
      </c>
      <c r="R1" s="23" t="inlineStr">
        <is>
          <t>Moisture after filtration</t>
        </is>
      </c>
      <c r="S1" s="23" t="inlineStr">
        <is>
          <t>Reaction yield (mass)</t>
        </is>
      </c>
      <c r="T1" s="23" t="inlineStr">
        <is>
          <t>Reaction yield (LOI)</t>
        </is>
      </c>
      <c r="U1" s="23" t="inlineStr">
        <is>
          <t>Yield regression</t>
        </is>
      </c>
      <c r="V1" s="23" t="inlineStr">
        <is>
          <t>LOI result</t>
        </is>
      </c>
      <c r="W1" s="23" t="inlineStr">
        <is>
          <t>Total mass</t>
        </is>
      </c>
      <c r="X1" s="23" t="inlineStr">
        <is>
          <t>Conversion [%]</t>
        </is>
      </c>
      <c r="Y1" s="23" t="inlineStr">
        <is>
          <t>UpdatedI yield</t>
        </is>
      </c>
      <c r="Z1" s="26" t="inlineStr">
        <is>
          <t>Comments</t>
        </is>
      </c>
      <c r="AA1" s="26" t="inlineStr">
        <is>
          <t>Sampling date</t>
        </is>
      </c>
    </row>
    <row r="2" ht="19" customHeight="1">
      <c r="A2" s="3" t="n">
        <v>397</v>
      </c>
      <c r="B2" s="3" t="n">
        <v>194.658350012081</v>
      </c>
      <c r="C2" s="3" t="n">
        <v>104.792185718259</v>
      </c>
      <c r="D2" t="n">
        <v>0.114208649389782</v>
      </c>
      <c r="E2" s="20">
        <f>Tabelle2!$C$42/Tabelle2!$C$43*0.01*Tabelle16[[#This Row],[CaO_w]]*Tabelle2!$C$19</f>
        <v/>
      </c>
      <c r="F2" s="22" t="n">
        <v>0.082</v>
      </c>
      <c r="G2" t="n">
        <v>0.140163642744557</v>
      </c>
      <c r="H2" s="20">
        <f>Tabelle16[[#This Row],[CaCl2_w]]/Tabelle2!$C$43*Tabelle2!$C$36*Tabelle2!$C$19*0.01</f>
        <v/>
      </c>
      <c r="I2" s="22" t="n">
        <v>0.196</v>
      </c>
      <c r="J2" s="21">
        <f>(Tabelle16[[#This Row],[CaCl2_w]]+Tabelle16[[#This Row],[CaO_w]])/100</f>
        <v/>
      </c>
      <c r="K2" s="21">
        <f>(Tabelle16[[#This Row],[CaCl2 mass '[g']]]/(1/Tabelle2!$C$43*Tabelle2!$C$36*Tabelle2!$C$19*0.01)+Tabelle16[[#This Row],[CaO mass '[g']]]/(Tabelle2!$C$42/Tabelle2!$C$43*0.01*Tabelle2!$C$19))*0.01</f>
        <v/>
      </c>
      <c r="L2" s="24">
        <f>Tabelle16[[#This Row],[CaCl2 mass '[g']]]*Tabelle2!$C$28/(Tabelle2!$C$19*(1+Tabelle2!$C$29))*(2*Tabelle2!$C$44/Tabelle2!$C$36)</f>
        <v/>
      </c>
      <c r="M2" t="n">
        <v>0</v>
      </c>
      <c r="N2" t="n">
        <v>2</v>
      </c>
      <c r="O2" s="19" t="n">
        <v>45784</v>
      </c>
      <c r="P2" s="30">
        <f>IF(Tabelle16[[#This Row],[Reactor '#]]=0,"BR300-2",IF(Tabelle16[[#This Row],[Reactor '#]]=1,"BR300-3",IF(Tabelle16[[#This Row],[Reactor '#]]=2,"BR300-4")))</f>
        <v/>
      </c>
      <c r="Q2" s="8" t="n"/>
      <c r="R2" s="25" t="n"/>
      <c r="S2" s="24" t="n"/>
      <c r="U2">
        <f>0.0846+0.9069*Tabelle16[[#This Row],[Reaction yield (mass)]]</f>
        <v/>
      </c>
      <c r="V2" s="21">
        <f>Tabelle16[[#This Row],[Reaction yield (LOI)]]*Tabelle2!$C$31/(1+Tabelle2!$C$31*Tabelle16[[#This Row],[Reaction yield (LOI)]])</f>
        <v/>
      </c>
      <c r="W2" s="29">
        <f>50+Tabelle16[[#This Row],[CaO mass '[g']]]+Tabelle16[[#This Row],[CaCl2 mass per experiment]]</f>
        <v/>
      </c>
      <c r="X2" s="29" t="n"/>
      <c r="Y2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2" t="inlineStr">
        <is>
          <t>NEW add. 9 Point sampling</t>
        </is>
      </c>
      <c r="AA2" s="19" t="n">
        <v>45777</v>
      </c>
    </row>
    <row r="3" ht="19" customHeight="1">
      <c r="A3" s="3" t="n">
        <v>396</v>
      </c>
      <c r="B3" s="3" t="n">
        <v>153.331684645093</v>
      </c>
      <c r="C3" s="3" t="n">
        <v>127.286302693986</v>
      </c>
      <c r="D3" t="n">
        <v>0.948635840109514</v>
      </c>
      <c r="E3" s="20">
        <f>Tabelle2!$C$42/Tabelle2!$C$43*0.01*Tabelle16[[#This Row],[CaO_w]]*Tabelle2!$C$19</f>
        <v/>
      </c>
      <c r="F3" s="22" t="n">
        <v>0.662</v>
      </c>
      <c r="G3" t="n">
        <v>0.0401790862632582</v>
      </c>
      <c r="H3" s="20">
        <f>Tabelle16[[#This Row],[CaCl2_w]]/Tabelle2!$C$43*Tabelle2!$C$36*Tabelle2!$C$19*0.01</f>
        <v/>
      </c>
      <c r="I3" s="22" t="n">
        <v>0.056</v>
      </c>
      <c r="J3" s="21">
        <f>(Tabelle16[[#This Row],[CaCl2_w]]+Tabelle16[[#This Row],[CaO_w]])/100</f>
        <v/>
      </c>
      <c r="K3" s="21">
        <f>(Tabelle16[[#This Row],[CaCl2 mass '[g']]]/(1/Tabelle2!$C$43*Tabelle2!$C$36*Tabelle2!$C$19*0.01)+Tabelle16[[#This Row],[CaO mass '[g']]]/(Tabelle2!$C$42/Tabelle2!$C$43*0.01*Tabelle2!$C$19))*0.01</f>
        <v/>
      </c>
      <c r="L3" s="24">
        <f>Tabelle16[[#This Row],[CaCl2 mass '[g']]]*Tabelle2!$C$28/(Tabelle2!$C$19*(1+Tabelle2!$C$29))*(2*Tabelle2!$C$44/Tabelle2!$C$36)</f>
        <v/>
      </c>
      <c r="M3" t="n">
        <v>0</v>
      </c>
      <c r="N3" t="n">
        <v>1</v>
      </c>
      <c r="O3" s="19" t="n">
        <v>45784</v>
      </c>
      <c r="P3" s="30">
        <f>IF(Tabelle16[[#This Row],[Reactor '#]]=0,"BR300-2",IF(Tabelle16[[#This Row],[Reactor '#]]=1,"BR300-3",IF(Tabelle16[[#This Row],[Reactor '#]]=2,"BR300-4")))</f>
        <v/>
      </c>
      <c r="Q3" s="8" t="n"/>
      <c r="R3" s="25" t="n"/>
      <c r="S3" s="24" t="n"/>
      <c r="U3">
        <f>0.0846+0.9069*Tabelle16[[#This Row],[Reaction yield (mass)]]</f>
        <v/>
      </c>
      <c r="V3" s="21">
        <f>Tabelle16[[#This Row],[Reaction yield (LOI)]]*Tabelle2!$C$31/(1+Tabelle2!$C$31*Tabelle16[[#This Row],[Reaction yield (LOI)]])</f>
        <v/>
      </c>
      <c r="W3" s="29">
        <f>50+Tabelle16[[#This Row],[CaO mass '[g']]]+Tabelle16[[#This Row],[CaCl2 mass per experiment]]</f>
        <v/>
      </c>
      <c r="X3" s="29" t="n"/>
      <c r="Y3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3" t="inlineStr">
        <is>
          <t>NEW add. 9 Point sampling</t>
        </is>
      </c>
      <c r="AA3" s="19" t="n">
        <v>45777</v>
      </c>
      <c r="AB3" s="21" t="n"/>
      <c r="AC3" s="21" t="n"/>
    </row>
    <row r="4" ht="19" customHeight="1">
      <c r="A4" s="3" t="n">
        <v>395</v>
      </c>
      <c r="B4" s="3" t="n">
        <v>159.020808871413</v>
      </c>
      <c r="C4" s="3" t="n">
        <v>74.0563402917433</v>
      </c>
      <c r="D4" t="n">
        <v>1.83807382837655</v>
      </c>
      <c r="E4" s="20">
        <f>Tabelle2!$C$42/Tabelle2!$C$43*0.01*Tabelle16[[#This Row],[CaO_w]]*Tabelle2!$C$19</f>
        <v/>
      </c>
      <c r="F4" s="22" t="n">
        <v>1.285</v>
      </c>
      <c r="G4" t="n">
        <v>0.0719397990707862</v>
      </c>
      <c r="H4" s="20">
        <f>Tabelle16[[#This Row],[CaCl2_w]]/Tabelle2!$C$43*Tabelle2!$C$36*Tabelle2!$C$19*0.01</f>
        <v/>
      </c>
      <c r="I4" s="22" t="n">
        <v>0.103</v>
      </c>
      <c r="J4" s="21">
        <f>(Tabelle16[[#This Row],[CaCl2_w]]+Tabelle16[[#This Row],[CaO_w]])/100</f>
        <v/>
      </c>
      <c r="K4" s="21">
        <f>(Tabelle16[[#This Row],[CaCl2 mass '[g']]]/(1/Tabelle2!$C$43*Tabelle2!$C$36*Tabelle2!$C$19*0.01)+Tabelle16[[#This Row],[CaO mass '[g']]]/(Tabelle2!$C$42/Tabelle2!$C$43*0.01*Tabelle2!$C$19))*0.01</f>
        <v/>
      </c>
      <c r="L4" s="24">
        <f>Tabelle16[[#This Row],[CaCl2 mass '[g']]]*Tabelle2!$C$28/(Tabelle2!$C$19*(1+Tabelle2!$C$29))*(2*Tabelle2!$C$44/Tabelle2!$C$36)</f>
        <v/>
      </c>
      <c r="M4" t="n">
        <v>0</v>
      </c>
      <c r="N4" t="n">
        <v>0</v>
      </c>
      <c r="O4" s="19" t="n">
        <v>45784</v>
      </c>
      <c r="P4" s="30">
        <f>IF(Tabelle16[[#This Row],[Reactor '#]]=0,"BR300-2",IF(Tabelle16[[#This Row],[Reactor '#]]=1,"BR300-3",IF(Tabelle16[[#This Row],[Reactor '#]]=2,"BR300-4")))</f>
        <v/>
      </c>
      <c r="Q4" s="8" t="n"/>
      <c r="R4" s="25" t="n"/>
      <c r="S4" s="25" t="n"/>
      <c r="U4">
        <f>0.0846+0.9069*Tabelle16[[#This Row],[Reaction yield (mass)]]</f>
        <v/>
      </c>
      <c r="V4" s="21" t="n">
        <v>0</v>
      </c>
      <c r="W4" s="29">
        <f>50+Tabelle16[[#This Row],[CaO mass '[g']]]+Tabelle16[[#This Row],[CaCl2 mass per experiment]]</f>
        <v/>
      </c>
      <c r="X4" s="29" t="n"/>
      <c r="Y4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4" t="inlineStr">
        <is>
          <t>NEW add. 9 Point sampling</t>
        </is>
      </c>
      <c r="AA4" s="19" t="n">
        <v>45777</v>
      </c>
    </row>
    <row r="5" ht="19" customHeight="1">
      <c r="A5" s="3" t="n">
        <v>394</v>
      </c>
      <c r="B5" s="3" t="n">
        <v>114.721960549088</v>
      </c>
      <c r="C5" s="3" t="n">
        <v>142.571652074351</v>
      </c>
      <c r="D5" t="n">
        <v>1.68456590771239</v>
      </c>
      <c r="E5" s="20">
        <f>Tabelle2!$C$42/Tabelle2!$C$43*0.01*Tabelle16[[#This Row],[CaO_w]]*Tabelle2!$C$19</f>
        <v/>
      </c>
      <c r="F5" s="22" t="n">
        <v>1.181</v>
      </c>
      <c r="G5" t="n">
        <v>0.187343228598409</v>
      </c>
      <c r="H5" s="20" t="n">
        <v>0.259</v>
      </c>
      <c r="I5" s="22" t="n">
        <v>0.2593954399267157</v>
      </c>
      <c r="J5" s="21">
        <f>(Tabelle16[[#This Row],[CaCl2_w]]+Tabelle16[[#This Row],[CaO_w]])/100</f>
        <v/>
      </c>
      <c r="K5" s="21">
        <f>(Tabelle16[[#This Row],[CaCl2 mass '[g']]]/(1/Tabelle2!$C$43*Tabelle2!$C$36*Tabelle2!$C$19*0.01)+Tabelle16[[#This Row],[CaO mass '[g']]]/(Tabelle2!$C$42/Tabelle2!$C$43*0.01*Tabelle2!$C$19))*0.01</f>
        <v/>
      </c>
      <c r="L5" s="24">
        <f>Tabelle16[[#This Row],[CaCl2 mass '[g']]]*Tabelle2!$C$28/(Tabelle2!$C$19*(1+Tabelle2!$C$29))*(2*Tabelle2!$C$44/Tabelle2!$C$36)</f>
        <v/>
      </c>
      <c r="M5" t="n">
        <v>0</v>
      </c>
      <c r="N5" t="n">
        <v>2</v>
      </c>
      <c r="O5" s="19" t="n">
        <v>45783</v>
      </c>
      <c r="P5" s="30">
        <f>IF(Tabelle16[[#This Row],[Reactor '#]]=0,"BR300-2",IF(Tabelle16[[#This Row],[Reactor '#]]=1,"BR300-3",IF(Tabelle16[[#This Row],[Reactor '#]]=2,"BR300-4")))</f>
        <v/>
      </c>
      <c r="Q5" s="8" t="n">
        <v>56.622</v>
      </c>
      <c r="R5" s="24" t="n">
        <v>0.1911</v>
      </c>
      <c r="S5" s="24" t="n">
        <v>0.2718</v>
      </c>
      <c r="T5" s="21" t="n">
        <v>0.331095</v>
      </c>
      <c r="U5">
        <f>0.0846+0.9069*Tabelle16[[#This Row],[Reaction yield (mass)]]</f>
        <v/>
      </c>
      <c r="V5" s="21">
        <f>Tabelle16[[#This Row],[Reaction yield (LOI)]]*Tabelle2!$C$31/(1+Tabelle2!$C$31*Tabelle16[[#This Row],[Reaction yield (LOI)]])</f>
        <v/>
      </c>
      <c r="W5" s="29">
        <f>50+Tabelle16[[#This Row],[CaO mass '[g']]]+Tabelle16[[#This Row],[CaCl2 mass per experiment]]</f>
        <v/>
      </c>
      <c r="X5" s="29" t="n">
        <v>0.2983684655073182</v>
      </c>
      <c r="Y5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5" t="inlineStr">
        <is>
          <t>NEW add. 9 Point sampling</t>
        </is>
      </c>
      <c r="AA5" s="19" t="n">
        <v>45777</v>
      </c>
    </row>
    <row r="6" ht="19" customHeight="1">
      <c r="A6" s="3" t="n">
        <v>393</v>
      </c>
      <c r="B6" s="3" t="n">
        <v>143.331833944296</v>
      </c>
      <c r="C6" s="3" t="n">
        <v>176.518332917919</v>
      </c>
      <c r="D6" t="n">
        <v>0.813603605100701</v>
      </c>
      <c r="E6" s="20">
        <f>Tabelle2!$C$42/Tabelle2!$C$43*0.01*Tabelle16[[#This Row],[CaO_w]]*Tabelle2!$C$19</f>
        <v/>
      </c>
      <c r="F6" s="22" t="n">
        <v>0.57</v>
      </c>
      <c r="G6" t="n">
        <v>0.296155347887977</v>
      </c>
      <c r="H6" s="20">
        <f>Tabelle16[[#This Row],[CaCl2_w]]/Tabelle2!$C$43*Tabelle2!$C$36*Tabelle2!$C$19*0.01</f>
        <v/>
      </c>
      <c r="I6" s="22" t="n">
        <v>0.417</v>
      </c>
      <c r="J6" s="21">
        <f>(Tabelle16[[#This Row],[CaCl2_w]]+Tabelle16[[#This Row],[CaO_w]])/100</f>
        <v/>
      </c>
      <c r="K6" s="21">
        <f>(Tabelle16[[#This Row],[CaCl2 mass '[g']]]/(1/Tabelle2!$C$43*Tabelle2!$C$36*Tabelle2!$C$19*0.01)+Tabelle16[[#This Row],[CaO mass '[g']]]/(Tabelle2!$C$42/Tabelle2!$C$43*0.01*Tabelle2!$C$19))*0.01</f>
        <v/>
      </c>
      <c r="L6" s="24">
        <f>Tabelle16[[#This Row],[CaCl2 mass '[g']]]*Tabelle2!$C$28/(Tabelle2!$C$19*(1+Tabelle2!$C$29))*(2*Tabelle2!$C$44/Tabelle2!$C$36)</f>
        <v/>
      </c>
      <c r="M6" t="n">
        <v>0</v>
      </c>
      <c r="N6" t="n">
        <v>1</v>
      </c>
      <c r="O6" s="19" t="n">
        <v>45783</v>
      </c>
      <c r="P6" s="30">
        <f>IF(Tabelle16[[#This Row],[Reactor '#]]=0,"BR300-2",IF(Tabelle16[[#This Row],[Reactor '#]]=1,"BR300-3",IF(Tabelle16[[#This Row],[Reactor '#]]=2,"BR300-4")))</f>
        <v/>
      </c>
      <c r="Q6" s="8" t="n">
        <v>61.45</v>
      </c>
      <c r="R6" s="24" t="n">
        <v>0.1696</v>
      </c>
      <c r="S6" s="24" t="n">
        <v>0.4699</v>
      </c>
      <c r="T6" s="21" t="n">
        <v>0.5107523</v>
      </c>
      <c r="U6">
        <f>0.0846+0.9069*Tabelle16[[#This Row],[Reaction yield (mass)]]</f>
        <v/>
      </c>
      <c r="V6" s="21">
        <f>Tabelle16[[#This Row],[Reaction yield (LOI)]]*Tabelle2!$C$31/(1+Tabelle2!$C$31*Tabelle16[[#This Row],[Reaction yield (LOI)]])</f>
        <v/>
      </c>
      <c r="W6" s="29">
        <f>50+Tabelle16[[#This Row],[CaO mass '[g']]]+Tabelle16[[#This Row],[CaCl2 mass per experiment]]</f>
        <v/>
      </c>
      <c r="X6" s="29" t="n">
        <v>0.4956170388019006</v>
      </c>
      <c r="Y6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6" t="inlineStr">
        <is>
          <t>NEW add. 9 Point sampling</t>
        </is>
      </c>
      <c r="AA6" s="19" t="n">
        <v>45777</v>
      </c>
    </row>
    <row r="7" ht="19" customHeight="1">
      <c r="A7" s="3" t="n">
        <v>392</v>
      </c>
      <c r="B7" s="3" t="n">
        <v>186.477779091378</v>
      </c>
      <c r="C7" s="3" t="n">
        <v>159.255617719098</v>
      </c>
      <c r="D7" t="n">
        <v>1.19927476970511</v>
      </c>
      <c r="E7" s="20">
        <f>Tabelle2!$C$42/Tabelle2!$C$43*0.01*Tabelle16[[#This Row],[CaO_w]]*Tabelle2!$C$19</f>
        <v/>
      </c>
      <c r="F7" s="22" t="n">
        <v>0.838</v>
      </c>
      <c r="G7" t="n">
        <v>0.392873444501372</v>
      </c>
      <c r="H7" s="20">
        <f>Tabelle16[[#This Row],[CaCl2_w]]/Tabelle2!$C$43*Tabelle2!$C$36*Tabelle2!$C$19*0.01</f>
        <v/>
      </c>
      <c r="I7" s="22" t="n">
        <v>0.545</v>
      </c>
      <c r="J7" s="21">
        <f>(Tabelle16[[#This Row],[CaCl2_w]]+Tabelle16[[#This Row],[CaO_w]])/100</f>
        <v/>
      </c>
      <c r="K7" s="21">
        <f>(Tabelle16[[#This Row],[CaCl2 mass '[g']]]/(1/Tabelle2!$C$43*Tabelle2!$C$36*Tabelle2!$C$19*0.01)+Tabelle16[[#This Row],[CaO mass '[g']]]/(Tabelle2!$C$42/Tabelle2!$C$43*0.01*Tabelle2!$C$19))*0.01</f>
        <v/>
      </c>
      <c r="L7" s="24">
        <f>Tabelle16[[#This Row],[CaCl2 mass '[g']]]*Tabelle2!$C$28/(Tabelle2!$C$19*(1+Tabelle2!$C$29))*(2*Tabelle2!$C$44/Tabelle2!$C$36)</f>
        <v/>
      </c>
      <c r="M7" t="n">
        <v>0</v>
      </c>
      <c r="N7" t="n">
        <v>0</v>
      </c>
      <c r="O7" s="19" t="n">
        <v>45783</v>
      </c>
      <c r="P7" s="30">
        <f>IF(Tabelle16[[#This Row],[Reactor '#]]=0,"BR300-2",IF(Tabelle16[[#This Row],[Reactor '#]]=1,"BR300-3",IF(Tabelle16[[#This Row],[Reactor '#]]=2,"BR300-4")))</f>
        <v/>
      </c>
      <c r="Q7" s="31" t="n">
        <v>58.653</v>
      </c>
      <c r="R7" s="24" t="n">
        <v>0.1621</v>
      </c>
      <c r="S7" s="24" t="n">
        <v>0.3551</v>
      </c>
      <c r="T7" s="21" t="n">
        <v>0.40664</v>
      </c>
      <c r="U7">
        <f>0.0846+0.9069*Tabelle16[[#This Row],[Reaction yield (mass)]]</f>
        <v/>
      </c>
      <c r="V7" s="21">
        <f>Tabelle16[[#This Row],[Reaction yield (LOI)]]*Tabelle2!$C$31/(1+Tabelle2!$C$31*Tabelle16[[#This Row],[Reaction yield (LOI)]])</f>
        <v/>
      </c>
      <c r="W7" s="29">
        <f>50+Tabelle16[[#This Row],[CaO mass '[g']]]+Tabelle16[[#This Row],[CaCl2 mass per experiment]]</f>
        <v/>
      </c>
      <c r="X7" s="29" t="n">
        <v>0.3820171462434828</v>
      </c>
      <c r="Y7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7" t="inlineStr">
        <is>
          <t>NEW add. 9 Point sampling</t>
        </is>
      </c>
      <c r="AA7" s="19" t="n">
        <v>45777</v>
      </c>
      <c r="AC7" s="21" t="n"/>
    </row>
    <row r="8" ht="19" customHeight="1">
      <c r="A8" s="3" t="n">
        <v>391</v>
      </c>
      <c r="B8" s="3" t="n">
        <v>169.812426458426</v>
      </c>
      <c r="C8" s="3" t="n">
        <v>38.1604318552561</v>
      </c>
      <c r="D8" t="n">
        <v>1.40259810955774</v>
      </c>
      <c r="E8" s="20">
        <f>Tabelle2!$C$42/Tabelle2!$C$43*0.01*Tabelle16[[#This Row],[CaO_w]]*Tabelle2!$C$19</f>
        <v/>
      </c>
      <c r="F8" s="22" t="n">
        <v>0.981</v>
      </c>
      <c r="G8" t="n">
        <v>0.420137807161303</v>
      </c>
      <c r="H8" s="20">
        <f>Tabelle16[[#This Row],[CaCl2_w]]/Tabelle2!$C$43*Tabelle2!$C$36*Tabelle2!$C$19*0.01</f>
        <v/>
      </c>
      <c r="I8" s="22" t="n">
        <v>0.584</v>
      </c>
      <c r="J8" s="21">
        <f>(Tabelle16[[#This Row],[CaCl2_w]]+Tabelle16[[#This Row],[CaO_w]])/100</f>
        <v/>
      </c>
      <c r="K8" s="21">
        <f>(Tabelle16[[#This Row],[CaCl2 mass '[g']]]/(1/Tabelle2!$C$43*Tabelle2!$C$36*Tabelle2!$C$19*0.01)+Tabelle16[[#This Row],[CaO mass '[g']]]/(Tabelle2!$C$42/Tabelle2!$C$43*0.01*Tabelle2!$C$19))*0.01</f>
        <v/>
      </c>
      <c r="L8" s="24">
        <f>Tabelle16[[#This Row],[CaCl2 mass '[g']]]*Tabelle2!$C$28/(Tabelle2!$C$19*(1+Tabelle2!$C$29))*(2*Tabelle2!$C$44/Tabelle2!$C$36)</f>
        <v/>
      </c>
      <c r="M8" t="n">
        <v>0</v>
      </c>
      <c r="N8" t="n">
        <v>2</v>
      </c>
      <c r="O8" s="19" t="n">
        <v>45782</v>
      </c>
      <c r="P8" s="30">
        <f>IF(Tabelle16[[#This Row],[Reactor '#]]=0,"BR300-2",IF(Tabelle16[[#This Row],[Reactor '#]]=1,"BR300-3",IF(Tabelle16[[#This Row],[Reactor '#]]=2,"BR300-4")))</f>
        <v/>
      </c>
      <c r="Q8" s="8" t="n">
        <v>57.037</v>
      </c>
      <c r="R8" s="21" t="n">
        <v>0.1612</v>
      </c>
      <c r="S8" s="24" t="n">
        <v>0.2888</v>
      </c>
      <c r="T8" s="21" t="n">
        <v>0.2775049</v>
      </c>
      <c r="U8">
        <f>0.0846+0.9069*Tabelle16[[#This Row],[Reaction yield (mass)]]</f>
        <v/>
      </c>
      <c r="V8" s="21">
        <f>Tabelle16[[#This Row],[Reaction yield (LOI)]]*Tabelle2!$C$31/(1+Tabelle2!$C$31*Tabelle16[[#This Row],[Reaction yield (LOI)]])</f>
        <v/>
      </c>
      <c r="W8" s="29">
        <f>50+Tabelle16[[#This Row],[CaO mass '[g']]]+Tabelle16[[#This Row],[CaCl2 mass per experiment]]</f>
        <v/>
      </c>
      <c r="X8" s="29" t="n">
        <v>0.2450752005644022</v>
      </c>
      <c r="Y8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8" t="inlineStr">
        <is>
          <t>NEW add. 9 Point sampling</t>
        </is>
      </c>
      <c r="AA8" s="19" t="n">
        <v>45777</v>
      </c>
      <c r="AC8" s="21" t="n"/>
    </row>
    <row r="9" ht="19" customHeight="1">
      <c r="A9" s="3" t="n">
        <v>390</v>
      </c>
      <c r="B9" s="3" t="n">
        <v>106.067122606195</v>
      </c>
      <c r="C9" s="3" t="n">
        <v>94.21800964293151</v>
      </c>
      <c r="D9" t="n">
        <v>0.599618916434221</v>
      </c>
      <c r="E9" s="20">
        <f>Tabelle2!$C$42/Tabelle2!$C$43*0.01*Tabelle16[[#This Row],[CaO_w]]*Tabelle2!$C$19</f>
        <v/>
      </c>
      <c r="F9" s="22" t="n">
        <v>0.417</v>
      </c>
      <c r="G9" t="n">
        <v>0.30937119987843</v>
      </c>
      <c r="H9" s="20">
        <f>Tabelle16[[#This Row],[CaCl2_w]]/Tabelle2!$C$43*Tabelle2!$C$36*Tabelle2!$C$19*0.01</f>
        <v/>
      </c>
      <c r="I9" s="22" t="n">
        <v>0.428</v>
      </c>
      <c r="J9" s="21">
        <f>(Tabelle16[[#This Row],[CaCl2_w]]+Tabelle16[[#This Row],[CaO_w]])/100</f>
        <v/>
      </c>
      <c r="K9" s="21">
        <f>(Tabelle16[[#This Row],[CaCl2 mass '[g']]]/(1/Tabelle2!$C$43*Tabelle2!$C$36*Tabelle2!$C$19*0.01)+Tabelle16[[#This Row],[CaO mass '[g']]]/(Tabelle2!$C$42/Tabelle2!$C$43*0.01*Tabelle2!$C$19))*0.01</f>
        <v/>
      </c>
      <c r="L9" s="24">
        <f>Tabelle16[[#This Row],[CaCl2 mass '[g']]]*Tabelle2!$C$28/(Tabelle2!$C$19*(1+Tabelle2!$C$29))*(2*Tabelle2!$C$44/Tabelle2!$C$36)</f>
        <v/>
      </c>
      <c r="M9" t="n">
        <v>0</v>
      </c>
      <c r="N9" t="n">
        <v>1</v>
      </c>
      <c r="O9" s="19" t="n">
        <v>45782</v>
      </c>
      <c r="P9" s="30">
        <f>IF(Tabelle16[[#This Row],[Reactor '#]]=0,"BR300-2",IF(Tabelle16[[#This Row],[Reactor '#]]=1,"BR300-3",IF(Tabelle16[[#This Row],[Reactor '#]]=2,"BR300-4")))</f>
        <v/>
      </c>
      <c r="Q9" s="8" t="n">
        <v>53.604</v>
      </c>
      <c r="R9" s="21" t="n">
        <v>0.1999</v>
      </c>
      <c r="S9" s="24" t="n">
        <v>0.1479</v>
      </c>
      <c r="T9" s="21" t="n">
        <v>0.21187305</v>
      </c>
      <c r="U9">
        <f>0.0846+0.9069*Tabelle16[[#This Row],[Reaction yield (mass)]]</f>
        <v/>
      </c>
      <c r="V9" s="21">
        <f>Tabelle16[[#This Row],[Reaction yield (LOI)]]*Tabelle2!$C$31/(1+Tabelle2!$C$31*Tabelle16[[#This Row],[Reaction yield (LOI)]])</f>
        <v/>
      </c>
      <c r="W9" s="29">
        <f>50+Tabelle16[[#This Row],[CaO mass '[g']]]+Tabelle16[[#This Row],[CaCl2 mass per experiment]]</f>
        <v/>
      </c>
      <c r="X9" s="29" t="n">
        <v>0.1950577790086805</v>
      </c>
      <c r="Y9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9" t="inlineStr">
        <is>
          <t>NEW add. 9 Point sampling</t>
        </is>
      </c>
      <c r="AA9" s="19" t="n">
        <v>45777</v>
      </c>
    </row>
    <row r="10" ht="19" customHeight="1">
      <c r="A10" s="3" t="n">
        <v>389</v>
      </c>
      <c r="B10" s="3" t="n">
        <v>128.736355765927</v>
      </c>
      <c r="C10" s="3" t="n">
        <v>49.172140581473</v>
      </c>
      <c r="D10" t="n">
        <v>0.359048117491159</v>
      </c>
      <c r="E10" s="20">
        <f>Tabelle2!$C$42/Tabelle2!$C$43*0.01*Tabelle16[[#This Row],[CaO_w]]*Tabelle2!$C$19</f>
        <v/>
      </c>
      <c r="F10" s="22" t="n">
        <v>0.252</v>
      </c>
      <c r="G10" t="n">
        <v>0.233475497947942</v>
      </c>
      <c r="H10" s="20">
        <f>Tabelle16[[#This Row],[CaCl2_w]]/Tabelle2!$C$43*Tabelle2!$C$36*Tabelle2!$C$19*0.01</f>
        <v/>
      </c>
      <c r="I10" s="22" t="n">
        <v>0.328</v>
      </c>
      <c r="J10" s="21">
        <f>(Tabelle16[[#This Row],[CaCl2_w]]+Tabelle16[[#This Row],[CaO_w]])/100</f>
        <v/>
      </c>
      <c r="K10" s="21">
        <f>(Tabelle16[[#This Row],[CaCl2 mass '[g']]]/(1/Tabelle2!$C$43*Tabelle2!$C$36*Tabelle2!$C$19*0.01)+Tabelle16[[#This Row],[CaO mass '[g']]]/(Tabelle2!$C$42/Tabelle2!$C$43*0.01*Tabelle2!$C$19))*0.01</f>
        <v/>
      </c>
      <c r="L10" s="24">
        <f>Tabelle16[[#This Row],[CaCl2 mass '[g']]]*Tabelle2!$C$28/(Tabelle2!$C$19*(1+Tabelle2!$C$29))*(2*Tabelle2!$C$44/Tabelle2!$C$36)</f>
        <v/>
      </c>
      <c r="M10" t="n">
        <v>0</v>
      </c>
      <c r="N10" t="n">
        <v>0</v>
      </c>
      <c r="O10" s="19" t="n">
        <v>45782</v>
      </c>
      <c r="P10" s="30">
        <f>IF(Tabelle16[[#This Row],[Reactor '#]]=0,"BR300-2",IF(Tabelle16[[#This Row],[Reactor '#]]=1,"BR300-3",IF(Tabelle16[[#This Row],[Reactor '#]]=2,"BR300-4")))</f>
        <v/>
      </c>
      <c r="Q10" s="8" t="n">
        <v>55.118</v>
      </c>
      <c r="R10" s="21" t="n">
        <v>0.2012</v>
      </c>
      <c r="S10" s="24" t="n">
        <v>0.21</v>
      </c>
      <c r="T10" s="21" t="n">
        <v>0.3465127</v>
      </c>
      <c r="U10">
        <f>0.0846+0.9069*Tabelle16[[#This Row],[Reaction yield (mass)]]</f>
        <v/>
      </c>
      <c r="V10" s="21">
        <f>Tabelle16[[#This Row],[Reaction yield (LOI)]]*Tabelle2!$C$31/(1+Tabelle2!$C$31*Tabelle16[[#This Row],[Reaction yield (LOI)]])</f>
        <v/>
      </c>
      <c r="W10" s="29">
        <f>50+Tabelle16[[#This Row],[CaO mass '[g']]]+Tabelle16[[#This Row],[CaCl2 mass per experiment]]</f>
        <v/>
      </c>
      <c r="X10" s="29" t="n">
        <v>0.3370442467499817</v>
      </c>
      <c r="Y10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0" t="inlineStr">
        <is>
          <t>NEW add. 9 Point sampling</t>
        </is>
      </c>
      <c r="AA10" s="19" t="n">
        <v>45777</v>
      </c>
    </row>
    <row r="11" ht="19" customHeight="1">
      <c r="A11" s="3" t="n">
        <v>382</v>
      </c>
      <c r="B11" s="3" t="n">
        <v>128.582132653504</v>
      </c>
      <c r="C11" s="3" t="n">
        <v>89.23848009746386</v>
      </c>
      <c r="D11" t="n">
        <v>0.5609004629869452</v>
      </c>
      <c r="E11" s="20">
        <f>Tabelle2!$C$42/Tabelle2!$C$43*0.01*Tabelle16[[#This Row],[CaO_w]]*Tabelle2!$C$19</f>
        <v/>
      </c>
      <c r="F11" s="22" t="n">
        <v>0.392</v>
      </c>
      <c r="G11" t="n">
        <v>0.3913884681989979</v>
      </c>
      <c r="H11" s="20">
        <f>Tabelle16[[#This Row],[CaCl2_w]]/Tabelle2!$C$43*Tabelle2!$C$36*Tabelle2!$C$19*0.01</f>
        <v/>
      </c>
      <c r="I11" s="22" t="n">
        <v>0.542</v>
      </c>
      <c r="J11" s="21">
        <f>(Tabelle16[[#This Row],[CaCl2_w]]+Tabelle16[[#This Row],[CaO_w]])/100</f>
        <v/>
      </c>
      <c r="K11" s="21">
        <f>(Tabelle16[[#This Row],[CaCl2 mass '[g']]]/(1/Tabelle2!$C$43*Tabelle2!$C$36*Tabelle2!$C$19*0.01)+Tabelle16[[#This Row],[CaO mass '[g']]]/(Tabelle2!$C$42/Tabelle2!$C$43*0.01*Tabelle2!$C$19))*0.01</f>
        <v/>
      </c>
      <c r="L11" s="24">
        <f>Tabelle16[[#This Row],[CaCl2 mass '[g']]]*Tabelle2!$C$28/(Tabelle2!$C$19*(1+Tabelle2!$C$29))*(2*Tabelle2!$C$44/Tabelle2!$C$36)</f>
        <v/>
      </c>
      <c r="M11" t="n">
        <v>0</v>
      </c>
      <c r="N11" t="n">
        <v>2</v>
      </c>
      <c r="O11" s="19" t="n">
        <v>45776</v>
      </c>
      <c r="P11" s="30">
        <f>IF(Tabelle16[[#This Row],[Reactor '#]]=0,"BR300-2",IF(Tabelle16[[#This Row],[Reactor '#]]=1,"BR300-3",IF(Tabelle16[[#This Row],[Reactor '#]]=2,"BR300-4")))</f>
        <v/>
      </c>
      <c r="Q11" s="8" t="n">
        <v>55.752</v>
      </c>
      <c r="R11" s="24" t="n">
        <v>0.192</v>
      </c>
      <c r="S11" s="24" t="n">
        <v>0.2361</v>
      </c>
      <c r="T11" s="21" t="n">
        <v>0.2987</v>
      </c>
      <c r="U11">
        <f>0.0846+0.9069*Tabelle16[[#This Row],[Reaction yield (mass)]]</f>
        <v/>
      </c>
      <c r="V11" s="21">
        <f>Tabelle16[[#This Row],[Reaction yield (LOI)]]*Tabelle2!$C$31/(1+Tabelle2!$C$31*Tabelle16[[#This Row],[Reaction yield (LOI)]])</f>
        <v/>
      </c>
      <c r="W11" s="29">
        <f>50+Tabelle16[[#This Row],[CaO mass '[g']]]+Tabelle16[[#This Row],[CaCl2 mass per experiment]]</f>
        <v/>
      </c>
      <c r="X11" s="29" t="n">
        <v>0.2828316869237796</v>
      </c>
      <c r="Y11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1" t="inlineStr">
        <is>
          <t>Sampling from 30 points with PSD</t>
        </is>
      </c>
      <c r="AA11" s="19" t="n">
        <v>45774</v>
      </c>
    </row>
    <row r="12" ht="19" customHeight="1">
      <c r="A12" s="3" t="n">
        <v>381</v>
      </c>
      <c r="B12" s="3" t="n">
        <v>194.5230323668147</v>
      </c>
      <c r="C12" s="3" t="n">
        <v>111.2720515927708</v>
      </c>
      <c r="D12" t="n">
        <v>0.8774673060357087</v>
      </c>
      <c r="E12" s="20">
        <f>Tabelle2!$C$42/Tabelle2!$C$43*0.01*Tabelle16[[#This Row],[CaO_w]]*Tabelle2!$C$19</f>
        <v/>
      </c>
      <c r="F12" s="22" t="n">
        <v>0.613</v>
      </c>
      <c r="G12" t="n">
        <v>0.2493563502555145</v>
      </c>
      <c r="H12" s="20">
        <f>Tabelle16[[#This Row],[CaCl2_w]]/Tabelle2!$C$43*Tabelle2!$C$36*Tabelle2!$C$19*0.01</f>
        <v/>
      </c>
      <c r="I12" s="22" t="n">
        <v>0.347</v>
      </c>
      <c r="J12" s="21">
        <f>(Tabelle16[[#This Row],[CaCl2_w]]+Tabelle16[[#This Row],[CaO_w]])/100</f>
        <v/>
      </c>
      <c r="K12" s="21">
        <f>(Tabelle16[[#This Row],[CaCl2 mass '[g']]]/(1/Tabelle2!$C$43*Tabelle2!$C$36*Tabelle2!$C$19*0.01)+Tabelle16[[#This Row],[CaO mass '[g']]]/(Tabelle2!$C$42/Tabelle2!$C$43*0.01*Tabelle2!$C$19))*0.01</f>
        <v/>
      </c>
      <c r="L12" s="24">
        <f>Tabelle16[[#This Row],[CaCl2 mass '[g']]]*Tabelle2!$C$28/(Tabelle2!$C$19*(1+Tabelle2!$C$29))*(2*Tabelle2!$C$44/Tabelle2!$C$36)</f>
        <v/>
      </c>
      <c r="M12" t="n">
        <v>0</v>
      </c>
      <c r="N12" t="n">
        <v>1</v>
      </c>
      <c r="O12" s="19" t="n">
        <v>45776</v>
      </c>
      <c r="P12" s="30">
        <f>IF(Tabelle16[[#This Row],[Reactor '#]]=0,"BR300-2",IF(Tabelle16[[#This Row],[Reactor '#]]=1,"BR300-3",IF(Tabelle16[[#This Row],[Reactor '#]]=2,"BR300-4")))</f>
        <v/>
      </c>
      <c r="Q12" s="8" t="n">
        <v>58.324</v>
      </c>
      <c r="R12" s="24" t="n">
        <v>0.1547</v>
      </c>
      <c r="S12" s="24" t="n">
        <v>0.3416</v>
      </c>
      <c r="T12" s="21" t="n">
        <v>0.3944</v>
      </c>
      <c r="U12">
        <f>0.0846+0.9069*Tabelle16[[#This Row],[Reaction yield (mass)]]</f>
        <v/>
      </c>
      <c r="V12" s="21">
        <f>Tabelle16[[#This Row],[Reaction yield (LOI)]]*Tabelle2!$C$31/(1+Tabelle2!$C$31*Tabelle16[[#This Row],[Reaction yield (LOI)]])</f>
        <v/>
      </c>
      <c r="W12" s="29">
        <f>50+Tabelle16[[#This Row],[CaO mass '[g']]]+Tabelle16[[#This Row],[CaCl2 mass per experiment]]</f>
        <v/>
      </c>
      <c r="X12" s="29" t="n">
        <v>0.3765663702221178</v>
      </c>
      <c r="Y12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2" t="inlineStr">
        <is>
          <t>Sampling from 30 points with PSD</t>
        </is>
      </c>
      <c r="AA12" s="19" t="n">
        <v>45774</v>
      </c>
    </row>
    <row r="13" ht="19" customHeight="1">
      <c r="A13" s="3" t="n">
        <v>380</v>
      </c>
      <c r="B13" s="3" t="n">
        <v>135.7194290512448</v>
      </c>
      <c r="C13" s="3" t="n">
        <v>138.3738624444177</v>
      </c>
      <c r="D13" t="n">
        <v>0.2355322709988796</v>
      </c>
      <c r="E13" s="20">
        <f>Tabelle2!$C$42/Tabelle2!$C$43*0.01*Tabelle16[[#This Row],[CaO_w]]*Tabelle2!$C$19</f>
        <v/>
      </c>
      <c r="F13" s="22" t="n">
        <v>0.164</v>
      </c>
      <c r="G13" t="n">
        <v>0.4354461245933116</v>
      </c>
      <c r="H13" s="20">
        <f>Tabelle16[[#This Row],[CaCl2_w]]/Tabelle2!$C$43*Tabelle2!$C$36*Tabelle2!$C$19*0.01</f>
        <v/>
      </c>
      <c r="I13" s="22" t="n">
        <v>0.606</v>
      </c>
      <c r="J13" s="21">
        <f>(Tabelle16[[#This Row],[CaCl2_w]]+Tabelle16[[#This Row],[CaO_w]])/100</f>
        <v/>
      </c>
      <c r="K13" s="21">
        <f>(Tabelle16[[#This Row],[CaCl2 mass '[g']]]/(1/Tabelle2!$C$43*Tabelle2!$C$36*Tabelle2!$C$19*0.01)+Tabelle16[[#This Row],[CaO mass '[g']]]/(Tabelle2!$C$42/Tabelle2!$C$43*0.01*Tabelle2!$C$19))*0.01</f>
        <v/>
      </c>
      <c r="L13" s="24">
        <f>Tabelle16[[#This Row],[CaCl2 mass '[g']]]*Tabelle2!$C$28/(Tabelle2!$C$19*(1+Tabelle2!$C$29))*(2*Tabelle2!$C$44/Tabelle2!$C$36)</f>
        <v/>
      </c>
      <c r="M13" t="n">
        <v>0</v>
      </c>
      <c r="N13" t="n">
        <v>0</v>
      </c>
      <c r="O13" s="19" t="n">
        <v>45776</v>
      </c>
      <c r="P13" s="30">
        <f>IF(Tabelle16[[#This Row],[Reactor '#]]=0,"BR300-2",IF(Tabelle16[[#This Row],[Reactor '#]]=1,"BR300-3",IF(Tabelle16[[#This Row],[Reactor '#]]=2,"BR300-4")))</f>
        <v/>
      </c>
      <c r="Q13" s="8" t="n">
        <v>58.807</v>
      </c>
      <c r="R13" s="24" t="n">
        <v>0.1832</v>
      </c>
      <c r="S13" s="24" t="n">
        <v>0.3614</v>
      </c>
      <c r="T13" s="21" t="n">
        <v>0.4123</v>
      </c>
      <c r="U13">
        <f>0.0846+0.9069*Tabelle16[[#This Row],[Reaction yield (mass)]]</f>
        <v/>
      </c>
      <c r="V13" s="21">
        <f>Tabelle16[[#This Row],[Reaction yield (LOI)]]*Tabelle2!$C$31/(1+Tabelle2!$C$31*Tabelle16[[#This Row],[Reaction yield (LOI)]])</f>
        <v/>
      </c>
      <c r="W13" s="29">
        <f>50+Tabelle16[[#This Row],[CaO mass '[g']]]+Tabelle16[[#This Row],[CaCl2 mass per experiment]]</f>
        <v/>
      </c>
      <c r="X13" s="29" t="n">
        <v>0.4034788318742614</v>
      </c>
      <c r="Y13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3" t="inlineStr">
        <is>
          <t>Sampling from 30 points with PSD</t>
        </is>
      </c>
      <c r="AA13" s="19" t="n">
        <v>45774</v>
      </c>
    </row>
    <row r="14" ht="19" customHeight="1">
      <c r="A14" s="3" t="n">
        <v>379</v>
      </c>
      <c r="B14" s="3" t="n">
        <v>167.1901565937721</v>
      </c>
      <c r="C14" s="3" t="n">
        <v>40.6657120697186</v>
      </c>
      <c r="D14" t="n">
        <v>0.299873148760247</v>
      </c>
      <c r="E14" s="20">
        <f>Tabelle2!$C$42/Tabelle2!$C$43*0.01*Tabelle16[[#This Row],[CaO_w]]*Tabelle2!$C$19</f>
        <v/>
      </c>
      <c r="F14" s="22" t="n">
        <v>0.212</v>
      </c>
      <c r="G14" t="n">
        <v>0.336453353531038</v>
      </c>
      <c r="H14" s="20">
        <f>Tabelle16[[#This Row],[CaCl2_w]]/Tabelle2!$C$43*Tabelle2!$C$36*Tabelle2!$C$19*0.01</f>
        <v/>
      </c>
      <c r="I14" s="22" t="n">
        <v>0.467</v>
      </c>
      <c r="J14" s="21">
        <f>(Tabelle16[[#This Row],[CaCl2_w]]+Tabelle16[[#This Row],[CaO_w]])/100</f>
        <v/>
      </c>
      <c r="K14" s="21">
        <f>(Tabelle16[[#This Row],[CaCl2 mass '[g']]]/(1/Tabelle2!$C$43*Tabelle2!$C$36*Tabelle2!$C$19*0.01)+Tabelle16[[#This Row],[CaO mass '[g']]]/(Tabelle2!$C$42/Tabelle2!$C$43*0.01*Tabelle2!$C$19))*0.01</f>
        <v/>
      </c>
      <c r="L14" s="24">
        <f>Tabelle16[[#This Row],[CaCl2 mass '[g']]]*Tabelle2!$C$28/(Tabelle2!$C$19*(1+Tabelle2!$C$29))*(2*Tabelle2!$C$44/Tabelle2!$C$36)</f>
        <v/>
      </c>
      <c r="M14" t="n">
        <v>0</v>
      </c>
      <c r="N14" t="n">
        <v>2</v>
      </c>
      <c r="O14" s="19" t="n">
        <v>45775</v>
      </c>
      <c r="P14" s="30">
        <f>IF(Tabelle16[[#This Row],[Reactor '#]]=0,"BR300-2",IF(Tabelle16[[#This Row],[Reactor '#]]=1,"BR300-3",IF(Tabelle16[[#This Row],[Reactor '#]]=2,"BR300-4")))</f>
        <v/>
      </c>
      <c r="Q14" s="8" t="n">
        <v>57.115</v>
      </c>
      <c r="R14" s="24" t="n">
        <v>0.1475</v>
      </c>
      <c r="S14" s="24" t="n">
        <v>0.292</v>
      </c>
      <c r="T14" s="21" t="n">
        <v>0.3252</v>
      </c>
      <c r="U14">
        <f>0.0846+0.9069*Tabelle16[[#This Row],[Reaction yield (mass)]]</f>
        <v/>
      </c>
      <c r="V14" s="21">
        <f>Tabelle16[[#This Row],[Reaction yield (LOI)]]*Tabelle2!$C$31/(1+Tabelle2!$C$31*Tabelle16[[#This Row],[Reaction yield (LOI)]])</f>
        <v/>
      </c>
      <c r="W14" s="29">
        <f>50+Tabelle16[[#This Row],[CaO mass '[g']]]+Tabelle16[[#This Row],[CaCl2 mass per experiment]]</f>
        <v/>
      </c>
      <c r="X14" s="29" t="n">
        <v>0.3151797159176661</v>
      </c>
      <c r="Y14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4" t="inlineStr">
        <is>
          <t>Sampling from 30 points with PSD</t>
        </is>
      </c>
      <c r="AA14" s="19" t="n">
        <v>45774</v>
      </c>
    </row>
    <row r="15" ht="19" customHeight="1">
      <c r="A15" s="3" t="n">
        <v>378</v>
      </c>
      <c r="B15" s="3" t="n">
        <v>102.8122794351714</v>
      </c>
      <c r="C15" s="3" t="n">
        <v>54.0767361988398</v>
      </c>
      <c r="D15" t="n">
        <v>1.215493106071189</v>
      </c>
      <c r="E15" s="20">
        <f>Tabelle2!$C$42/Tabelle2!$C$43*0.01*Tabelle16[[#This Row],[CaO_w]]*Tabelle2!$C$19</f>
        <v/>
      </c>
      <c r="F15" s="22" t="n">
        <v>0.855</v>
      </c>
      <c r="G15" t="n">
        <v>0.2969591796530708</v>
      </c>
      <c r="H15" s="20">
        <f>Tabelle16[[#This Row],[CaCl2_w]]/Tabelle2!$C$43*Tabelle2!$C$36*Tabelle2!$C$19*0.01</f>
        <v/>
      </c>
      <c r="I15" s="22" t="n">
        <v>0.433</v>
      </c>
      <c r="J15" s="21">
        <f>(Tabelle16[[#This Row],[CaCl2_w]]+Tabelle16[[#This Row],[CaO_w]])/100</f>
        <v/>
      </c>
      <c r="K15" s="21">
        <f>(Tabelle16[[#This Row],[CaCl2 mass '[g']]]/(1/Tabelle2!$C$43*Tabelle2!$C$36*Tabelle2!$C$19*0.01)+Tabelle16[[#This Row],[CaO mass '[g']]]/(Tabelle2!$C$42/Tabelle2!$C$43*0.01*Tabelle2!$C$19))*0.01</f>
        <v/>
      </c>
      <c r="L15" s="24">
        <f>Tabelle16[[#This Row],[CaCl2 mass '[g']]]*Tabelle2!$C$28/(Tabelle2!$C$19*(1+Tabelle2!$C$29))*(2*Tabelle2!$C$44/Tabelle2!$C$36)</f>
        <v/>
      </c>
      <c r="M15" t="n">
        <v>0</v>
      </c>
      <c r="N15" t="n">
        <v>1</v>
      </c>
      <c r="O15" s="19" t="n">
        <v>45775</v>
      </c>
      <c r="P15" s="30">
        <f>IF(Tabelle16[[#This Row],[Reactor '#]]=0,"BR300-2",IF(Tabelle16[[#This Row],[Reactor '#]]=1,"BR300-3",IF(Tabelle16[[#This Row],[Reactor '#]]=2,"BR300-4")))</f>
        <v/>
      </c>
      <c r="Q15" s="8" t="n">
        <v>55.09</v>
      </c>
      <c r="R15" s="24" t="n">
        <v>0.2349</v>
      </c>
      <c r="S15" s="24" t="n">
        <v>0.2089</v>
      </c>
      <c r="T15" s="21" t="n">
        <v>0.2505</v>
      </c>
      <c r="U15">
        <f>0.0846+0.9069*Tabelle16[[#This Row],[Reaction yield (mass)]]</f>
        <v/>
      </c>
      <c r="V15" s="21">
        <f>Tabelle16[[#This Row],[Reaction yield (LOI)]]*Tabelle2!$C$31/(1+Tabelle2!$C$31*Tabelle16[[#This Row],[Reaction yield (LOI)]])</f>
        <v/>
      </c>
      <c r="W15" s="29">
        <f>50+Tabelle16[[#This Row],[CaO mass '[g']]]+Tabelle16[[#This Row],[CaCl2 mass per experiment]]</f>
        <v/>
      </c>
      <c r="X15" s="29" t="n">
        <v>0.2222565809858955</v>
      </c>
      <c r="Y15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5" t="inlineStr">
        <is>
          <t>Sampling from 30 points with PSD</t>
        </is>
      </c>
      <c r="AA15" s="19" t="n">
        <v>45774</v>
      </c>
    </row>
    <row r="16" ht="19" customHeight="1">
      <c r="A16" s="3" t="n">
        <v>377</v>
      </c>
      <c r="B16" s="3" t="n">
        <v>107.1127360402414</v>
      </c>
      <c r="C16" s="3" t="n">
        <v>163.2431056250521</v>
      </c>
      <c r="D16" t="n">
        <v>1.82402163978071</v>
      </c>
      <c r="E16" s="20">
        <f>Tabelle2!$C$42/Tabelle2!$C$43*0.01*Tabelle16[[#This Row],[CaO_w]]*Tabelle2!$C$19</f>
        <v/>
      </c>
      <c r="F16" s="22" t="n">
        <v>1.277</v>
      </c>
      <c r="G16" t="n">
        <v>0.05158066843362354</v>
      </c>
      <c r="H16" s="20">
        <f>Tabelle16[[#This Row],[CaCl2_w]]/Tabelle2!$C$43*Tabelle2!$C$36*Tabelle2!$C$19*0.01</f>
        <v/>
      </c>
      <c r="I16" s="22" t="n">
        <v>0.078</v>
      </c>
      <c r="J16" s="21">
        <f>(Tabelle16[[#This Row],[CaCl2_w]]+Tabelle16[[#This Row],[CaO_w]])/100</f>
        <v/>
      </c>
      <c r="K16" s="21">
        <f>(Tabelle16[[#This Row],[CaCl2 mass '[g']]]/(1/Tabelle2!$C$43*Tabelle2!$C$36*Tabelle2!$C$19*0.01)+Tabelle16[[#This Row],[CaO mass '[g']]]/(Tabelle2!$C$42/Tabelle2!$C$43*0.01*Tabelle2!$C$19))*0.01</f>
        <v/>
      </c>
      <c r="L16" s="24">
        <f>Tabelle16[[#This Row],[CaCl2 mass '[g']]]*Tabelle2!$C$28/(Tabelle2!$C$19*(1+Tabelle2!$C$29))*(2*Tabelle2!$C$44/Tabelle2!$C$36)</f>
        <v/>
      </c>
      <c r="M16" t="n">
        <v>0</v>
      </c>
      <c r="N16" t="n">
        <v>0</v>
      </c>
      <c r="O16" s="19" t="n">
        <v>45775</v>
      </c>
      <c r="P16" s="30">
        <f>IF(Tabelle16[[#This Row],[Reactor '#]]=0,"BR300-2",IF(Tabelle16[[#This Row],[Reactor '#]]=1,"BR300-3",IF(Tabelle16[[#This Row],[Reactor '#]]=2,"BR300-4")))</f>
        <v/>
      </c>
      <c r="Q16" s="8" t="n">
        <v>59.035</v>
      </c>
      <c r="R16" s="25" t="n">
        <v>20.22</v>
      </c>
      <c r="S16" s="24" t="n">
        <v>0.3708</v>
      </c>
      <c r="T16" s="21" t="n">
        <v>0.3282</v>
      </c>
      <c r="U16">
        <f>0.0846+0.9069*Tabelle16[[#This Row],[Reaction yield (mass)]]</f>
        <v/>
      </c>
      <c r="V16" s="21">
        <f>Tabelle16[[#This Row],[Reaction yield (LOI)]]*Tabelle2!$C$31/(1+Tabelle2!$C$31*Tabelle16[[#This Row],[Reaction yield (LOI)]])</f>
        <v/>
      </c>
      <c r="W16" s="29">
        <f>50+Tabelle16[[#This Row],[CaO mass '[g']]]+Tabelle16[[#This Row],[CaCl2 mass per experiment]]</f>
        <v/>
      </c>
      <c r="X16" s="29" t="n">
        <v>0.2946489796657853</v>
      </c>
      <c r="Y16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6" t="inlineStr">
        <is>
          <t>Sampling from 30 points with PSD</t>
        </is>
      </c>
      <c r="AA16" s="19" t="n">
        <v>45774</v>
      </c>
    </row>
    <row r="17" ht="19" customHeight="1">
      <c r="A17" s="3" t="n">
        <v>373</v>
      </c>
      <c r="B17" s="3" t="n">
        <v>180</v>
      </c>
      <c r="C17" s="3" t="n">
        <v>180</v>
      </c>
      <c r="D17" t="n">
        <v>0</v>
      </c>
      <c r="E17" s="20">
        <f>Tabelle2!$C$42/Tabelle2!$C$43*0.01*Tabelle16[[#This Row],[CaO_w]]*Tabelle2!$C$19</f>
        <v/>
      </c>
      <c r="F17" s="22" t="n">
        <v>0</v>
      </c>
      <c r="G17" t="n">
        <v>0</v>
      </c>
      <c r="H17" s="20">
        <f>Tabelle16[[#This Row],[CaCl2_w]]/Tabelle2!$C$43*Tabelle2!$C$36*Tabelle2!$C$19*0.01</f>
        <v/>
      </c>
      <c r="I17" s="22" t="n">
        <v>0</v>
      </c>
      <c r="J17" s="21">
        <f>(Tabelle16[[#This Row],[CaCl2_w]]+Tabelle16[[#This Row],[CaO_w]])/100</f>
        <v/>
      </c>
      <c r="K17" s="21">
        <f>(Tabelle16[[#This Row],[CaCl2 mass '[g']]]/(1/Tabelle2!$C$43*Tabelle2!$C$36*Tabelle2!$C$19*0.01)+Tabelle16[[#This Row],[CaO mass '[g']]]/(Tabelle2!$C$42/Tabelle2!$C$43*0.01*Tabelle2!$C$19))*0.01</f>
        <v/>
      </c>
      <c r="L17" s="24">
        <f>Tabelle16[[#This Row],[CaCl2 mass '[g']]]*Tabelle2!$C$28/(Tabelle2!$C$19*(1+Tabelle2!$C$29))*(2*Tabelle2!$C$44/Tabelle2!$C$36)</f>
        <v/>
      </c>
      <c r="M17" t="n">
        <v>0</v>
      </c>
      <c r="N17" t="n">
        <v>1</v>
      </c>
      <c r="O17" s="19" t="n">
        <v>45771</v>
      </c>
      <c r="P17" s="30">
        <f>IF(Tabelle16[[#This Row],[Reactor '#]]=0,"BR300-2",IF(Tabelle16[[#This Row],[Reactor '#]]=1,"BR300-3",IF(Tabelle16[[#This Row],[Reactor '#]]=2,"BR300-4")))</f>
        <v/>
      </c>
      <c r="Q17" s="8" t="n">
        <v>56.606</v>
      </c>
      <c r="R17" s="24" t="n">
        <v>0.1424</v>
      </c>
      <c r="S17" s="24" t="n">
        <v>0.2709</v>
      </c>
      <c r="T17" s="27" t="n">
        <v>0.2536</v>
      </c>
      <c r="U17">
        <f>0.0846+0.9069*Tabelle16[[#This Row],[Reaction yield (mass)]]</f>
        <v/>
      </c>
      <c r="V17" s="21">
        <f>Tabelle16[[#This Row],[Reaction yield (LOI)]]*Tabelle2!$C$31/(1+Tabelle2!$C$31*Tabelle16[[#This Row],[Reaction yield (LOI)]])</f>
        <v/>
      </c>
      <c r="W17" s="29">
        <f>50+Tabelle16[[#This Row],[CaO mass '[g']]]+Tabelle16[[#This Row],[CaCl2 mass per experiment]]</f>
        <v/>
      </c>
      <c r="X17" s="29" t="n">
        <v>0.2536</v>
      </c>
      <c r="Y17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7" t="inlineStr">
        <is>
          <t>Screening experiements</t>
        </is>
      </c>
      <c r="AA17" t="inlineStr">
        <is>
          <t>-</t>
        </is>
      </c>
    </row>
    <row r="18" ht="19" customHeight="1">
      <c r="A18" s="3" t="n">
        <v>371</v>
      </c>
      <c r="B18" s="3" t="n">
        <v>180</v>
      </c>
      <c r="C18" s="3" t="n">
        <v>180</v>
      </c>
      <c r="D18" t="n">
        <v>1</v>
      </c>
      <c r="E18" s="20">
        <f>Tabelle2!$C$42/Tabelle2!$C$43*0.01*Tabelle16[[#This Row],[CaO_w]]*Tabelle2!$C$19</f>
        <v/>
      </c>
      <c r="F18" s="22" t="n">
        <v>0.702</v>
      </c>
      <c r="G18" t="n">
        <v>0.2</v>
      </c>
      <c r="H18" s="20">
        <f>Tabelle16[[#This Row],[CaCl2_w]]/Tabelle2!$C$43*Tabelle2!$C$36*Tabelle2!$C$19*0.01</f>
        <v/>
      </c>
      <c r="I18" s="22" t="n">
        <v>0.278</v>
      </c>
      <c r="J18" s="21">
        <f>(Tabelle16[[#This Row],[CaCl2_w]]+Tabelle16[[#This Row],[CaO_w]])/100</f>
        <v/>
      </c>
      <c r="K18" s="21">
        <f>(Tabelle16[[#This Row],[CaCl2 mass '[g']]]/(1/Tabelle2!$C$43*Tabelle2!$C$36*Tabelle2!$C$19*0.01)+Tabelle16[[#This Row],[CaO mass '[g']]]/(Tabelle2!$C$42/Tabelle2!$C$43*0.01*Tabelle2!$C$19))*0.01</f>
        <v/>
      </c>
      <c r="L18" s="24">
        <f>Tabelle16[[#This Row],[CaCl2 mass '[g']]]*Tabelle2!$C$28/(Tabelle2!$C$19*(1+Tabelle2!$C$29))*(2*Tabelle2!$C$44/Tabelle2!$C$36)</f>
        <v/>
      </c>
      <c r="M18" t="n">
        <v>0</v>
      </c>
      <c r="N18" t="n">
        <v>0</v>
      </c>
      <c r="O18" s="19" t="n">
        <v>45771</v>
      </c>
      <c r="P18" s="30">
        <f>IF(Tabelle16[[#This Row],[Reactor '#]]=0,"BR300-2",IF(Tabelle16[[#This Row],[Reactor '#]]=1,"BR300-3",IF(Tabelle16[[#This Row],[Reactor '#]]=2,"BR300-4")))</f>
        <v/>
      </c>
      <c r="Q18" s="8" t="n">
        <v>60.277</v>
      </c>
      <c r="R18" s="24" t="n">
        <v>0.1628</v>
      </c>
      <c r="S18" s="24" t="n">
        <v>0.4217</v>
      </c>
      <c r="T18" s="21" t="n">
        <v>0.4398</v>
      </c>
      <c r="U18">
        <f>0.0846+0.9069*Tabelle16[[#This Row],[Reaction yield (mass)]]</f>
        <v/>
      </c>
      <c r="V18" s="21">
        <f>Tabelle16[[#This Row],[Reaction yield (LOI)]]*Tabelle2!$C$31/(1+Tabelle2!$C$31*Tabelle16[[#This Row],[Reaction yield (LOI)]])</f>
        <v/>
      </c>
      <c r="W18" s="29">
        <f>50+Tabelle16[[#This Row],[CaO mass '[g']]]+Tabelle16[[#This Row],[CaCl2 mass per experiment]]</f>
        <v/>
      </c>
      <c r="X18" s="29" t="n">
        <v>0.4212744653175526</v>
      </c>
      <c r="Y18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8" t="inlineStr">
        <is>
          <t>Screening experiements</t>
        </is>
      </c>
      <c r="AA18" t="inlineStr">
        <is>
          <t>-</t>
        </is>
      </c>
    </row>
    <row r="19" ht="19" customHeight="1">
      <c r="A19" s="3" t="n">
        <v>370</v>
      </c>
      <c r="B19" s="3" t="n">
        <v>180</v>
      </c>
      <c r="C19" s="3" t="n">
        <v>180</v>
      </c>
      <c r="D19" t="n">
        <v>0</v>
      </c>
      <c r="E19" s="20">
        <f>Tabelle2!$C$42/Tabelle2!$C$43*0.01*Tabelle16[[#This Row],[CaO_w]]*Tabelle2!$C$19</f>
        <v/>
      </c>
      <c r="F19" s="22" t="n">
        <v>0</v>
      </c>
      <c r="G19" t="n">
        <v>0</v>
      </c>
      <c r="H19" s="20">
        <f>Tabelle16[[#This Row],[CaCl2_w]]/Tabelle2!$C$43*Tabelle2!$C$36*Tabelle2!$C$19*0.01</f>
        <v/>
      </c>
      <c r="I19" s="22" t="n">
        <v>0</v>
      </c>
      <c r="J19" s="21">
        <f>(Tabelle16[[#This Row],[CaCl2_w]]+Tabelle16[[#This Row],[CaO_w]])/100</f>
        <v/>
      </c>
      <c r="K19" s="21">
        <f>(Tabelle16[[#This Row],[CaCl2 mass '[g']]]/(1/Tabelle2!$C$43*Tabelle2!$C$36*Tabelle2!$C$19*0.01)+Tabelle16[[#This Row],[CaO mass '[g']]]/(Tabelle2!$C$42/Tabelle2!$C$43*0.01*Tabelle2!$C$19))*0.01</f>
        <v/>
      </c>
      <c r="L19" s="24">
        <f>Tabelle16[[#This Row],[CaCl2 mass '[g']]]*Tabelle2!$C$28/(Tabelle2!$C$19*(1+Tabelle2!$C$29))*(2*Tabelle2!$C$44/Tabelle2!$C$36)</f>
        <v/>
      </c>
      <c r="M19" t="n">
        <v>0</v>
      </c>
      <c r="N19" t="n">
        <v>2</v>
      </c>
      <c r="O19" s="19" t="n">
        <v>45769</v>
      </c>
      <c r="P19" s="30">
        <f>IF(Tabelle16[[#This Row],[Reactor '#]]=0,"BR300-2",IF(Tabelle16[[#This Row],[Reactor '#]]=1,"BR300-3",IF(Tabelle16[[#This Row],[Reactor '#]]=2,"BR300-4")))</f>
        <v/>
      </c>
      <c r="Q19" s="8" t="n">
        <v>84.892</v>
      </c>
      <c r="R19" s="24" t="n">
        <v>0.2926</v>
      </c>
      <c r="S19" s="24" t="n">
        <v>0.2706</v>
      </c>
      <c r="T19" s="27" t="n">
        <v>0.3107</v>
      </c>
      <c r="U19">
        <f>0.0846+0.9069*Tabelle16[[#This Row],[Reaction yield (mass)]]</f>
        <v/>
      </c>
      <c r="V19" s="21">
        <f>Tabelle16[[#This Row],[Reaction yield (LOI)]]*Tabelle2!$C$31/(1+Tabelle2!$C$31*Tabelle16[[#This Row],[Reaction yield (LOI)]])</f>
        <v/>
      </c>
      <c r="W19" s="29">
        <f>50+Tabelle16[[#This Row],[CaO mass '[g']]]+Tabelle16[[#This Row],[CaCl2 mass per experiment]]</f>
        <v/>
      </c>
      <c r="X19" s="29" t="n">
        <v>0.3106999999999997</v>
      </c>
      <c r="Y19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19" t="inlineStr">
        <is>
          <t>Screening experiements</t>
        </is>
      </c>
      <c r="AA19" t="inlineStr">
        <is>
          <t>-</t>
        </is>
      </c>
    </row>
    <row r="20" ht="19" customHeight="1">
      <c r="A20" s="3" t="n">
        <v>366</v>
      </c>
      <c r="B20" s="3" t="n">
        <v>180</v>
      </c>
      <c r="C20" s="3" t="n">
        <v>180</v>
      </c>
      <c r="D20" t="n">
        <v>1</v>
      </c>
      <c r="E20" s="20">
        <f>Tabelle2!$C$42/Tabelle2!$C$43*0.01*Tabelle16[[#This Row],[CaO_w]]*Tabelle2!$C$19</f>
        <v/>
      </c>
      <c r="F20" s="22" t="n">
        <v>0.699</v>
      </c>
      <c r="G20" t="n">
        <v>0</v>
      </c>
      <c r="H20" s="20">
        <f>Tabelle16[[#This Row],[CaCl2_w]]/Tabelle2!$C$43*Tabelle2!$C$36*Tabelle2!$C$19*0.01</f>
        <v/>
      </c>
      <c r="I20" s="22" t="n">
        <v>0</v>
      </c>
      <c r="J20" s="21">
        <f>(Tabelle16[[#This Row],[CaCl2_w]]+Tabelle16[[#This Row],[CaO_w]])/100</f>
        <v/>
      </c>
      <c r="K20" s="21">
        <f>(Tabelle16[[#This Row],[CaCl2 mass '[g']]]/(1/Tabelle2!$C$43*Tabelle2!$C$36*Tabelle2!$C$19*0.01)+Tabelle16[[#This Row],[CaO mass '[g']]]/(Tabelle2!$C$42/Tabelle2!$C$43*0.01*Tabelle2!$C$19))*0.01</f>
        <v/>
      </c>
      <c r="L20" s="24">
        <f>Tabelle16[[#This Row],[CaCl2 mass '[g']]]*Tabelle2!$C$28/(Tabelle2!$C$19*(1+Tabelle2!$C$29))*(2*Tabelle2!$C$44/Tabelle2!$C$36)</f>
        <v/>
      </c>
      <c r="M20" t="n">
        <v>0</v>
      </c>
      <c r="N20" t="n">
        <v>1</v>
      </c>
      <c r="O20" s="19" t="n">
        <v>45764</v>
      </c>
      <c r="P20" s="30">
        <f>IF(Tabelle16[[#This Row],[Reactor '#]]=0,"BR300-2",IF(Tabelle16[[#This Row],[Reactor '#]]=1,"BR300-3",IF(Tabelle16[[#This Row],[Reactor '#]]=2,"BR300-4")))</f>
        <v/>
      </c>
      <c r="Q20" s="8" t="n">
        <v>91.089</v>
      </c>
      <c r="R20" s="24" t="n">
        <v>0.2594</v>
      </c>
      <c r="S20" s="24" t="n">
        <v>0.4402</v>
      </c>
      <c r="T20" s="21" t="n">
        <v>0.477</v>
      </c>
      <c r="U20">
        <f>0.0846+0.9069*Tabelle16[[#This Row],[Reaction yield (mass)]]</f>
        <v/>
      </c>
      <c r="V20" s="21">
        <f>Tabelle16[[#This Row],[Reaction yield (LOI)]]*Tabelle2!$C$31/(1+Tabelle2!$C$31*Tabelle16[[#This Row],[Reaction yield (LOI)]])</f>
        <v/>
      </c>
      <c r="W20" s="29">
        <f>50+Tabelle16[[#This Row],[CaO mass '[g']]]+Tabelle16[[#This Row],[CaCl2 mass per experiment]]</f>
        <v/>
      </c>
      <c r="X20" s="29" t="n">
        <v>0.4611534426800205</v>
      </c>
      <c r="Y20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20" t="inlineStr">
        <is>
          <t>Screening experiements</t>
        </is>
      </c>
      <c r="AA20" t="inlineStr">
        <is>
          <t>-</t>
        </is>
      </c>
    </row>
    <row r="21" ht="19" customHeight="1">
      <c r="A21" s="3" t="n">
        <v>362</v>
      </c>
      <c r="B21" s="3" t="n">
        <v>180</v>
      </c>
      <c r="C21" s="3" t="n">
        <v>180</v>
      </c>
      <c r="D21" t="n">
        <v>0</v>
      </c>
      <c r="E21" s="20">
        <f>Tabelle2!$C$42/Tabelle2!$C$43*0.01*Tabelle16[[#This Row],[CaO_w]]*Tabelle2!$C$19</f>
        <v/>
      </c>
      <c r="F21" s="22" t="n">
        <v>0</v>
      </c>
      <c r="G21" t="n">
        <v>0</v>
      </c>
      <c r="H21" s="20">
        <f>Tabelle16[[#This Row],[CaCl2_w]]/Tabelle2!$C$43*Tabelle2!$C$36*Tabelle2!$C$19*0.01</f>
        <v/>
      </c>
      <c r="I21" s="22" t="n">
        <v>0</v>
      </c>
      <c r="J21" s="21">
        <f>(Tabelle16[[#This Row],[CaCl2_w]]+Tabelle16[[#This Row],[CaO_w]])/100</f>
        <v/>
      </c>
      <c r="K21" s="21">
        <f>(Tabelle16[[#This Row],[CaCl2 mass '[g']]]/(1/Tabelle2!$C$43*Tabelle2!$C$36*Tabelle2!$C$19*0.01)+Tabelle16[[#This Row],[CaO mass '[g']]]/(Tabelle2!$C$42/Tabelle2!$C$43*0.01*Tabelle2!$C$19))*0.01</f>
        <v/>
      </c>
      <c r="L21" s="24">
        <f>Tabelle16[[#This Row],[CaCl2 mass '[g']]]*Tabelle2!$C$28/(Tabelle2!$C$19*(1+Tabelle2!$C$29))*(2*Tabelle2!$C$44/Tabelle2!$C$36)</f>
        <v/>
      </c>
      <c r="M21" t="n">
        <v>0</v>
      </c>
      <c r="N21" t="n">
        <v>0</v>
      </c>
      <c r="O21" s="19" t="n">
        <v>45763</v>
      </c>
      <c r="P21" s="30">
        <f>IF(Tabelle16[[#This Row],[Reactor '#]]=0,"BR300-2",IF(Tabelle16[[#This Row],[Reactor '#]]=1,"BR300-3",IF(Tabelle16[[#This Row],[Reactor '#]]=2,"BR300-4")))</f>
        <v/>
      </c>
      <c r="Q21" s="8" t="n">
        <v>83.31100000000001</v>
      </c>
      <c r="R21" s="24" t="n">
        <v>0.2214</v>
      </c>
      <c r="S21" s="24" t="n">
        <v>0.2274</v>
      </c>
      <c r="T21" s="27" t="n">
        <v>0.2695</v>
      </c>
      <c r="U21">
        <f>0.0846+0.9069*Tabelle16[[#This Row],[Reaction yield (mass)]]</f>
        <v/>
      </c>
      <c r="V21" s="21">
        <f>Tabelle16[[#This Row],[Reaction yield (LOI)]]*Tabelle2!$C$31/(1+Tabelle2!$C$31*Tabelle16[[#This Row],[Reaction yield (LOI)]])</f>
        <v/>
      </c>
      <c r="W21" s="29">
        <f>50+Tabelle16[[#This Row],[CaO mass '[g']]]+Tabelle16[[#This Row],[CaCl2 mass per experiment]]</f>
        <v/>
      </c>
      <c r="X21" s="29" t="n">
        <v>0.2694999999999999</v>
      </c>
      <c r="Y21" s="21">
        <f>(((1-Tabelle16[[#This Row],[LOI result]])/(Tabelle16[[#This Row],[Total mass]]))^(-1)-Tabelle16[[#This Row],[Total mass]]-Tabelle16[[#This Row],[CaO mass '[g']]]*Tabelle2!$C$51-Tabelle16[[#This Row],[CaCl2 mass '[g']]]*Tabelle2!$C$52)/50/Tabelle2!$C$31</f>
        <v/>
      </c>
      <c r="Z21" t="inlineStr">
        <is>
          <t>Screening experiements</t>
        </is>
      </c>
      <c r="AA21" t="inlineStr">
        <is>
          <t>-</t>
        </is>
      </c>
    </row>
    <row r="22" ht="19" customHeight="1">
      <c r="A22" s="3" t="n">
        <v>135.6511</v>
      </c>
      <c r="B22" s="3" t="n">
        <v>180</v>
      </c>
      <c r="C22" s="3" t="n"/>
      <c r="D22" t="n">
        <v>0.6644</v>
      </c>
      <c r="E22" s="20" t="n"/>
      <c r="F22" s="22" t="n"/>
      <c r="G22" t="n">
        <v>0.4357</v>
      </c>
      <c r="H22" s="20" t="n"/>
      <c r="I22" s="22" t="n"/>
      <c r="J22" s="21" t="n"/>
      <c r="K22" s="21" t="n"/>
      <c r="L22" s="24" t="n"/>
      <c r="P22" s="30" t="n"/>
      <c r="R22" s="25" t="n"/>
      <c r="S22" s="25" t="n"/>
      <c r="T22" t="n">
        <v>0.495617</v>
      </c>
      <c r="U22" t="inlineStr">
        <is>
          <t>BO sampling from 20 pts using LOI</t>
        </is>
      </c>
      <c r="V22" s="21" t="inlineStr">
        <is>
          <t>07.05.25</t>
        </is>
      </c>
      <c r="W22" s="29" t="n"/>
      <c r="X22" s="29" t="n"/>
      <c r="Y22" s="21" t="n"/>
    </row>
    <row r="23" ht="19" customHeight="1">
      <c r="A23" s="3" t="n">
        <v>152.5555</v>
      </c>
      <c r="B23" s="3" t="n">
        <v>180</v>
      </c>
      <c r="C23" s="3" t="n"/>
      <c r="D23" t="n">
        <v>0.4849</v>
      </c>
      <c r="E23" s="20" t="n"/>
      <c r="F23" s="22" t="n"/>
      <c r="G23" t="n">
        <v>0.6254999999999999</v>
      </c>
      <c r="H23" s="20" t="n"/>
      <c r="I23" s="22" t="n"/>
      <c r="J23" s="21" t="n"/>
      <c r="K23" s="21" t="n"/>
      <c r="L23" s="24" t="n"/>
      <c r="P23" s="30" t="n"/>
      <c r="R23" s="25" t="n"/>
      <c r="S23" s="25" t="n"/>
      <c r="T23" t="n">
        <v>0.495617</v>
      </c>
      <c r="U23" t="inlineStr">
        <is>
          <t>BO sampling from 20 pts using LOI</t>
        </is>
      </c>
      <c r="V23" s="21" t="inlineStr">
        <is>
          <t>07.05.25</t>
        </is>
      </c>
      <c r="W23" s="29" t="n"/>
      <c r="X23" s="29" t="n"/>
      <c r="Y23" s="21" t="n"/>
    </row>
    <row r="24" ht="19" customHeight="1">
      <c r="A24" s="3" t="n">
        <v>156.5067</v>
      </c>
      <c r="B24" s="3" t="n">
        <v>161.6447</v>
      </c>
      <c r="C24" s="3" t="n"/>
      <c r="D24" t="n">
        <v>0.5301</v>
      </c>
      <c r="E24" s="20" t="n"/>
      <c r="F24" s="22" t="n"/>
      <c r="G24" t="n">
        <v>0.1307</v>
      </c>
      <c r="H24" s="20" t="n"/>
      <c r="I24" s="22" t="n"/>
      <c r="J24" s="21" t="n"/>
      <c r="K24" s="21" t="n"/>
      <c r="L24" s="24" t="n"/>
      <c r="P24" s="30" t="n"/>
      <c r="R24" s="25" t="n"/>
      <c r="S24" s="25" t="n"/>
      <c r="T24" t="n">
        <v>0.495617</v>
      </c>
      <c r="U24" t="inlineStr">
        <is>
          <t>BO sampling from 20 pts using LOI</t>
        </is>
      </c>
      <c r="V24" s="21" t="inlineStr">
        <is>
          <t>07.05.25</t>
        </is>
      </c>
      <c r="W24" s="29" t="n"/>
      <c r="X24" s="29" t="n"/>
      <c r="Y24" s="21" t="n"/>
    </row>
    <row r="25" ht="19" customHeight="1">
      <c r="A25" s="3" t="n"/>
      <c r="B25" s="3" t="n"/>
      <c r="C25" s="3" t="n"/>
      <c r="E25" s="20" t="n"/>
      <c r="F25" s="22" t="n"/>
      <c r="H25" s="20" t="n"/>
      <c r="I25" s="22" t="n"/>
      <c r="J25" s="21" t="n"/>
      <c r="K25" s="21" t="n"/>
      <c r="L25" s="24" t="n"/>
      <c r="P25" s="30" t="n"/>
      <c r="R25" s="25" t="n"/>
      <c r="S25" s="25" t="n"/>
      <c r="V25" s="21" t="n"/>
      <c r="W25" s="29" t="n"/>
      <c r="X25" s="29" t="n"/>
      <c r="Y25" s="21" t="n"/>
    </row>
    <row r="26" ht="19" customHeight="1">
      <c r="A26" s="3" t="n"/>
      <c r="B26" s="3" t="n"/>
      <c r="C26" s="3" t="n"/>
      <c r="E26" s="20" t="n"/>
      <c r="F26" s="22" t="n"/>
      <c r="H26" s="20" t="n"/>
      <c r="I26" s="22" t="n"/>
      <c r="J26" s="21" t="n"/>
      <c r="K26" s="21" t="n"/>
      <c r="L26" s="24" t="n"/>
      <c r="P26" s="30" t="n"/>
      <c r="R26" s="25" t="n"/>
      <c r="S26" s="25" t="n"/>
      <c r="V26" s="21" t="n"/>
      <c r="W26" s="29" t="n"/>
      <c r="X26" s="29" t="n"/>
      <c r="Y26" s="21" t="n"/>
    </row>
    <row r="27" ht="19" customHeight="1">
      <c r="A27" s="3" t="n"/>
      <c r="B27" s="3" t="n"/>
      <c r="C27" s="3" t="n"/>
      <c r="E27" s="20" t="n"/>
      <c r="F27" s="22" t="n"/>
      <c r="H27" s="20" t="n"/>
      <c r="I27" s="22" t="n"/>
      <c r="J27" s="21" t="n"/>
      <c r="K27" s="21" t="n"/>
      <c r="L27" s="24" t="n"/>
      <c r="P27" s="30" t="n"/>
      <c r="R27" s="25" t="n"/>
      <c r="S27" s="25" t="n"/>
      <c r="V27" s="21" t="n"/>
      <c r="W27" s="29" t="n"/>
      <c r="X27" s="29" t="n"/>
      <c r="Y27" s="21" t="n"/>
    </row>
    <row r="28" ht="19" customHeight="1">
      <c r="A28" s="3" t="n"/>
      <c r="B28" s="3" t="n"/>
      <c r="C28" s="3" t="n"/>
      <c r="E28" s="20" t="n"/>
      <c r="F28" s="22" t="n"/>
      <c r="H28" s="20" t="n"/>
      <c r="I28" s="22" t="n"/>
      <c r="J28" s="21" t="n"/>
      <c r="K28" s="21" t="n"/>
      <c r="L28" s="24" t="n"/>
      <c r="P28" s="30" t="n"/>
      <c r="R28" s="25" t="n"/>
      <c r="S28" s="25" t="n"/>
      <c r="V28" s="21" t="n"/>
      <c r="W28" s="29" t="n"/>
      <c r="X28" s="29" t="n"/>
      <c r="Y28" s="21" t="n"/>
    </row>
    <row r="29" ht="19" customHeight="1">
      <c r="A29" s="3" t="n"/>
      <c r="B29" s="3" t="n"/>
      <c r="C29" s="3" t="n"/>
      <c r="E29" s="20" t="n"/>
      <c r="F29" s="22" t="n"/>
      <c r="H29" s="20" t="n"/>
      <c r="I29" s="22" t="n"/>
      <c r="J29" s="21" t="n"/>
      <c r="K29" s="21" t="n"/>
      <c r="L29" s="24" t="n"/>
      <c r="P29" s="30" t="n"/>
      <c r="R29" s="25" t="n"/>
      <c r="S29" s="25" t="n"/>
      <c r="V29" s="21" t="n"/>
      <c r="W29" s="29" t="n"/>
      <c r="X29" s="29" t="n"/>
      <c r="Y29" s="21" t="n"/>
    </row>
    <row r="30" ht="19" customHeight="1">
      <c r="A30" s="3" t="n"/>
      <c r="B30" s="3" t="n"/>
      <c r="C30" s="3" t="n"/>
      <c r="E30" s="20" t="n"/>
      <c r="F30" s="22" t="n"/>
      <c r="H30" s="20" t="n"/>
      <c r="I30" s="22" t="n"/>
      <c r="J30" s="21" t="n"/>
      <c r="K30" s="21" t="n"/>
      <c r="L30" s="24" t="n"/>
      <c r="P30" s="30" t="n"/>
      <c r="R30" s="25" t="n"/>
      <c r="S30" s="25" t="n"/>
      <c r="V30" s="21" t="n"/>
      <c r="W30" s="29" t="n"/>
      <c r="X30" s="29" t="n"/>
      <c r="Y30" s="21" t="n"/>
    </row>
    <row r="31" ht="19" customHeight="1">
      <c r="A31" s="3" t="n"/>
      <c r="B31" s="3" t="n"/>
      <c r="C31" s="3" t="n"/>
      <c r="E31" s="20" t="n"/>
      <c r="F31" s="22" t="n"/>
      <c r="H31" s="20" t="n"/>
      <c r="I31" s="22" t="n"/>
      <c r="J31" s="21" t="n"/>
      <c r="K31" s="21" t="n"/>
      <c r="L31" s="24" t="n"/>
      <c r="P31" s="30" t="n"/>
      <c r="R31" s="25" t="n"/>
      <c r="S31" s="25" t="n"/>
      <c r="V31" s="21" t="n"/>
      <c r="W31" s="29" t="n"/>
      <c r="X31" s="29" t="n"/>
      <c r="Y31" s="21" t="n"/>
    </row>
    <row r="32" ht="19" customHeight="1">
      <c r="A32" s="3" t="n"/>
      <c r="B32" s="3" t="n"/>
      <c r="C32" s="3" t="n"/>
      <c r="E32" s="20" t="n"/>
      <c r="F32" s="22" t="n"/>
      <c r="H32" s="20" t="n"/>
      <c r="I32" s="22" t="n"/>
      <c r="J32" s="21" t="n"/>
      <c r="K32" s="21" t="n"/>
      <c r="L32" s="24" t="n"/>
      <c r="P32" s="30" t="n"/>
      <c r="R32" s="25" t="n"/>
      <c r="S32" s="25" t="n"/>
      <c r="V32" s="21" t="n"/>
      <c r="W32" s="29" t="n"/>
      <c r="X32" s="29" t="n"/>
      <c r="Y32" s="21" t="n"/>
    </row>
    <row r="33" ht="19" customHeight="1">
      <c r="A33" s="3" t="n"/>
      <c r="B33" s="3" t="n"/>
      <c r="C33" s="3" t="n"/>
      <c r="E33" s="20" t="n"/>
      <c r="F33" s="22" t="n"/>
      <c r="H33" s="20" t="n"/>
      <c r="I33" s="22" t="n"/>
      <c r="J33" s="21" t="n"/>
      <c r="K33" s="21" t="n"/>
      <c r="L33" s="24" t="n"/>
      <c r="P33" s="30" t="n"/>
      <c r="R33" s="25" t="n"/>
      <c r="S33" s="25" t="n"/>
      <c r="V33" s="21" t="n"/>
      <c r="W33" s="29" t="n"/>
      <c r="X33" s="29" t="n"/>
      <c r="Y33" s="21" t="n"/>
    </row>
    <row r="34" ht="19" customHeight="1">
      <c r="A34" s="3" t="n"/>
      <c r="B34" s="3" t="n"/>
      <c r="C34" s="3" t="n"/>
      <c r="E34" s="20" t="n"/>
      <c r="F34" s="22" t="n"/>
      <c r="H34" s="20" t="n"/>
      <c r="I34" s="22" t="n"/>
      <c r="J34" s="21" t="n"/>
      <c r="K34" s="21" t="n"/>
      <c r="L34" s="24" t="n"/>
      <c r="P34" s="30" t="n"/>
      <c r="R34" s="25" t="n"/>
      <c r="S34" s="25" t="n"/>
      <c r="V34" s="21" t="n"/>
      <c r="W34" s="29" t="n"/>
      <c r="X34" s="29" t="n"/>
      <c r="Y34" s="21" t="n"/>
    </row>
    <row r="35" ht="19" customHeight="1">
      <c r="A35" s="3" t="n"/>
      <c r="B35" s="3" t="n"/>
      <c r="C35" s="3" t="n"/>
      <c r="E35" s="20" t="n"/>
      <c r="F35" s="22" t="n"/>
      <c r="H35" s="20" t="n"/>
      <c r="I35" s="22" t="n"/>
      <c r="J35" s="21" t="n"/>
      <c r="K35" s="21" t="n"/>
      <c r="L35" s="24" t="n"/>
      <c r="P35" s="30" t="n"/>
      <c r="R35" s="25" t="n"/>
      <c r="S35" s="25" t="n"/>
      <c r="V35" s="21" t="n"/>
      <c r="W35" s="29" t="n"/>
      <c r="X35" s="29" t="n"/>
      <c r="Y35" s="21" t="n"/>
    </row>
    <row r="36" ht="19" customHeight="1">
      <c r="A36" s="3" t="n"/>
      <c r="B36" s="3" t="n"/>
      <c r="C36" s="3" t="n"/>
      <c r="E36" s="20" t="n"/>
      <c r="F36" s="22" t="n"/>
      <c r="H36" s="20" t="n"/>
      <c r="I36" s="22" t="n"/>
      <c r="J36" s="21" t="n"/>
      <c r="K36" s="21" t="n"/>
      <c r="L36" s="24" t="n"/>
      <c r="P36" s="30" t="n"/>
      <c r="R36" s="25" t="n"/>
      <c r="S36" s="25" t="n"/>
      <c r="V36" s="21" t="n"/>
      <c r="W36" s="29" t="n"/>
      <c r="X36" s="29" t="n"/>
      <c r="Y36" s="21" t="n"/>
    </row>
    <row r="37" ht="19" customHeight="1">
      <c r="A37" s="3" t="n"/>
      <c r="B37" s="3" t="n"/>
      <c r="C37" s="3" t="n"/>
      <c r="E37" s="20" t="n"/>
      <c r="F37" s="22" t="n"/>
      <c r="H37" s="20" t="n"/>
      <c r="I37" s="22" t="n"/>
      <c r="J37" s="21" t="n"/>
      <c r="K37" s="21" t="n"/>
      <c r="L37" s="24" t="n"/>
      <c r="P37" s="30" t="n"/>
      <c r="R37" s="25" t="n"/>
      <c r="S37" s="25" t="n"/>
      <c r="V37" s="21" t="n"/>
      <c r="W37" s="29" t="n"/>
      <c r="X37" s="29" t="n"/>
      <c r="Y37" s="21" t="n"/>
    </row>
    <row r="38" ht="19" customHeight="1">
      <c r="A38" s="3" t="n"/>
      <c r="B38" s="3" t="n"/>
      <c r="C38" s="3" t="n"/>
      <c r="E38" s="20" t="n"/>
      <c r="F38" s="22" t="n"/>
      <c r="H38" s="20" t="n"/>
      <c r="I38" s="22" t="n"/>
      <c r="J38" s="21" t="n"/>
      <c r="K38" s="21" t="n"/>
      <c r="L38" s="24" t="n"/>
      <c r="P38" s="30" t="n"/>
      <c r="R38" s="25" t="n"/>
      <c r="S38" s="25" t="n"/>
      <c r="V38" s="21" t="n"/>
      <c r="W38" s="29" t="n"/>
      <c r="X38" s="29" t="n"/>
      <c r="Y38" s="21" t="n"/>
    </row>
    <row r="39" ht="19" customHeight="1">
      <c r="A39" s="3" t="n"/>
      <c r="B39" s="3" t="n"/>
      <c r="C39" s="3" t="n"/>
      <c r="E39" s="20" t="n"/>
      <c r="F39" s="22" t="n"/>
      <c r="H39" s="20" t="n"/>
      <c r="I39" s="22" t="n"/>
      <c r="J39" s="21" t="n"/>
      <c r="K39" s="21" t="n"/>
      <c r="L39" s="24" t="n"/>
      <c r="P39" s="30" t="n"/>
      <c r="R39" s="25" t="n"/>
      <c r="S39" s="25" t="n"/>
      <c r="V39" s="21" t="n"/>
      <c r="W39" s="29" t="n"/>
      <c r="X39" s="29" t="n"/>
      <c r="Y39" s="21" t="n"/>
    </row>
    <row r="40" ht="19" customHeight="1">
      <c r="A40" s="3" t="n"/>
      <c r="B40" s="3" t="n"/>
      <c r="C40" s="3" t="n"/>
      <c r="E40" s="20" t="n"/>
      <c r="F40" s="22" t="n"/>
      <c r="H40" s="20" t="n"/>
      <c r="I40" s="22" t="n"/>
      <c r="J40" s="21" t="n"/>
      <c r="K40" s="21" t="n"/>
      <c r="L40" s="24" t="n"/>
      <c r="P40" s="30" t="n"/>
      <c r="R40" s="25" t="n"/>
      <c r="S40" s="25" t="n"/>
      <c r="V40" s="21" t="n"/>
      <c r="W40" s="29" t="n"/>
      <c r="X40" s="29" t="n"/>
      <c r="Y40" s="21" t="n"/>
    </row>
    <row r="41" ht="19" customHeight="1">
      <c r="A41" s="3" t="n"/>
      <c r="B41" s="3" t="n"/>
      <c r="C41" s="3" t="n"/>
      <c r="E41" s="20" t="n"/>
      <c r="F41" s="22" t="n"/>
      <c r="H41" s="20" t="n"/>
      <c r="I41" s="22" t="n"/>
      <c r="J41" s="21" t="n"/>
      <c r="K41" s="21" t="n"/>
      <c r="L41" s="24" t="n"/>
      <c r="P41" s="30" t="n"/>
      <c r="R41" s="25" t="n"/>
      <c r="S41" s="25" t="n"/>
      <c r="V41" s="21" t="n"/>
      <c r="W41" s="29" t="n"/>
      <c r="X41" s="29" t="n"/>
      <c r="Y41" s="21" t="n"/>
    </row>
    <row r="42" ht="19" customHeight="1">
      <c r="A42" s="3" t="n"/>
      <c r="B42" s="3" t="n"/>
      <c r="C42" s="3" t="n"/>
      <c r="E42" s="20" t="n"/>
      <c r="F42" s="22" t="n"/>
      <c r="H42" s="20" t="n"/>
      <c r="I42" s="22" t="n"/>
      <c r="J42" s="21" t="n"/>
      <c r="K42" s="21" t="n"/>
      <c r="L42" s="24" t="n"/>
      <c r="P42" s="30" t="n"/>
      <c r="R42" s="25" t="n"/>
      <c r="S42" s="25" t="n"/>
      <c r="V42" s="21" t="n"/>
      <c r="W42" s="29" t="n"/>
      <c r="X42" s="29" t="n"/>
      <c r="Y42" s="21" t="n"/>
    </row>
    <row r="43" ht="19" customHeight="1">
      <c r="A43" s="3" t="n"/>
      <c r="B43" s="3" t="n"/>
      <c r="C43" s="3" t="n"/>
      <c r="E43" s="20" t="n"/>
      <c r="F43" s="22" t="n"/>
      <c r="H43" s="20" t="n"/>
      <c r="I43" s="22" t="n"/>
      <c r="J43" s="21" t="n"/>
      <c r="K43" s="21" t="n"/>
      <c r="L43" s="24" t="n"/>
      <c r="P43" s="30" t="n"/>
      <c r="R43" s="25" t="n"/>
      <c r="S43" s="25" t="n"/>
      <c r="V43" s="21" t="n"/>
      <c r="W43" s="29" t="n"/>
      <c r="X43" s="29" t="n"/>
      <c r="Y43" s="21" t="n"/>
      <c r="AB43" t="inlineStr">
        <is>
          <t>s</t>
        </is>
      </c>
    </row>
    <row r="44" ht="19" customHeight="1">
      <c r="A44" s="3" t="n"/>
      <c r="B44" s="3" t="n"/>
      <c r="C44" s="3" t="n"/>
      <c r="E44" s="20" t="n"/>
      <c r="F44" s="22" t="n"/>
      <c r="H44" s="20" t="n"/>
      <c r="I44" s="22" t="n"/>
      <c r="J44" s="21" t="n"/>
      <c r="K44" s="21" t="n"/>
      <c r="L44" s="24" t="n"/>
      <c r="P44" s="30" t="n"/>
      <c r="R44" s="25" t="n"/>
      <c r="S44" s="25" t="n"/>
      <c r="V44" s="21" t="n"/>
      <c r="W44" s="29" t="n"/>
      <c r="X44" s="29" t="n"/>
      <c r="Y44" s="21" t="n"/>
    </row>
    <row r="45" ht="19" customHeight="1">
      <c r="A45" s="3" t="n"/>
      <c r="B45" s="3" t="n"/>
      <c r="C45" s="3" t="n"/>
      <c r="E45" s="20" t="n"/>
      <c r="F45" s="22" t="n"/>
      <c r="H45" s="20" t="n"/>
      <c r="I45" s="22" t="n"/>
      <c r="J45" s="21" t="n"/>
      <c r="K45" s="21" t="n"/>
      <c r="L45" s="24" t="n"/>
      <c r="P45" s="30" t="n"/>
      <c r="R45" s="25" t="n"/>
      <c r="S45" s="25" t="n"/>
      <c r="V45" s="21" t="n"/>
      <c r="W45" s="29" t="n"/>
      <c r="X45" s="29" t="n"/>
      <c r="Y45" s="21" t="n"/>
    </row>
    <row r="46" ht="19" customHeight="1">
      <c r="A46" s="3" t="n"/>
      <c r="B46" s="3" t="n"/>
      <c r="C46" s="3" t="n"/>
      <c r="E46" s="20" t="n"/>
      <c r="F46" s="22" t="n"/>
      <c r="H46" s="20" t="n"/>
      <c r="I46" s="22" t="n"/>
      <c r="J46" s="21" t="n"/>
      <c r="K46" s="21" t="n"/>
      <c r="L46" s="24" t="n"/>
      <c r="P46" s="30" t="n"/>
      <c r="R46" s="25" t="n"/>
      <c r="S46" s="25" t="n"/>
      <c r="V46" s="21" t="n"/>
      <c r="W46" s="29" t="n"/>
      <c r="X46" s="29" t="n"/>
      <c r="Y46" s="21" t="n"/>
    </row>
    <row r="47" ht="19" customHeight="1">
      <c r="A47" s="3" t="n"/>
      <c r="B47" s="3" t="n"/>
      <c r="C47" s="3" t="n"/>
      <c r="E47" s="20" t="n"/>
      <c r="F47" s="22" t="n"/>
      <c r="H47" s="20" t="n"/>
      <c r="I47" s="22" t="n"/>
      <c r="J47" s="21" t="n"/>
      <c r="K47" s="21" t="n"/>
      <c r="L47" s="24" t="n"/>
      <c r="P47" s="30" t="n"/>
      <c r="R47" s="25" t="n"/>
      <c r="S47" s="25" t="n"/>
      <c r="V47" s="21" t="n"/>
      <c r="W47" s="29" t="n"/>
      <c r="X47" s="29" t="n"/>
      <c r="Y47" s="21" t="n"/>
    </row>
    <row r="48" ht="19" customHeight="1">
      <c r="A48" s="3" t="n"/>
      <c r="B48" s="3" t="n"/>
      <c r="C48" s="3" t="n"/>
      <c r="E48" s="20" t="n"/>
      <c r="F48" s="22" t="n"/>
      <c r="H48" s="20" t="n"/>
      <c r="I48" s="22" t="n"/>
      <c r="J48" s="21" t="n"/>
      <c r="K48" s="21" t="n"/>
      <c r="L48" s="24" t="n"/>
      <c r="P48" s="30" t="n"/>
      <c r="R48" s="25" t="n"/>
      <c r="S48" s="25" t="n"/>
      <c r="V48" s="21" t="n"/>
      <c r="W48" s="29" t="n"/>
      <c r="X48" s="29" t="n"/>
      <c r="Y48" s="21" t="n"/>
    </row>
    <row r="49" ht="19" customHeight="1">
      <c r="A49" s="3" t="n"/>
      <c r="B49" s="3" t="n"/>
      <c r="C49" s="3" t="n"/>
      <c r="E49" s="20" t="n"/>
      <c r="F49" s="22" t="n"/>
      <c r="H49" s="20" t="n"/>
      <c r="I49" s="22" t="n"/>
      <c r="J49" s="21" t="n"/>
      <c r="K49" s="21" t="n"/>
      <c r="L49" s="24" t="n"/>
      <c r="P49" s="30" t="n"/>
      <c r="R49" s="25" t="n"/>
      <c r="S49" s="25" t="n"/>
      <c r="V49" s="21" t="n"/>
      <c r="W49" s="29" t="n"/>
      <c r="X49" s="29" t="n"/>
      <c r="Y49" s="21" t="n"/>
    </row>
    <row r="50" ht="19" customHeight="1">
      <c r="A50" s="3" t="n"/>
      <c r="B50" s="3" t="n"/>
      <c r="C50" s="3" t="n"/>
      <c r="E50" s="20" t="n"/>
      <c r="F50" s="22" t="n"/>
      <c r="H50" s="20" t="n"/>
      <c r="I50" s="22" t="n"/>
      <c r="J50" s="21" t="n"/>
      <c r="K50" s="21" t="n"/>
      <c r="L50" s="24" t="n"/>
      <c r="P50" s="30" t="n"/>
      <c r="R50" s="25" t="n"/>
      <c r="S50" s="25" t="n"/>
      <c r="V50" s="21" t="n"/>
      <c r="W50" s="29" t="n"/>
      <c r="X50" s="29" t="n"/>
      <c r="Y50" s="21" t="n"/>
    </row>
    <row r="51" ht="19" customHeight="1">
      <c r="A51" s="3" t="n"/>
      <c r="B51" s="3" t="n"/>
      <c r="C51" s="3" t="n"/>
      <c r="E51" s="20" t="n"/>
      <c r="F51" s="22" t="n"/>
      <c r="H51" s="20" t="n"/>
      <c r="I51" s="22" t="n"/>
      <c r="J51" s="21" t="n"/>
      <c r="K51" s="21" t="n"/>
      <c r="L51" s="24" t="n"/>
      <c r="P51" s="30" t="n"/>
      <c r="R51" s="25" t="n"/>
      <c r="S51" s="25" t="n"/>
      <c r="V51" s="21" t="n"/>
      <c r="W51" s="29" t="n"/>
      <c r="X51" s="29" t="n"/>
      <c r="Y51" s="21" t="n"/>
    </row>
    <row r="52" ht="19" customHeight="1">
      <c r="A52" s="3" t="n"/>
      <c r="B52" s="3" t="n"/>
      <c r="C52" s="3" t="n"/>
      <c r="E52" s="20" t="n"/>
      <c r="F52" s="22" t="n"/>
      <c r="H52" s="20" t="n"/>
      <c r="I52" s="22" t="n"/>
      <c r="J52" s="21" t="n"/>
      <c r="K52" s="21" t="n"/>
      <c r="L52" s="24" t="n"/>
      <c r="P52" s="30" t="n"/>
      <c r="R52" s="25" t="n"/>
      <c r="S52" s="25" t="n"/>
      <c r="V52" s="21" t="n"/>
      <c r="W52" s="29" t="n"/>
      <c r="X52" s="29" t="n"/>
      <c r="Y52" s="21" t="n"/>
    </row>
    <row r="53" ht="19" customHeight="1">
      <c r="A53" s="3" t="n"/>
      <c r="B53" s="3" t="n"/>
      <c r="C53" s="3" t="n"/>
      <c r="E53" s="20" t="n"/>
      <c r="F53" s="22" t="n"/>
      <c r="H53" s="20" t="n"/>
      <c r="I53" s="22" t="n"/>
      <c r="J53" s="21" t="n"/>
      <c r="K53" s="21" t="n"/>
      <c r="L53" s="24" t="n"/>
      <c r="P53" s="30" t="n"/>
      <c r="R53" s="25" t="n"/>
      <c r="S53" s="25" t="n"/>
      <c r="V53" s="21" t="n"/>
      <c r="W53" s="29" t="n"/>
      <c r="X53" s="29" t="n"/>
      <c r="Y53" s="21" t="n"/>
    </row>
    <row r="54" ht="19" customHeight="1">
      <c r="A54" s="3" t="n"/>
      <c r="B54" s="3" t="n"/>
      <c r="C54" s="3" t="n"/>
      <c r="E54" s="20" t="n"/>
      <c r="F54" s="22" t="n"/>
      <c r="H54" s="20" t="n"/>
      <c r="I54" s="22" t="n"/>
      <c r="J54" s="21" t="n"/>
      <c r="K54" s="21" t="n"/>
      <c r="L54" s="24" t="n"/>
      <c r="P54" s="30" t="n"/>
      <c r="R54" s="25" t="n"/>
      <c r="S54" s="25" t="n"/>
      <c r="V54" s="21" t="n"/>
      <c r="W54" s="29" t="n"/>
      <c r="X54" s="29" t="n"/>
      <c r="Y54" s="21" t="n"/>
    </row>
    <row r="55" ht="19" customHeight="1">
      <c r="A55" s="3" t="n"/>
      <c r="B55" s="3" t="n"/>
      <c r="C55" s="3" t="n"/>
      <c r="E55" s="20" t="n"/>
      <c r="F55" s="22" t="n"/>
      <c r="H55" s="20" t="n"/>
      <c r="I55" s="22" t="n"/>
      <c r="J55" s="21" t="n"/>
      <c r="K55" s="21" t="n"/>
      <c r="L55" s="24" t="n"/>
      <c r="P55" s="30" t="n"/>
      <c r="R55" s="25" t="n"/>
      <c r="S55" s="25" t="n"/>
      <c r="V55" s="21" t="n"/>
      <c r="W55" s="29" t="n"/>
      <c r="X55" s="29" t="n"/>
      <c r="Y55" s="21" t="n"/>
    </row>
    <row r="56" ht="19" customHeight="1">
      <c r="A56" s="3" t="n"/>
      <c r="B56" s="3" t="n"/>
      <c r="C56" s="3" t="n"/>
      <c r="E56" s="20" t="n"/>
      <c r="F56" s="22" t="n"/>
      <c r="H56" s="20" t="n"/>
      <c r="I56" s="22" t="n"/>
      <c r="J56" s="21" t="n"/>
      <c r="K56" s="21" t="n"/>
      <c r="L56" s="24" t="n"/>
      <c r="P56" s="30" t="n"/>
      <c r="R56" s="25" t="n"/>
      <c r="S56" s="25" t="n"/>
      <c r="V56" s="21" t="n"/>
      <c r="W56" s="29" t="n"/>
      <c r="X56" s="29" t="n"/>
      <c r="Y56" s="21" t="n"/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2025-04-27T14:33:42Z</dcterms:created>
  <dcterms:modified xsi:type="dcterms:W3CDTF">2025-05-07T15:25:18Z</dcterms:modified>
  <cp:lastModifiedBy>Samuel Krause</cp:lastModifiedBy>
</cp:coreProperties>
</file>