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samuel/Documents/UNI/Semester 5/BA/CodeBA/"/>
    </mc:Choice>
  </mc:AlternateContent>
  <xr:revisionPtr revIDLastSave="0" documentId="13_ncr:1_{F7E83109-4D1A-6441-9C3C-F31E9904E1E3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Sheet1" sheetId="1" r:id="rId1"/>
    <sheet name="Tabelle1" sheetId="2" state="hidden" r:id="rId2"/>
    <sheet name="Experiments" sheetId="3" r:id="rId3"/>
    <sheet name="Tabelle2" sheetId="4" r:id="rId4"/>
    <sheet name="Bounds" sheetId="5" r:id="rId5"/>
    <sheet name="Tabelle3" sheetId="6" r:id="rId6"/>
  </sheets>
  <definedNames>
    <definedName name="_xlchart.v1.0" hidden="1">Experiments!$AA$2:$AA$21</definedName>
    <definedName name="_xlchart.v1.1" hidden="1">Experiments!$V$2:$V$21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" i="3" l="1"/>
  <c r="V3" i="3"/>
  <c r="V2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AA6" i="3"/>
  <c r="AA7" i="3"/>
  <c r="AA8" i="3"/>
  <c r="AA9" i="3"/>
  <c r="AA10" i="3"/>
  <c r="AA11" i="3"/>
  <c r="AA12" i="3"/>
  <c r="AA14" i="3"/>
  <c r="AA15" i="3"/>
  <c r="AA16" i="3"/>
  <c r="AA17" i="3"/>
  <c r="AA18" i="3"/>
  <c r="AA19" i="3"/>
  <c r="AA20" i="3"/>
  <c r="AA21" i="3"/>
  <c r="AA2" i="3"/>
  <c r="AA3" i="3"/>
  <c r="AA4" i="3"/>
  <c r="AA5" i="3"/>
  <c r="Z2" i="3"/>
  <c r="Z4" i="3"/>
  <c r="Z3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C53" i="4"/>
  <c r="G2" i="3"/>
  <c r="G4" i="3"/>
  <c r="G3" i="3"/>
  <c r="G5" i="3"/>
  <c r="G6" i="3"/>
  <c r="G7" i="3"/>
  <c r="G8" i="3"/>
  <c r="M8" i="3" s="1"/>
  <c r="G9" i="3"/>
  <c r="M9" i="3" s="1"/>
  <c r="G10" i="3"/>
  <c r="G11" i="3"/>
  <c r="G12" i="3"/>
  <c r="G13" i="3"/>
  <c r="G14" i="3"/>
  <c r="M14" i="3" s="1"/>
  <c r="G15" i="3"/>
  <c r="G16" i="3"/>
  <c r="G17" i="3"/>
  <c r="G18" i="3"/>
  <c r="M18" i="3" s="1"/>
  <c r="G19" i="3"/>
  <c r="G20" i="3"/>
  <c r="G21" i="3"/>
  <c r="E2" i="3"/>
  <c r="E4" i="3"/>
  <c r="E5" i="3"/>
  <c r="E6" i="3"/>
  <c r="E3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Y19" i="3"/>
  <c r="Y20" i="3"/>
  <c r="Y21" i="3"/>
  <c r="C50" i="4"/>
  <c r="C42" i="4"/>
  <c r="C51" i="4" s="1"/>
  <c r="C41" i="4"/>
  <c r="C40" i="4"/>
  <c r="C39" i="4"/>
  <c r="C10" i="4" s="1"/>
  <c r="C38" i="4"/>
  <c r="C37" i="4"/>
  <c r="C8" i="4" s="1"/>
  <c r="C36" i="4"/>
  <c r="C52" i="4" s="1"/>
  <c r="H35" i="4"/>
  <c r="C35" i="4"/>
  <c r="C29" i="4"/>
  <c r="N18" i="3" s="1"/>
  <c r="C23" i="4"/>
  <c r="D12" i="4"/>
  <c r="C12" i="4"/>
  <c r="E12" i="4" s="1"/>
  <c r="G12" i="4" s="1"/>
  <c r="D11" i="4"/>
  <c r="C11" i="4"/>
  <c r="E11" i="4" s="1"/>
  <c r="G11" i="4" s="1"/>
  <c r="C6" i="4"/>
  <c r="E6" i="4" s="1"/>
  <c r="X21" i="3"/>
  <c r="R21" i="3"/>
  <c r="N21" i="3"/>
  <c r="L21" i="3"/>
  <c r="K21" i="3"/>
  <c r="I21" i="3"/>
  <c r="X20" i="3"/>
  <c r="R20" i="3"/>
  <c r="L20" i="3"/>
  <c r="K20" i="3"/>
  <c r="I20" i="3"/>
  <c r="X19" i="3"/>
  <c r="R19" i="3"/>
  <c r="L19" i="3"/>
  <c r="K19" i="3"/>
  <c r="I19" i="3"/>
  <c r="Y18" i="3"/>
  <c r="X18" i="3"/>
  <c r="R18" i="3"/>
  <c r="L18" i="3"/>
  <c r="K18" i="3"/>
  <c r="Y17" i="3"/>
  <c r="X17" i="3"/>
  <c r="R17" i="3"/>
  <c r="L17" i="3"/>
  <c r="K17" i="3"/>
  <c r="I17" i="3"/>
  <c r="Y16" i="3"/>
  <c r="X16" i="3"/>
  <c r="R16" i="3"/>
  <c r="N16" i="3"/>
  <c r="L16" i="3"/>
  <c r="K16" i="3"/>
  <c r="I16" i="3"/>
  <c r="Y15" i="3"/>
  <c r="X15" i="3"/>
  <c r="R15" i="3"/>
  <c r="N15" i="3"/>
  <c r="L15" i="3"/>
  <c r="K15" i="3"/>
  <c r="I15" i="3"/>
  <c r="Y14" i="3"/>
  <c r="X14" i="3"/>
  <c r="R14" i="3"/>
  <c r="N14" i="3"/>
  <c r="L14" i="3"/>
  <c r="K14" i="3"/>
  <c r="I14" i="3"/>
  <c r="Y13" i="3"/>
  <c r="AA13" i="3" s="1"/>
  <c r="X13" i="3"/>
  <c r="R13" i="3"/>
  <c r="N13" i="3"/>
  <c r="L13" i="3"/>
  <c r="K13" i="3"/>
  <c r="M13" i="3" s="1"/>
  <c r="I13" i="3"/>
  <c r="Y12" i="3"/>
  <c r="X12" i="3"/>
  <c r="R12" i="3"/>
  <c r="N12" i="3"/>
  <c r="L12" i="3"/>
  <c r="K12" i="3"/>
  <c r="I12" i="3"/>
  <c r="M12" i="3"/>
  <c r="Y11" i="3"/>
  <c r="X11" i="3"/>
  <c r="R11" i="3"/>
  <c r="N11" i="3"/>
  <c r="L11" i="3"/>
  <c r="K11" i="3"/>
  <c r="I11" i="3"/>
  <c r="Y10" i="3"/>
  <c r="X10" i="3"/>
  <c r="R10" i="3"/>
  <c r="N10" i="3"/>
  <c r="L10" i="3"/>
  <c r="K10" i="3"/>
  <c r="I10" i="3"/>
  <c r="Y9" i="3"/>
  <c r="X9" i="3"/>
  <c r="R9" i="3"/>
  <c r="N9" i="3"/>
  <c r="L9" i="3"/>
  <c r="K9" i="3"/>
  <c r="I9" i="3"/>
  <c r="Y8" i="3"/>
  <c r="X8" i="3"/>
  <c r="R8" i="3"/>
  <c r="N8" i="3"/>
  <c r="L8" i="3"/>
  <c r="K8" i="3"/>
  <c r="I8" i="3"/>
  <c r="Y7" i="3"/>
  <c r="X7" i="3"/>
  <c r="R7" i="3"/>
  <c r="N7" i="3"/>
  <c r="L7" i="3"/>
  <c r="K7" i="3"/>
  <c r="I7" i="3"/>
  <c r="Y6" i="3"/>
  <c r="X6" i="3"/>
  <c r="R6" i="3"/>
  <c r="N6" i="3"/>
  <c r="L6" i="3"/>
  <c r="K6" i="3"/>
  <c r="I6" i="3"/>
  <c r="Y5" i="3"/>
  <c r="X5" i="3"/>
  <c r="R5" i="3"/>
  <c r="N5" i="3"/>
  <c r="L5" i="3"/>
  <c r="K5" i="3"/>
  <c r="I5" i="3"/>
  <c r="Y4" i="3"/>
  <c r="X4" i="3"/>
  <c r="R4" i="3"/>
  <c r="N4" i="3"/>
  <c r="L4" i="3"/>
  <c r="K4" i="3"/>
  <c r="I4" i="3"/>
  <c r="Y3" i="3"/>
  <c r="X3" i="3"/>
  <c r="R3" i="3"/>
  <c r="N3" i="3"/>
  <c r="L3" i="3"/>
  <c r="K3" i="3"/>
  <c r="I3" i="3"/>
  <c r="Y2" i="3"/>
  <c r="X2" i="3"/>
  <c r="R2" i="3"/>
  <c r="N2" i="3"/>
  <c r="L2" i="3"/>
  <c r="K2" i="3"/>
  <c r="I2" i="3"/>
  <c r="O31" i="2"/>
  <c r="K31" i="2"/>
  <c r="J31" i="2"/>
  <c r="I31" i="2"/>
  <c r="G31" i="2"/>
  <c r="D31" i="2"/>
  <c r="O30" i="2"/>
  <c r="K30" i="2"/>
  <c r="J30" i="2"/>
  <c r="I30" i="2"/>
  <c r="G30" i="2"/>
  <c r="D30" i="2"/>
  <c r="O29" i="2"/>
  <c r="K29" i="2"/>
  <c r="J29" i="2"/>
  <c r="I29" i="2"/>
  <c r="G29" i="2"/>
  <c r="D29" i="2"/>
  <c r="O28" i="2"/>
  <c r="K28" i="2"/>
  <c r="J28" i="2"/>
  <c r="I28" i="2"/>
  <c r="G28" i="2"/>
  <c r="D28" i="2"/>
  <c r="O27" i="2"/>
  <c r="K27" i="2"/>
  <c r="J27" i="2"/>
  <c r="I27" i="2"/>
  <c r="G27" i="2"/>
  <c r="D27" i="2"/>
  <c r="O26" i="2"/>
  <c r="K26" i="2"/>
  <c r="J26" i="2"/>
  <c r="I26" i="2"/>
  <c r="G26" i="2"/>
  <c r="D26" i="2"/>
  <c r="O25" i="2"/>
  <c r="K25" i="2"/>
  <c r="J25" i="2"/>
  <c r="I25" i="2"/>
  <c r="G25" i="2"/>
  <c r="D25" i="2"/>
  <c r="O24" i="2"/>
  <c r="K24" i="2"/>
  <c r="J24" i="2"/>
  <c r="I24" i="2"/>
  <c r="G24" i="2"/>
  <c r="D24" i="2"/>
  <c r="O23" i="2"/>
  <c r="K23" i="2"/>
  <c r="J23" i="2"/>
  <c r="I23" i="2"/>
  <c r="G23" i="2"/>
  <c r="D23" i="2"/>
  <c r="O22" i="2"/>
  <c r="K22" i="2"/>
  <c r="J22" i="2"/>
  <c r="I22" i="2"/>
  <c r="G22" i="2"/>
  <c r="D22" i="2"/>
  <c r="O21" i="2"/>
  <c r="K21" i="2"/>
  <c r="J21" i="2"/>
  <c r="I21" i="2"/>
  <c r="G21" i="2"/>
  <c r="D21" i="2"/>
  <c r="O20" i="2"/>
  <c r="K20" i="2"/>
  <c r="J20" i="2"/>
  <c r="I20" i="2"/>
  <c r="G20" i="2"/>
  <c r="D20" i="2"/>
  <c r="O19" i="2"/>
  <c r="K19" i="2"/>
  <c r="J19" i="2"/>
  <c r="I19" i="2"/>
  <c r="G19" i="2"/>
  <c r="D19" i="2"/>
  <c r="O18" i="2"/>
  <c r="K18" i="2"/>
  <c r="J18" i="2"/>
  <c r="I18" i="2"/>
  <c r="G18" i="2"/>
  <c r="D18" i="2"/>
  <c r="O17" i="2"/>
  <c r="K17" i="2"/>
  <c r="J17" i="2"/>
  <c r="I17" i="2"/>
  <c r="G17" i="2"/>
  <c r="D17" i="2"/>
  <c r="O16" i="2"/>
  <c r="K16" i="2"/>
  <c r="J16" i="2"/>
  <c r="I16" i="2"/>
  <c r="G16" i="2"/>
  <c r="D16" i="2"/>
  <c r="O15" i="2"/>
  <c r="K15" i="2"/>
  <c r="J15" i="2"/>
  <c r="I15" i="2"/>
  <c r="G15" i="2"/>
  <c r="D15" i="2"/>
  <c r="O14" i="2"/>
  <c r="K14" i="2"/>
  <c r="J14" i="2"/>
  <c r="I14" i="2"/>
  <c r="G14" i="2"/>
  <c r="D14" i="2"/>
  <c r="O13" i="2"/>
  <c r="K13" i="2"/>
  <c r="J13" i="2"/>
  <c r="I13" i="2"/>
  <c r="G13" i="2"/>
  <c r="D13" i="2"/>
  <c r="O12" i="2"/>
  <c r="K12" i="2"/>
  <c r="J12" i="2"/>
  <c r="I12" i="2"/>
  <c r="G12" i="2"/>
  <c r="D12" i="2"/>
  <c r="O11" i="2"/>
  <c r="K11" i="2"/>
  <c r="J11" i="2"/>
  <c r="I11" i="2"/>
  <c r="G11" i="2"/>
  <c r="D11" i="2"/>
  <c r="O10" i="2"/>
  <c r="K10" i="2"/>
  <c r="J10" i="2"/>
  <c r="I10" i="2"/>
  <c r="G10" i="2"/>
  <c r="D10" i="2"/>
  <c r="O9" i="2"/>
  <c r="K9" i="2"/>
  <c r="J9" i="2"/>
  <c r="I9" i="2"/>
  <c r="G9" i="2"/>
  <c r="D9" i="2"/>
  <c r="O8" i="2"/>
  <c r="K8" i="2"/>
  <c r="J8" i="2"/>
  <c r="I8" i="2"/>
  <c r="G8" i="2"/>
  <c r="D8" i="2"/>
  <c r="O7" i="2"/>
  <c r="K7" i="2"/>
  <c r="J7" i="2"/>
  <c r="I7" i="2"/>
  <c r="G7" i="2"/>
  <c r="D7" i="2"/>
  <c r="O6" i="2"/>
  <c r="K6" i="2"/>
  <c r="J6" i="2"/>
  <c r="I6" i="2"/>
  <c r="G6" i="2"/>
  <c r="D6" i="2"/>
  <c r="O5" i="2"/>
  <c r="K5" i="2"/>
  <c r="J5" i="2"/>
  <c r="I5" i="2"/>
  <c r="G5" i="2"/>
  <c r="D5" i="2"/>
  <c r="O4" i="2"/>
  <c r="K4" i="2"/>
  <c r="J4" i="2"/>
  <c r="I4" i="2"/>
  <c r="G4" i="2"/>
  <c r="D4" i="2"/>
  <c r="O3" i="2"/>
  <c r="K3" i="2"/>
  <c r="J3" i="2"/>
  <c r="I3" i="2"/>
  <c r="G3" i="2"/>
  <c r="D3" i="2"/>
  <c r="O2" i="2"/>
  <c r="K2" i="2"/>
  <c r="J2" i="2"/>
  <c r="I2" i="2"/>
  <c r="G2" i="2"/>
  <c r="D2" i="2"/>
  <c r="M20" i="3" l="1"/>
  <c r="M15" i="3"/>
  <c r="M7" i="3"/>
  <c r="M10" i="3"/>
  <c r="M17" i="3"/>
  <c r="M21" i="3"/>
  <c r="M19" i="3"/>
  <c r="M5" i="3"/>
  <c r="M3" i="3"/>
  <c r="M2" i="3"/>
  <c r="M4" i="3"/>
  <c r="M16" i="3"/>
  <c r="M11" i="3"/>
  <c r="M6" i="3"/>
  <c r="E8" i="4"/>
  <c r="G8" i="4" s="1"/>
  <c r="D8" i="4"/>
  <c r="E10" i="4"/>
  <c r="G10" i="4" s="1"/>
  <c r="D10" i="4"/>
  <c r="I12" i="4"/>
  <c r="G6" i="4"/>
  <c r="I6" i="4"/>
  <c r="N19" i="3"/>
  <c r="N20" i="3"/>
  <c r="C13" i="4"/>
  <c r="I8" i="4"/>
  <c r="N17" i="3"/>
  <c r="D6" i="4"/>
  <c r="C30" i="4"/>
  <c r="D13" i="4" l="1"/>
  <c r="E13" i="4"/>
  <c r="C9" i="4"/>
  <c r="C7" i="4"/>
  <c r="E7" i="4" l="1"/>
  <c r="D7" i="4"/>
  <c r="D9" i="4"/>
  <c r="E9" i="4"/>
  <c r="G9" i="4" s="1"/>
  <c r="H9" i="4" s="1"/>
  <c r="I13" i="4"/>
  <c r="G13" i="4"/>
  <c r="I7" i="4" l="1"/>
  <c r="G7" i="4"/>
  <c r="H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Krause</author>
  </authors>
  <commentList>
    <comment ref="V1" authorId="0" shapeId="0" xr:uid="{D8691E69-B55E-E342-A4A4-A5C5B6A9789B}">
      <text>
        <r>
          <rPr>
            <b/>
            <sz val="10"/>
            <color rgb="FF000000"/>
            <rFont val="Tahoma"/>
            <family val="2"/>
          </rPr>
          <t>Samuel Krause: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also accounted for the lost Cl- from filtration</t>
        </r>
      </text>
    </comment>
  </commentList>
</comments>
</file>

<file path=xl/sharedStrings.xml><?xml version="1.0" encoding="utf-8"?>
<sst xmlns="http://schemas.openxmlformats.org/spreadsheetml/2006/main" count="145" uniqueCount="101">
  <si>
    <t>Temperature</t>
  </si>
  <si>
    <t>Reaction Time</t>
  </si>
  <si>
    <t>CaO_w</t>
  </si>
  <si>
    <t>CaCl2_w</t>
  </si>
  <si>
    <t>PSD</t>
  </si>
  <si>
    <t>CaO mass per experiment</t>
  </si>
  <si>
    <t>Actual CaO mass per experiment</t>
  </si>
  <si>
    <t>CaCl2 mass per experiment</t>
  </si>
  <si>
    <t>Actual CaCl2 mass per experiment</t>
  </si>
  <si>
    <t xml:space="preserve">Total Ca </t>
  </si>
  <si>
    <t>Actual total Ca</t>
  </si>
  <si>
    <t>Chlorid in product</t>
  </si>
  <si>
    <t>Reactor2</t>
  </si>
  <si>
    <t>Date</t>
  </si>
  <si>
    <t>Reactor</t>
  </si>
  <si>
    <t>Dry weight</t>
  </si>
  <si>
    <t>Reaction #</t>
  </si>
  <si>
    <t>Temperature [°C]</t>
  </si>
  <si>
    <t>Reaction Time [min]</t>
  </si>
  <si>
    <t>CaO mass [g]</t>
  </si>
  <si>
    <t>CaO [w%]</t>
  </si>
  <si>
    <t>CaCl2 mass [g]</t>
  </si>
  <si>
    <t>CaCl2 [w%]</t>
  </si>
  <si>
    <t>Actual total Ca [w%]</t>
  </si>
  <si>
    <t>Chlorid in product [w%]</t>
  </si>
  <si>
    <t>Reactor #</t>
  </si>
  <si>
    <t>Date of experimentation</t>
  </si>
  <si>
    <t>Reactor idf.</t>
  </si>
  <si>
    <t>Dry weight [g]</t>
  </si>
  <si>
    <t>Moisture after filtration</t>
  </si>
  <si>
    <t>Reaction yield (mass)</t>
  </si>
  <si>
    <t>Reaction yield (LOI)</t>
  </si>
  <si>
    <t>Yield regression</t>
  </si>
  <si>
    <t>LOI result</t>
  </si>
  <si>
    <t>Total mass</t>
  </si>
  <si>
    <t>Conversion [%]</t>
  </si>
  <si>
    <t>Comments</t>
  </si>
  <si>
    <t>Sampling date</t>
  </si>
  <si>
    <t>Max objective</t>
  </si>
  <si>
    <t>Screening experiements</t>
  </si>
  <si>
    <t>-</t>
  </si>
  <si>
    <t>Sampling from 30 points with PSD</t>
  </si>
  <si>
    <t>NEW add. 9 Point sampling</t>
  </si>
  <si>
    <t>Component</t>
  </si>
  <si>
    <t>Total Mass (max) [g]</t>
  </si>
  <si>
    <t>Total Mass (max w buffer) [g]</t>
  </si>
  <si>
    <t>mass per experiment</t>
  </si>
  <si>
    <t>pH of the solution (based only on additives)</t>
  </si>
  <si>
    <t>mmol/L additive</t>
  </si>
  <si>
    <t xml:space="preserve">% chlorid in product </t>
  </si>
  <si>
    <t>Ca w% feedstock</t>
  </si>
  <si>
    <t>Ca(OH)2</t>
  </si>
  <si>
    <t>CaCl2</t>
  </si>
  <si>
    <t>CaCO3</t>
  </si>
  <si>
    <t>NaCl</t>
  </si>
  <si>
    <t>NaOH</t>
  </si>
  <si>
    <t>NaHCO3</t>
  </si>
  <si>
    <t>CaSO4(2(H2O)</t>
  </si>
  <si>
    <t xml:space="preserve">CaO </t>
  </si>
  <si>
    <t>Parameters</t>
  </si>
  <si>
    <t>Value</t>
  </si>
  <si>
    <t>Comment</t>
  </si>
  <si>
    <t>Mass of slag</t>
  </si>
  <si>
    <t># of Experiements</t>
  </si>
  <si>
    <t>25 LHS, 25 BO</t>
  </si>
  <si>
    <t>W%</t>
  </si>
  <si>
    <t>gCa/gFeedstock</t>
  </si>
  <si>
    <t>Molar</t>
  </si>
  <si>
    <t>Water mass</t>
  </si>
  <si>
    <t>g</t>
  </si>
  <si>
    <t>S/L ratio</t>
  </si>
  <si>
    <t>Buffer</t>
  </si>
  <si>
    <t>x times the amount</t>
  </si>
  <si>
    <t>water density</t>
  </si>
  <si>
    <t>g/ml</t>
  </si>
  <si>
    <t>Chlorid Threshold (product)</t>
  </si>
  <si>
    <t>% in Final Product</t>
  </si>
  <si>
    <t>Remaining Moisture filter cake</t>
  </si>
  <si>
    <t>% with buffer (5%)</t>
  </si>
  <si>
    <t>Average mass gain</t>
  </si>
  <si>
    <t>%</t>
  </si>
  <si>
    <t>Chlorid Threshold (feedstock)</t>
  </si>
  <si>
    <t>CO intake max</t>
  </si>
  <si>
    <t>Molar Mass [g/mol ]</t>
  </si>
  <si>
    <t>Ca</t>
  </si>
  <si>
    <t xml:space="preserve">Cl </t>
  </si>
  <si>
    <t>Na</t>
  </si>
  <si>
    <t>O</t>
  </si>
  <si>
    <t>H</t>
  </si>
  <si>
    <t>C</t>
  </si>
  <si>
    <t>S</t>
  </si>
  <si>
    <t>CO2</t>
  </si>
  <si>
    <t>gCO2/gCaO</t>
  </si>
  <si>
    <t>gCO2/gCaCl2</t>
  </si>
  <si>
    <t>Parameter</t>
  </si>
  <si>
    <t>min</t>
  </si>
  <si>
    <t>max</t>
  </si>
  <si>
    <t>Reaction time [min]</t>
  </si>
  <si>
    <t>Reaction yield (mass) w/o correction</t>
  </si>
  <si>
    <t>gCl/gCaCl2</t>
  </si>
  <si>
    <t>PSD [µm]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</si>
</sst>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1D35"/>
      <name val="Calibri"/>
      <family val="2"/>
      <scheme val="minor"/>
    </font>
    <font>
      <sz val="12"/>
      <color rgb="FF1F1F1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" fontId="0" fillId="0" borderId="0" xfId="0" applyNumberFormat="1"/>
    <xf numFmtId="2" fontId="1" fillId="3" borderId="0" xfId="0" applyNumberFormat="1" applyFont="1" applyFill="1"/>
    <xf numFmtId="164" fontId="4" fillId="3" borderId="0" xfId="0" applyNumberFormat="1" applyFont="1" applyFill="1"/>
    <xf numFmtId="10" fontId="1" fillId="3" borderId="0" xfId="0" applyNumberFormat="1" applyFont="1" applyFill="1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0" fontId="0" fillId="3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164" fontId="0" fillId="2" borderId="0" xfId="0" applyNumberFormat="1" applyFill="1"/>
    <xf numFmtId="0" fontId="5" fillId="2" borderId="0" xfId="0" applyFont="1" applyFill="1"/>
    <xf numFmtId="165" fontId="0" fillId="2" borderId="0" xfId="0" applyNumberFormat="1" applyFill="1"/>
    <xf numFmtId="164" fontId="6" fillId="2" borderId="0" xfId="0" applyNumberFormat="1" applyFont="1" applyFill="1"/>
    <xf numFmtId="14" fontId="0" fillId="0" borderId="0" xfId="0" applyNumberFormat="1"/>
    <xf numFmtId="164" fontId="4" fillId="0" borderId="0" xfId="0" applyNumberFormat="1" applyFont="1"/>
    <xf numFmtId="10" fontId="0" fillId="0" borderId="0" xfId="0" applyNumberFormat="1"/>
    <xf numFmtId="164" fontId="7" fillId="0" borderId="0" xfId="0" applyNumberFormat="1" applyFont="1"/>
    <xf numFmtId="10" fontId="0" fillId="0" borderId="0" xfId="0" applyNumberFormat="1" applyAlignment="1">
      <alignment wrapText="1"/>
    </xf>
    <xf numFmtId="0" fontId="0" fillId="0" borderId="0" xfId="0" applyAlignment="1">
      <alignment wrapText="1"/>
    </xf>
    <xf numFmtId="10" fontId="0" fillId="4" borderId="0" xfId="0" applyNumberFormat="1" applyFill="1"/>
    <xf numFmtId="10" fontId="8" fillId="0" borderId="0" xfId="0" applyNumberFormat="1" applyFont="1"/>
    <xf numFmtId="2" fontId="0" fillId="0" borderId="0" xfId="0" applyNumberFormat="1"/>
    <xf numFmtId="14" fontId="0" fillId="0" borderId="0" xfId="0" applyNumberFormat="1" applyAlignment="1">
      <alignment wrapText="1"/>
    </xf>
    <xf numFmtId="0" fontId="0" fillId="4" borderId="0" xfId="0" applyFill="1"/>
    <xf numFmtId="1" fontId="0" fillId="4" borderId="3" xfId="0" applyNumberFormat="1" applyFill="1" applyBorder="1"/>
    <xf numFmtId="0" fontId="0" fillId="4" borderId="3" xfId="0" applyFill="1" applyBorder="1"/>
    <xf numFmtId="164" fontId="4" fillId="4" borderId="3" xfId="0" applyNumberFormat="1" applyFont="1" applyFill="1" applyBorder="1"/>
    <xf numFmtId="164" fontId="7" fillId="4" borderId="3" xfId="0" applyNumberFormat="1" applyFont="1" applyFill="1" applyBorder="1"/>
    <xf numFmtId="164" fontId="0" fillId="4" borderId="3" xfId="0" applyNumberFormat="1" applyFill="1" applyBorder="1"/>
    <xf numFmtId="10" fontId="0" fillId="4" borderId="3" xfId="0" applyNumberFormat="1" applyFill="1" applyBorder="1"/>
    <xf numFmtId="10" fontId="0" fillId="4" borderId="3" xfId="0" applyNumberFormat="1" applyFill="1" applyBorder="1" applyAlignment="1">
      <alignment wrapText="1"/>
    </xf>
    <xf numFmtId="14" fontId="0" fillId="4" borderId="3" xfId="0" applyNumberFormat="1" applyFill="1" applyBorder="1"/>
    <xf numFmtId="14" fontId="0" fillId="4" borderId="3" xfId="0" applyNumberFormat="1" applyFill="1" applyBorder="1" applyAlignment="1">
      <alignment wrapText="1"/>
    </xf>
    <xf numFmtId="2" fontId="0" fillId="4" borderId="3" xfId="0" applyNumberFormat="1" applyFill="1" applyBorder="1"/>
    <xf numFmtId="1" fontId="0" fillId="4" borderId="0" xfId="0" applyNumberFormat="1" applyFill="1"/>
    <xf numFmtId="164" fontId="4" fillId="4" borderId="0" xfId="0" applyNumberFormat="1" applyFont="1" applyFill="1"/>
    <xf numFmtId="164" fontId="7" fillId="4" borderId="0" xfId="0" applyNumberFormat="1" applyFont="1" applyFill="1"/>
    <xf numFmtId="164" fontId="0" fillId="4" borderId="0" xfId="0" applyNumberFormat="1" applyFill="1"/>
    <xf numFmtId="10" fontId="0" fillId="4" borderId="0" xfId="0" applyNumberFormat="1" applyFill="1" applyAlignment="1">
      <alignment wrapText="1"/>
    </xf>
    <xf numFmtId="14" fontId="0" fillId="4" borderId="0" xfId="0" applyNumberFormat="1" applyFill="1"/>
    <xf numFmtId="14" fontId="0" fillId="4" borderId="0" xfId="0" applyNumberFormat="1" applyFill="1" applyAlignment="1">
      <alignment wrapText="1"/>
    </xf>
    <xf numFmtId="2" fontId="0" fillId="4" borderId="0" xfId="0" applyNumberFormat="1" applyFill="1"/>
    <xf numFmtId="164" fontId="0" fillId="4" borderId="0" xfId="0" applyNumberFormat="1" applyFill="1" applyAlignment="1">
      <alignment wrapText="1"/>
    </xf>
    <xf numFmtId="10" fontId="0" fillId="5" borderId="0" xfId="0" applyNumberFormat="1" applyFill="1"/>
    <xf numFmtId="164" fontId="7" fillId="6" borderId="0" xfId="0" applyNumberFormat="1" applyFont="1" applyFill="1"/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</cellXfs>
  <cellStyles count="1">
    <cellStyle name="Standard" xfId="0" builtinId="0"/>
  </cellStyles>
  <dxfs count="61"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9" formatCode="dd/mm/yy"/>
    </dxf>
    <dxf>
      <numFmt numFmtId="19" formatCode="dd/mm/yy"/>
    </dxf>
    <dxf>
      <numFmt numFmtId="14" formatCode="0.00%"/>
      <fill>
        <patternFill patternType="solid">
          <fgColor theme="0" tint="-0.14999847407452621"/>
          <bgColor theme="0" tint="-0.14999847407452621"/>
        </patternFill>
      </fill>
    </dxf>
    <dxf>
      <numFmt numFmtId="14" formatCode="0.00%"/>
    </dxf>
    <dxf>
      <numFmt numFmtId="14" formatCode="0.00%"/>
      <alignment horizontal="general" vertical="bottom" textRotation="0" wrapText="1" indent="0" justifyLastLine="0" shrinkToFit="0" readingOrder="0"/>
    </dxf>
    <dxf>
      <numFmt numFmtId="164" formatCode="0.000"/>
    </dxf>
    <dxf>
      <numFmt numFmtId="19" formatCode="dd/mm/yy"/>
      <alignment horizontal="general" vertical="bottom" textRotation="0" wrapText="1" indent="0" justifyLastLine="0" shrinkToFit="0" readingOrder="0"/>
    </dxf>
    <dxf>
      <numFmt numFmtId="19" formatCode="dd/mm/yy"/>
    </dxf>
    <dxf>
      <numFmt numFmtId="14" formatCode="0.00%"/>
      <alignment horizontal="general" vertical="bottom" textRotation="0" wrapText="1" indent="0" justifyLastLine="0" shrinkToFit="0" readingOrder="0"/>
    </dxf>
    <dxf>
      <numFmt numFmtId="14" formatCode="0.00%"/>
      <fill>
        <patternFill patternType="solid">
          <fgColor theme="0" tint="-0.14999847407452621"/>
          <bgColor theme="0"/>
        </patternFill>
      </fill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</dxf>
    <dxf>
      <numFmt numFmtId="1" formatCode="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</dxf>
    <dxf>
      <font>
        <b/>
        <strike val="0"/>
        <condense val="0"/>
        <extend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2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font>
        <strike val="0"/>
        <outline val="0"/>
        <shadow val="0"/>
        <vertAlign val="baseline"/>
        <name val="Calibri"/>
        <family val="2"/>
        <scheme val="minor"/>
      </font>
    </dxf>
    <dxf>
      <numFmt numFmtId="19" formatCode="dd/mm/yy"/>
    </dxf>
    <dxf>
      <numFmt numFmtId="14" formatCode="0.00%"/>
    </dxf>
    <dxf>
      <numFmt numFmtId="14" formatCode="0.00%"/>
    </dxf>
    <dxf>
      <numFmt numFmtId="14" formatCode="0.00%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  <numFmt numFmtId="164" formatCode="0.000"/>
    </dxf>
    <dxf>
      <font>
        <b/>
        <strike val="0"/>
        <outline val="0"/>
        <shadow val="0"/>
        <vertAlign val="baseline"/>
        <sz val="14"/>
        <color theme="1"/>
        <name val="Calibri"/>
        <family val="2"/>
        <scheme val="minor"/>
      </font>
      <numFmt numFmtId="164" formatCode="0.000"/>
    </dxf>
    <dxf>
      <numFmt numFmtId="1" formatCode="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</font>
      <alignment horizontal="center" vertical="top"/>
      <border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Mass</a:t>
            </a:r>
            <a:r>
              <a:rPr lang="de-DE" baseline="0"/>
              <a:t> gain vs LOI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7.4654441271618174E-2"/>
                  <c:y val="0.29622611657577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Experiments!$V$2:$V$9</c:f>
              <c:numCache>
                <c:formatCode>0.00%</c:formatCode>
                <c:ptCount val="8"/>
                <c:pt idx="0">
                  <c:v>0.22739999999999999</c:v>
                </c:pt>
                <c:pt idx="1">
                  <c:v>0.41937727997375057</c:v>
                </c:pt>
                <c:pt idx="2">
                  <c:v>0.27060000000000001</c:v>
                </c:pt>
                <c:pt idx="3">
                  <c:v>0.39145023486272995</c:v>
                </c:pt>
                <c:pt idx="4">
                  <c:v>0.27089999999999997</c:v>
                </c:pt>
                <c:pt idx="5">
                  <c:v>0.32375959300127127</c:v>
                </c:pt>
                <c:pt idx="6">
                  <c:v>0.17029440954699432</c:v>
                </c:pt>
                <c:pt idx="7">
                  <c:v>0.27571211253940653</c:v>
                </c:pt>
              </c:numCache>
            </c:numRef>
          </c:xVal>
          <c:yVal>
            <c:numRef>
              <c:f>Experiments!$AA$2:$AA$9</c:f>
              <c:numCache>
                <c:formatCode>0.00%</c:formatCode>
                <c:ptCount val="8"/>
                <c:pt idx="0">
                  <c:v>0.26949999999999996</c:v>
                </c:pt>
                <c:pt idx="1">
                  <c:v>0.46377564362901125</c:v>
                </c:pt>
                <c:pt idx="2">
                  <c:v>0.31069999999999992</c:v>
                </c:pt>
                <c:pt idx="3">
                  <c:v>0.42015206763682555</c:v>
                </c:pt>
                <c:pt idx="4">
                  <c:v>0.25359999999999999</c:v>
                </c:pt>
                <c:pt idx="5">
                  <c:v>0.29445518446106766</c:v>
                </c:pt>
                <c:pt idx="6">
                  <c:v>0.22136179150254559</c:v>
                </c:pt>
                <c:pt idx="7">
                  <c:v>0.31378120918059582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1-2043-AECF-345C9DD23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50992"/>
        <c:axId val="684152704"/>
      </c:scatterChart>
      <c:valAx>
        <c:axId val="684150992"/>
        <c:scaling>
          <c:orientation val="minMax"/>
          <c:max val="0.5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Yield</a:t>
                </a:r>
                <a:r>
                  <a:rPr lang="de-DE" baseline="0"/>
                  <a:t> from mass gain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2704"/>
        <c:crosses val="autoZero"/>
        <c:crossBetween val="midCat"/>
      </c:valAx>
      <c:valAx>
        <c:axId val="684152704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LOI yield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15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1"/>
  <c:style val="2"/>
  <c:chart>
    <c:title>
      <c:tx>
        <c:rich>
          <a:bodyPr/>
          <a:lstStyle/>
          <a:p>
            <a:r>
              <a:rPr lang="de-DE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Experiments!$B$2:$B$21</c:f>
              <c:numCache>
                <c:formatCode>0</c:formatCode>
                <c:ptCount val="20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107.1127360402414</c:v>
                </c:pt>
                <c:pt idx="6">
                  <c:v>102.8122794351714</c:v>
                </c:pt>
                <c:pt idx="7">
                  <c:v>167.19015659377209</c:v>
                </c:pt>
                <c:pt idx="8">
                  <c:v>135.71942905124479</c:v>
                </c:pt>
                <c:pt idx="9">
                  <c:v>194.5230323668147</c:v>
                </c:pt>
                <c:pt idx="10">
                  <c:v>128.582132653504</c:v>
                </c:pt>
                <c:pt idx="11">
                  <c:v>128.73635576592699</c:v>
                </c:pt>
                <c:pt idx="12">
                  <c:v>106.067122606195</c:v>
                </c:pt>
                <c:pt idx="13">
                  <c:v>169.81242645842599</c:v>
                </c:pt>
                <c:pt idx="14">
                  <c:v>186.47777909137801</c:v>
                </c:pt>
                <c:pt idx="15">
                  <c:v>143.33183394429599</c:v>
                </c:pt>
                <c:pt idx="16">
                  <c:v>114.721960549088</c:v>
                </c:pt>
                <c:pt idx="17">
                  <c:v>159.02080887141301</c:v>
                </c:pt>
                <c:pt idx="18">
                  <c:v>153.33168464509299</c:v>
                </c:pt>
                <c:pt idx="19">
                  <c:v>194.658350012081</c:v>
                </c:pt>
              </c:numCache>
            </c:numRef>
          </c:xVal>
          <c:yVal>
            <c:numRef>
              <c:f>Experiments!$J$2:$J$21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0.27800000000000002</c:v>
                </c:pt>
                <c:pt idx="4">
                  <c:v>0</c:v>
                </c:pt>
                <c:pt idx="5">
                  <c:v>7.8E-2</c:v>
                </c:pt>
                <c:pt idx="6">
                  <c:v>0.433</c:v>
                </c:pt>
                <c:pt idx="7">
                  <c:v>0.46700000000000003</c:v>
                </c:pt>
                <c:pt idx="8">
                  <c:v>0.60599999999999998</c:v>
                </c:pt>
                <c:pt idx="9">
                  <c:v>0.34699999999999998</c:v>
                </c:pt>
                <c:pt idx="10">
                  <c:v>0.54200000000000004</c:v>
                </c:pt>
                <c:pt idx="11">
                  <c:v>0.32800000000000001</c:v>
                </c:pt>
                <c:pt idx="12">
                  <c:v>0.42799999999999999</c:v>
                </c:pt>
                <c:pt idx="13">
                  <c:v>0.58399999999999996</c:v>
                </c:pt>
                <c:pt idx="14">
                  <c:v>0.54500000000000004</c:v>
                </c:pt>
                <c:pt idx="15">
                  <c:v>0.41699999999999998</c:v>
                </c:pt>
                <c:pt idx="16">
                  <c:v>0.25939543992671571</c:v>
                </c:pt>
                <c:pt idx="17">
                  <c:v>0.10299999999999999</c:v>
                </c:pt>
                <c:pt idx="18">
                  <c:v>5.6000000000000001E-2</c:v>
                </c:pt>
                <c:pt idx="19">
                  <c:v>0.19600000000000001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3-1042-B984-B1A82191D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3376"/>
        <c:axId val="155459456"/>
      </c:scatterChart>
      <c:valAx>
        <c:axId val="156073376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459456"/>
        <c:crosses val="autoZero"/>
        <c:crossBetween val="midCat"/>
      </c:valAx>
      <c:valAx>
        <c:axId val="1554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073376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807394</xdr:colOff>
      <xdr:row>1</xdr:row>
      <xdr:rowOff>16752</xdr:rowOff>
    </xdr:from>
    <xdr:to>
      <xdr:col>37</xdr:col>
      <xdr:colOff>503407</xdr:colOff>
      <xdr:row>17</xdr:row>
      <xdr:rowOff>151860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F9C032C-2956-0C5B-C49B-52FBBF4EA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165100</xdr:colOff>
      <xdr:row>2</xdr:row>
      <xdr:rowOff>166294</xdr:rowOff>
    </xdr:from>
    <xdr:to>
      <xdr:col>37</xdr:col>
      <xdr:colOff>307730</xdr:colOff>
      <xdr:row>16</xdr:row>
      <xdr:rowOff>215900</xdr:rowOff>
    </xdr:to>
    <xdr:cxnSp macro="">
      <xdr:nvCxnSpPr>
        <xdr:cNvPr id="5" name="Gerade Verbindung 4">
          <a:extLst>
            <a:ext uri="{FF2B5EF4-FFF2-40B4-BE49-F238E27FC236}">
              <a16:creationId xmlns:a16="http://schemas.microsoft.com/office/drawing/2014/main" id="{C1D2DFF4-8951-C46F-0A70-36D8954B913F}"/>
            </a:ext>
          </a:extLst>
        </xdr:cNvPr>
        <xdr:cNvCxnSpPr/>
      </xdr:nvCxnSpPr>
      <xdr:spPr>
        <a:xfrm flipH="1">
          <a:off x="39751000" y="1423594"/>
          <a:ext cx="5095630" cy="3427806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4</xdr:row>
      <xdr:rowOff>0</xdr:rowOff>
    </xdr:from>
    <xdr:to>
      <xdr:col>6</xdr:col>
      <xdr:colOff>557351</xdr:colOff>
      <xdr:row>17</xdr:row>
      <xdr:rowOff>116006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31" totalsRowShown="0" headerRowDxfId="60" headerRowBorderDxfId="59" tableBorderDxfId="58">
  <autoFilter ref="A1:P31" xr:uid="{00000000-0009-0000-0100-000001000000}"/>
  <sortState xmlns:xlrd2="http://schemas.microsoft.com/office/spreadsheetml/2017/richdata2" ref="A2:N31">
    <sortCondition ref="N1:N31"/>
  </sortState>
  <tableColumns count="16">
    <tableColumn id="1" xr3:uid="{00000000-0010-0000-0000-000001000000}" name="Temperature" dataDxfId="57"/>
    <tableColumn id="2" xr3:uid="{00000000-0010-0000-0000-000002000000}" name="Reaction Time" dataDxfId="56"/>
    <tableColumn id="3" xr3:uid="{00000000-0010-0000-0000-000003000000}" name="CaO_w"/>
    <tableColumn id="7" xr3:uid="{00000000-0010-0000-0000-000007000000}" name="CaO mass per experiment" dataDxfId="55">
      <calculatedColumnFormula>Tabelle2!$C$42/Tabelle2!$C$43*0.01*Tabelle1[[#This Row],[CaO_w]]*Tabelle2!$C$19</calculatedColumnFormula>
    </tableColumn>
    <tableColumn id="14" xr3:uid="{00000000-0010-0000-0000-00000E000000}" name="Actual CaO mass per experiment" dataDxfId="54"/>
    <tableColumn id="4" xr3:uid="{00000000-0010-0000-0000-000004000000}" name="CaCl2_w"/>
    <tableColumn id="8" xr3:uid="{00000000-0010-0000-0000-000008000000}" name="CaCl2 mass per experiment" dataDxfId="53">
      <calculatedColumnFormula>Tabelle1[[#This Row],[CaCl2_w]]/Tabelle2!$C$43*Tabelle2!$C$36*Tabelle2!$C$19*0.01</calculatedColumnFormula>
    </tableColumn>
    <tableColumn id="16" xr3:uid="{00000000-0010-0000-0000-000010000000}" name="Actual CaCl2 mass per experiment" dataDxfId="52"/>
    <tableColumn id="9" xr3:uid="{00000000-0010-0000-0000-000009000000}" name="Total Ca " dataDxfId="51">
      <calculatedColumnFormula>(Tabelle1[[#This Row],[CaCl2_w]]+Tabelle1[[#This Row],[CaO_w]])/100</calculatedColumnFormula>
    </tableColumn>
    <tableColumn id="18" xr3:uid="{00000000-0010-0000-0000-000012000000}" name="Actual total Ca" dataDxfId="50">
      <calculatedColumnFormula>(Tabelle1[[#This Row],[Actual CaCl2 mass per experiment]]/(1/Tabelle2!$C$43*Tabelle2!$C$36*Tabelle2!$C$19*0.01)+Tabelle1[[#This Row],[Actual CaO mass per experiment]]/(Tabelle2!$C$42/Tabelle2!$C$43*0.01*Tabelle2!$C$19))*0.01</calculatedColumnFormula>
    </tableColumn>
    <tableColumn id="13" xr3:uid="{00000000-0010-0000-0000-00000D000000}" name="Chlorid in product" dataDxfId="49">
      <calculatedColumnFormula>Tabelle1[[#This Row],[Actual CaCl2 mass per experiment]]*Tabelle2!$C$28/(Tabelle2!$C$19*(1+Tabelle2!$C$29))*(2*Tabelle2!$C$44/Tabelle2!$C$36)</calculatedColumnFormula>
    </tableColumn>
    <tableColumn id="5" xr3:uid="{00000000-0010-0000-0000-000005000000}" name="PSD"/>
    <tableColumn id="10" xr3:uid="{00000000-0010-0000-0000-00000A000000}" name="Reactor2"/>
    <tableColumn id="11" xr3:uid="{00000000-0010-0000-0000-00000B000000}" name="Date"/>
    <tableColumn id="12" xr3:uid="{00000000-0010-0000-0000-00000C000000}" name="Reactor" dataDxfId="48">
      <calculatedColumnFormula>IF(Tabelle1[[#This Row],[Reactor2]]=0,"BR300-2",IF(Tabelle1[[#This Row],[Reactor2]]=1,"BR300-3",IF(Tabelle1[[#This Row],[Reactor2]]=2,"BR300-4")))</calculatedColumnFormula>
    </tableColumn>
    <tableColumn id="17" xr3:uid="{00000000-0010-0000-0000-000011000000}" name="Dry 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1FA3C8-85AA-E644-A454-B3DD7AD42B1D}" name="Tabelle6" displayName="Tabelle6" ref="A1:AD21" totalsRowShown="0" headerRowDxfId="7" tableBorderDxfId="26">
  <autoFilter ref="A1:AD21" xr:uid="{D81FA3C8-85AA-E644-A454-B3DD7AD42B1D}"/>
  <tableColumns count="30">
    <tableColumn id="1" xr3:uid="{FA333C69-DB75-AC4F-A2E9-70917E886563}" name="Reaction #" dataDxfId="25"/>
    <tableColumn id="2" xr3:uid="{854A2117-6862-A447-953B-9B986B9520DF}" name="Temperature [°C]" dataDxfId="24"/>
    <tableColumn id="3" xr3:uid="{6899BD1D-0862-4C42-9CC3-1EF252A7D1CE}" name="Reaction Time [min]" dataDxfId="23"/>
    <tableColumn id="4" xr3:uid="{9D5428BB-0E7C-E742-B70C-D51AC8ADB82B}" name="CaO_w"/>
    <tableColumn id="5" xr3:uid="{994250B0-1360-A64B-A9EE-F07E182FBE2C}" name="CaO mass per experiment" dataDxfId="6">
      <calculatedColumnFormula>Tabelle2!$C$42/Tabelle2!$C$43*0.01*Experiments!$D2*Tabelle2!$C$19</calculatedColumnFormula>
    </tableColumn>
    <tableColumn id="6" xr3:uid="{1D6F7060-0AFB-F44D-83B1-711B85A99CB4}" name="CaO mass [g]" dataDxfId="22"/>
    <tableColumn id="7" xr3:uid="{E45C3921-DCAC-2943-A435-ABE697ABB68E}" name="CaO [w%]" dataDxfId="5">
      <calculatedColumnFormula>(Tabelle2!$C$42/Tabelle2!$C$43*0.01*Tabelle2!$C$19)^(-1)*Experiments!$F2</calculatedColumnFormula>
    </tableColumn>
    <tableColumn id="8" xr3:uid="{99678C19-C0BB-4545-B2EF-4764DEED8CC3}" name="CaCl2_w"/>
    <tableColumn id="9" xr3:uid="{434E9367-D0B0-5547-92F0-B06F8BDB581C}" name="CaCl2 mass per experiment" dataDxfId="21">
      <calculatedColumnFormula>Experiments!$H2/Tabelle2!$C$43*Tabelle2!$C$36*Tabelle2!$C$19*0.01</calculatedColumnFormula>
    </tableColumn>
    <tableColumn id="10" xr3:uid="{E9B3A6ED-7D94-DA4F-94CD-884FBE7C8751}" name="CaCl2 mass [g]" dataDxfId="20"/>
    <tableColumn id="11" xr3:uid="{A2418104-BC6A-CF4C-BE92-42E0EC9435B5}" name="CaCl2 [w%]" dataDxfId="19">
      <calculatedColumnFormula>(1/Tabelle2!$C$43*Tabelle2!$C$36*Tabelle2!$C$19*0.01)^(-1)*Experiments!$J2</calculatedColumnFormula>
    </tableColumn>
    <tableColumn id="12" xr3:uid="{1E39F7CB-D12C-F243-93BD-0AFC6C334F25}" name="Total Ca " dataDxfId="18">
      <calculatedColumnFormula>(Experiments!$H2+Experiments!$D2)/100</calculatedColumnFormula>
    </tableColumn>
    <tableColumn id="13" xr3:uid="{5BEEFBBF-55AE-2B4A-82D5-048D43AB9D68}" name="Actual total Ca [w%]" dataDxfId="17">
      <calculatedColumnFormula>(G2+K2)/100</calculatedColumnFormula>
    </tableColumn>
    <tableColumn id="14" xr3:uid="{C9CC35B3-EAD9-C546-A821-850392D483F4}" name="Chlorid in product [w%]" dataDxfId="16">
      <calculatedColumnFormula>Experiments!$J2*Tabelle2!$C$28/(Tabelle2!$C$19*(1+Tabelle2!$C$29))*(2*Tabelle2!$C$44/Tabelle2!$C$36)</calculatedColumnFormula>
    </tableColumn>
    <tableColumn id="15" xr3:uid="{90A7990B-6627-5C45-98C7-11DB2CABFBFF}" name="PSD [µm]"/>
    <tableColumn id="16" xr3:uid="{219D7BB6-FD03-1841-81F7-CB8E04AAADF6}" name="Reactor #"/>
    <tableColumn id="17" xr3:uid="{12AD3B0F-91E5-7F4C-ADF6-68D5A26A880C}" name="Date of experimentation" dataDxfId="15"/>
    <tableColumn id="18" xr3:uid="{B731904B-5588-1A44-AE29-B8E8CDF09416}" name="Reactor idf." dataDxfId="14">
      <calculatedColumnFormula>IF(Experiments!$P2=0,"BR300-2",IF(Experiments!$P2=1,"BR300-3",IF(Experiments!$P2=2,"BR300-4")))</calculatedColumnFormula>
    </tableColumn>
    <tableColumn id="19" xr3:uid="{410A1485-F11D-1941-9A39-0740D400C104}" name="Dry weight [g]" dataDxfId="13"/>
    <tableColumn id="20" xr3:uid="{1F7B1AD0-C2AE-414D-8573-9C724B1853FC}" name="Moisture after filtration"/>
    <tableColumn id="21" xr3:uid="{654CBD14-B48B-FF4A-8D65-8BACD8CAD992}" name="Reaction yield (mass) w/o correction" dataDxfId="12"/>
    <tableColumn id="31" xr3:uid="{4A702EAF-116F-284E-B370-8F99D692B63E}" name="Reaction yield (mass)" dataDxfId="0">
      <calculatedColumnFormula>Tabelle6[[#This Row],[Reaction yield (mass) w/o correction]]-(Tabelle6[[#This Row],[CaCl2 mass '[g']]]*(1+Tabelle2!$C$52)+Tabelle6[[#This Row],[CaO mass '[g']]]*(1+Tabelle2!$C$51)-Tabelle6[[#This Row],[CaCl2 mass '[g']]]*Tabelle2!$C$53*(1-Tabelle2!$C$28))/(50)</calculatedColumnFormula>
    </tableColumn>
    <tableColumn id="22" xr3:uid="{3D68A0C0-9BC5-504E-86BD-A4A74611F183}" name="Reaction yield (LOI)" dataDxfId="11"/>
    <tableColumn id="23" xr3:uid="{FB57FF52-772F-6346-87BA-611DF7612C1E}" name="Yield regression">
      <calculatedColumnFormula>0.0846+0.9069*Experiments!$U2</calculatedColumnFormula>
    </tableColumn>
    <tableColumn id="24" xr3:uid="{4EF95CD0-5473-7846-A65B-3577EA25B536}" name="LOI result" dataDxfId="10">
      <calculatedColumnFormula>Experiments!$W2*Tabelle2!$C$31/(1+Tabelle2!$C$31*Experiments!$W2)</calculatedColumnFormula>
    </tableColumn>
    <tableColumn id="25" xr3:uid="{4BADC213-418A-A449-B900-23236DA6B598}" name="Total mass" dataDxfId="2">
      <calculatedColumnFormula>50+Experiments!$F2+Experiments!$J2-Tabelle6[[#This Row],[CaCl2 mass '[g']]]*Tabelle2!$C$53*(1-Tabelle2!$C$28)</calculatedColumnFormula>
    </tableColumn>
    <tableColumn id="26" xr3:uid="{CB59747D-56FF-8C41-8A28-828B478AA604}" name="Conversion [%]" dataDxfId="1">
      <calculatedColumnFormula>(Z2*Y2-(1-Y2)*(F2*Tabelle2!$C$51+Tabelle2!$C$52*J2))/(1-Y2)/(75*Tabelle2!$C$31)</calculatedColumnFormula>
    </tableColumn>
    <tableColumn id="27" xr3:uid="{E23B3E2F-8C82-5443-B9AB-659353CBD9CC}" name="Comments"/>
    <tableColumn id="28" xr3:uid="{F169F98D-DFF2-A846-B6B3-321708D2E11F}" name="Sampling date" dataDxfId="9"/>
    <tableColumn id="29" xr3:uid="{8F58729F-C31A-6F41-805B-5AFA0DA3CF11}" name="Max objective" dataDxfId="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8" displayName="Tabelle38" ref="B18:D31" totalsRowShown="0" headerRowDxfId="47" dataDxfId="46">
  <autoFilter ref="B18:D31" xr:uid="{00000000-0009-0000-0100-000002000000}"/>
  <tableColumns count="3">
    <tableColumn id="1" xr3:uid="{00000000-0010-0000-0100-000001000000}" name="Parameters" dataDxfId="45"/>
    <tableColumn id="2" xr3:uid="{00000000-0010-0000-0100-000002000000}" name="Value" dataDxfId="44"/>
    <tableColumn id="3" xr3:uid="{00000000-0010-0000-0100-000003000000}" name="Comment" dataDxfId="4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49" displayName="Tabelle49" ref="B34:C50" totalsRowCount="1" headerRowDxfId="42" dataDxfId="41">
  <autoFilter ref="B34:C49" xr:uid="{00000000-0009-0000-0100-000003000000}"/>
  <tableColumns count="2">
    <tableColumn id="1" xr3:uid="{00000000-0010-0000-0200-000001000000}" name="Component" totalsRowLabel="CO2" dataDxfId="40" totalsRowDxfId="39"/>
    <tableColumn id="2" xr3:uid="{00000000-0010-0000-0200-000002000000}" name="Molar Mass [g/mol ]" totalsRowFunction="custom" dataDxfId="38" totalsRowDxfId="37">
      <totalsRowFormula>2*C46+C48</totalsRow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510" displayName="Tabelle510" ref="B5:I13" totalsRowShown="0" headerRowDxfId="36" dataDxfId="35">
  <autoFilter ref="B5:I13" xr:uid="{00000000-0009-0000-0100-000004000000}"/>
  <tableColumns count="8">
    <tableColumn id="7" xr3:uid="{00000000-0010-0000-0300-000007000000}" name="Component" dataDxfId="34"/>
    <tableColumn id="1" xr3:uid="{00000000-0010-0000-0300-000001000000}" name="Total Mass (max) [g]" dataDxfId="33"/>
    <tableColumn id="2" xr3:uid="{00000000-0010-0000-0300-000002000000}" name="Total Mass (max w buffer) [g]" dataDxfId="32">
      <calculatedColumnFormula>C6*$C$25</calculatedColumnFormula>
    </tableColumn>
    <tableColumn id="3" xr3:uid="{00000000-0010-0000-0300-000003000000}" name="mass per experiment" dataDxfId="31"/>
    <tableColumn id="4" xr3:uid="{00000000-0010-0000-0300-000004000000}" name="pH of the solution (based only on additives)" dataDxfId="30"/>
    <tableColumn id="5" xr3:uid="{00000000-0010-0000-0300-000005000000}" name="mmol/L additive" dataDxfId="29"/>
    <tableColumn id="6" xr3:uid="{00000000-0010-0000-0300-000006000000}" name="% chlorid in product " dataDxfId="28"/>
    <tableColumn id="8" xr3:uid="{00000000-0010-0000-0300-000008000000}" name="Ca w% feedstock" dataDxfId="27">
      <calculatedColumnFormula>Tabelle510[[#This Row],[mass per experiment]]*$C$43/C35/$C$19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7" displayName="Tabelle7" ref="A1:C5" totalsRowShown="0">
  <autoFilter ref="A1:C5" xr:uid="{00000000-0009-0000-0100-000005000000}"/>
  <tableColumns count="3">
    <tableColumn id="1" xr3:uid="{00000000-0010-0000-0400-000001000000}" name="Parameter"/>
    <tableColumn id="2" xr3:uid="{00000000-0010-0000-0400-000002000000}" name="min"/>
    <tableColumn id="3" xr3:uid="{00000000-0010-0000-0400-000003000000}" name="max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I14" sqref="I1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154.13301916833029</v>
      </c>
      <c r="B2">
        <v>77.637964623991479</v>
      </c>
      <c r="C2">
        <v>0.27846975984740602</v>
      </c>
      <c r="D2">
        <v>5.6957599399038321E-2</v>
      </c>
      <c r="E2">
        <v>2</v>
      </c>
    </row>
    <row r="3" spans="1:5" x14ac:dyDescent="0.2">
      <c r="A3">
        <v>128.44199156513491</v>
      </c>
      <c r="B3">
        <v>66.845387960342748</v>
      </c>
      <c r="C3">
        <v>0.45420954704684913</v>
      </c>
      <c r="D3">
        <v>0.14158857271382849</v>
      </c>
      <c r="E3">
        <v>2</v>
      </c>
    </row>
    <row r="4" spans="1:5" x14ac:dyDescent="0.2">
      <c r="A4">
        <v>195.55098131140949</v>
      </c>
      <c r="B4">
        <v>50.80351600845583</v>
      </c>
      <c r="C4">
        <v>0.96185641002567501</v>
      </c>
      <c r="D4">
        <v>0.37026313449221798</v>
      </c>
      <c r="E4">
        <v>3</v>
      </c>
    </row>
    <row r="5" spans="1:5" x14ac:dyDescent="0.2">
      <c r="A5">
        <v>171.13644565189571</v>
      </c>
      <c r="B5">
        <v>88.738360714430058</v>
      </c>
      <c r="C5">
        <v>0.48851777032033727</v>
      </c>
      <c r="D5">
        <v>0.28566330947251201</v>
      </c>
      <c r="E5">
        <v>2</v>
      </c>
    </row>
    <row r="6" spans="1:5" x14ac:dyDescent="0.2">
      <c r="A6">
        <v>151.57496316630031</v>
      </c>
      <c r="B6">
        <v>113.1856263747562</v>
      </c>
      <c r="C6">
        <v>1.8946464092127411</v>
      </c>
      <c r="D6">
        <v>6.7878570950340375E-2</v>
      </c>
      <c r="E6">
        <v>3</v>
      </c>
    </row>
    <row r="7" spans="1:5" x14ac:dyDescent="0.2">
      <c r="A7">
        <v>139.3741247337189</v>
      </c>
      <c r="B7">
        <v>99.29791136376258</v>
      </c>
      <c r="C7">
        <v>0.67622126335278299</v>
      </c>
      <c r="D7">
        <v>1.9655135802275601E-2</v>
      </c>
      <c r="E7">
        <v>0</v>
      </c>
    </row>
    <row r="8" spans="1:5" x14ac:dyDescent="0.2">
      <c r="A8">
        <v>175.87887173691601</v>
      </c>
      <c r="B8">
        <v>107.8648063075218</v>
      </c>
      <c r="C8">
        <v>0.1035828972625156</v>
      </c>
      <c r="D8">
        <v>0.20758521683220141</v>
      </c>
      <c r="E8">
        <v>2</v>
      </c>
    </row>
    <row r="9" spans="1:5" x14ac:dyDescent="0.2">
      <c r="A9">
        <v>121.1829583305352</v>
      </c>
      <c r="B9">
        <v>103.0080504657862</v>
      </c>
      <c r="C9">
        <v>0.23463223784375811</v>
      </c>
      <c r="D9">
        <v>0.13406368903318069</v>
      </c>
      <c r="E9">
        <v>0</v>
      </c>
    </row>
    <row r="10" spans="1:5" x14ac:dyDescent="0.2">
      <c r="A10">
        <v>149.0865533804749</v>
      </c>
      <c r="B10">
        <v>131.9106238078146</v>
      </c>
      <c r="C10">
        <v>0.6073535470320256</v>
      </c>
      <c r="D10">
        <v>0.26690986573199182</v>
      </c>
      <c r="E10">
        <v>1</v>
      </c>
    </row>
    <row r="11" spans="1:5" x14ac:dyDescent="0.2">
      <c r="A11">
        <v>157.5203954395933</v>
      </c>
      <c r="B11">
        <v>57.368802969276047</v>
      </c>
      <c r="C11">
        <v>1.3052898600631819</v>
      </c>
      <c r="D11">
        <v>0.41433372528301071</v>
      </c>
      <c r="E11">
        <v>1</v>
      </c>
    </row>
    <row r="12" spans="1:5" x14ac:dyDescent="0.2">
      <c r="A12">
        <v>165.55700786714769</v>
      </c>
      <c r="B12">
        <v>38.40083785518226</v>
      </c>
      <c r="C12">
        <v>0.75470581342868392</v>
      </c>
      <c r="D12">
        <v>0.32646226955784829</v>
      </c>
      <c r="E12">
        <v>1</v>
      </c>
    </row>
    <row r="13" spans="1:5" x14ac:dyDescent="0.2">
      <c r="A13">
        <v>110.53199708788659</v>
      </c>
      <c r="B13">
        <v>44.321795939446517</v>
      </c>
      <c r="C13">
        <v>1.5156154344427839</v>
      </c>
      <c r="D13">
        <v>0.1783112926532229</v>
      </c>
      <c r="E13">
        <v>3</v>
      </c>
    </row>
    <row r="14" spans="1:5" x14ac:dyDescent="0.2">
      <c r="A14">
        <v>168.33846502472761</v>
      </c>
      <c r="B14">
        <v>126.9946537168447</v>
      </c>
      <c r="C14">
        <v>0.54894620712318154</v>
      </c>
      <c r="D14">
        <v>0.31490995789544068</v>
      </c>
      <c r="E14">
        <v>2</v>
      </c>
    </row>
    <row r="15" spans="1:5" x14ac:dyDescent="0.2">
      <c r="A15">
        <v>191.60292196332281</v>
      </c>
      <c r="B15">
        <v>93.246074106613491</v>
      </c>
      <c r="C15">
        <v>1.791605085344234</v>
      </c>
      <c r="D15">
        <v>0.29270046309464592</v>
      </c>
      <c r="E15">
        <v>1</v>
      </c>
    </row>
    <row r="16" spans="1:5" x14ac:dyDescent="0.2">
      <c r="A16">
        <v>145.9028752567603</v>
      </c>
      <c r="B16">
        <v>151.52031582116399</v>
      </c>
      <c r="C16">
        <v>1.7008275677886839</v>
      </c>
      <c r="D16">
        <v>0.23503176540065401</v>
      </c>
      <c r="E16">
        <v>2</v>
      </c>
    </row>
    <row r="17" spans="1:5" x14ac:dyDescent="0.2">
      <c r="A17">
        <v>101.7096817876199</v>
      </c>
      <c r="B17">
        <v>115.86663956925101</v>
      </c>
      <c r="C17">
        <v>0.1655449557544576</v>
      </c>
      <c r="D17">
        <v>0.1853982211999477</v>
      </c>
      <c r="E17">
        <v>1</v>
      </c>
    </row>
    <row r="18" spans="1:5" x14ac:dyDescent="0.2">
      <c r="A18">
        <v>117.05306590122819</v>
      </c>
      <c r="B18">
        <v>82.817365471460505</v>
      </c>
      <c r="C18">
        <v>1.428328884540671</v>
      </c>
      <c r="D18">
        <v>0.38242625957950682</v>
      </c>
      <c r="E18">
        <v>1</v>
      </c>
    </row>
    <row r="19" spans="1:5" x14ac:dyDescent="0.2">
      <c r="A19">
        <v>115.3455024094867</v>
      </c>
      <c r="B19">
        <v>176.7724279419364</v>
      </c>
      <c r="C19">
        <v>0.80905798896916248</v>
      </c>
      <c r="D19">
        <v>0.40028427495269758</v>
      </c>
      <c r="E19">
        <v>2</v>
      </c>
    </row>
    <row r="20" spans="1:5" x14ac:dyDescent="0.2">
      <c r="A20">
        <v>132.8270630225706</v>
      </c>
      <c r="B20">
        <v>47.656433325091832</v>
      </c>
      <c r="C20">
        <v>1.4024765226641089E-2</v>
      </c>
      <c r="D20">
        <v>0.4369239538075525</v>
      </c>
      <c r="E20">
        <v>3</v>
      </c>
    </row>
    <row r="21" spans="1:5" x14ac:dyDescent="0.2">
      <c r="A21">
        <v>188.5371817817969</v>
      </c>
      <c r="B21">
        <v>122.11581833756939</v>
      </c>
      <c r="C21">
        <v>1.563557083838373</v>
      </c>
      <c r="D21">
        <v>8.2854537170038045E-2</v>
      </c>
      <c r="E21">
        <v>3</v>
      </c>
    </row>
    <row r="22" spans="1:5" x14ac:dyDescent="0.2">
      <c r="A22">
        <v>142.7899134040176</v>
      </c>
      <c r="B22">
        <v>32.502130758832969</v>
      </c>
      <c r="C22">
        <v>1.949619178682519</v>
      </c>
      <c r="D22">
        <v>9.6778207839457189E-2</v>
      </c>
      <c r="E22">
        <v>0</v>
      </c>
    </row>
    <row r="23" spans="1:5" x14ac:dyDescent="0.2">
      <c r="A23">
        <v>180.94488702683091</v>
      </c>
      <c r="B23">
        <v>163.78152214055149</v>
      </c>
      <c r="C23">
        <v>0.924548689512115</v>
      </c>
      <c r="D23">
        <v>0.16240362349819309</v>
      </c>
      <c r="E23">
        <v>3</v>
      </c>
    </row>
    <row r="24" spans="1:5" x14ac:dyDescent="0.2">
      <c r="A24">
        <v>108.4562944929331</v>
      </c>
      <c r="B24">
        <v>156.65233245876999</v>
      </c>
      <c r="C24">
        <v>1.1172641611841641</v>
      </c>
      <c r="D24">
        <v>0.1096929390858616</v>
      </c>
      <c r="E24">
        <v>3</v>
      </c>
    </row>
    <row r="25" spans="1:5" x14ac:dyDescent="0.2">
      <c r="A25">
        <v>199.62113073317789</v>
      </c>
      <c r="B25">
        <v>136.95008120212529</v>
      </c>
      <c r="C25">
        <v>1.159352659059262</v>
      </c>
      <c r="D25">
        <v>0.4448854908018483</v>
      </c>
      <c r="E25">
        <v>0</v>
      </c>
    </row>
    <row r="26" spans="1:5" x14ac:dyDescent="0.2">
      <c r="A26">
        <v>105.3474654223789</v>
      </c>
      <c r="B26">
        <v>62.205120603513883</v>
      </c>
      <c r="C26">
        <v>1.62796685919566</v>
      </c>
      <c r="D26">
        <v>0.21588303414413079</v>
      </c>
      <c r="E26">
        <v>1</v>
      </c>
    </row>
    <row r="27" spans="1:5" x14ac:dyDescent="0.2">
      <c r="A27">
        <v>134.5913414124912</v>
      </c>
      <c r="B27">
        <v>174.1237034794033</v>
      </c>
      <c r="C27">
        <v>1.223535937405519</v>
      </c>
      <c r="D27">
        <v>0.34454426491253742</v>
      </c>
      <c r="E27">
        <v>0</v>
      </c>
    </row>
    <row r="28" spans="1:5" x14ac:dyDescent="0.2">
      <c r="A28">
        <v>184.6327368835062</v>
      </c>
      <c r="B28">
        <v>73.857823981825845</v>
      </c>
      <c r="C28">
        <v>1.366458781871337</v>
      </c>
      <c r="D28">
        <v>3.963301961047868E-2</v>
      </c>
      <c r="E28">
        <v>0</v>
      </c>
    </row>
    <row r="29" spans="1:5" x14ac:dyDescent="0.2">
      <c r="A29">
        <v>162.70442458513921</v>
      </c>
      <c r="B29">
        <v>166.83409280438289</v>
      </c>
      <c r="C29">
        <v>1.0208366715943671</v>
      </c>
      <c r="D29">
        <v>0.24703061322441211</v>
      </c>
      <c r="E29">
        <v>0</v>
      </c>
    </row>
    <row r="30" spans="1:5" x14ac:dyDescent="0.2">
      <c r="A30">
        <v>125.3716191562839</v>
      </c>
      <c r="B30">
        <v>149.09691579102929</v>
      </c>
      <c r="C30">
        <v>1.8375475171047939</v>
      </c>
      <c r="D30">
        <v>0.36111234929690039</v>
      </c>
      <c r="E30">
        <v>2</v>
      </c>
    </row>
    <row r="31" spans="1:5" x14ac:dyDescent="0.2">
      <c r="A31">
        <v>178.93330418180389</v>
      </c>
      <c r="B31">
        <v>142.9784273529992</v>
      </c>
      <c r="C31">
        <v>0.35439155203314121</v>
      </c>
      <c r="D31">
        <v>1.1787207490498259E-2</v>
      </c>
      <c r="E31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topLeftCell="C1" workbookViewId="0">
      <selection sqref="A1:P31"/>
    </sheetView>
  </sheetViews>
  <sheetFormatPr baseColWidth="10" defaultRowHeight="15" x14ac:dyDescent="0.2"/>
  <cols>
    <col min="1" max="1" width="13.6640625" customWidth="1"/>
    <col min="2" max="2" width="14.5" customWidth="1"/>
    <col min="3" max="3" width="10.83203125" customWidth="1"/>
    <col min="4" max="4" width="25.83203125" bestFit="1" customWidth="1"/>
    <col min="5" max="5" width="25.83203125" customWidth="1"/>
    <col min="6" max="6" width="10.83203125" customWidth="1"/>
    <col min="7" max="8" width="27.33203125" bestFit="1" customWidth="1"/>
    <col min="9" max="9" width="12.5" bestFit="1" customWidth="1"/>
    <col min="10" max="10" width="16" customWidth="1"/>
    <col min="11" max="11" width="20.1640625" bestFit="1" customWidth="1"/>
    <col min="13" max="13" width="13" hidden="1" customWidth="1"/>
    <col min="15" max="15" width="14.5" bestFit="1" customWidth="1"/>
  </cols>
  <sheetData>
    <row r="1" spans="1:16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3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4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ht="19" customHeight="1" x14ac:dyDescent="0.25">
      <c r="A2" s="3">
        <v>107.1127360402414</v>
      </c>
      <c r="B2" s="3">
        <v>163.2431056250521</v>
      </c>
      <c r="C2">
        <v>1.8240216397807101</v>
      </c>
      <c r="D2" s="20">
        <f>Tabelle2!$C$42/Tabelle2!$C$43*0.01*Tabelle1[[#This Row],[CaO_w]]*Tabelle2!$C$19</f>
        <v>1.2760915103378263</v>
      </c>
      <c r="E2" s="22">
        <v>1.2769999999999999</v>
      </c>
      <c r="F2">
        <v>5.1580668433623543E-2</v>
      </c>
      <c r="G2" s="20">
        <f>Tabelle1[[#This Row],[CaCl2_w]]/Tabelle2!$C$43*Tabelle2!$C$36*Tabelle2!$C$19*0.01</f>
        <v>7.1418595057603618E-2</v>
      </c>
      <c r="H2" s="22">
        <v>7.8E-2</v>
      </c>
      <c r="I2" s="21">
        <f>(Tabelle1[[#This Row],[CaCl2_w]]+Tabelle1[[#This Row],[CaO_w]])/100</f>
        <v>1.8756023082143337E-2</v>
      </c>
      <c r="J2" s="21">
        <f>(Tabelle1[[#This Row],[Actual CaCl2 mass per experiment]]/(1/Tabelle2!$C$43*Tabelle2!$C$36*Tabelle2!$C$19*0.01)+Tabelle1[[#This Row],[Actual CaO mass per experiment]]/(Tabelle2!$C$42/Tabelle2!$C$43*0.01*Tabelle2!$C$19))*0.01</f>
        <v>1.8816541761750953E-2</v>
      </c>
      <c r="K2" s="21">
        <f>Tabelle1[[#This Row],[Actual CaCl2 mass per experiment]]*Tabelle2!$C$28/(Tabelle2!$C$19*(1+Tabelle2!$C$29))*(2*Tabelle2!$C$44/Tabelle2!$C$36)</f>
        <v>2.4809035849063878E-4</v>
      </c>
      <c r="L2">
        <v>0</v>
      </c>
      <c r="M2">
        <v>0</v>
      </c>
      <c r="N2" s="19">
        <v>45775</v>
      </c>
      <c r="O2" s="19" t="str">
        <f>IF(Tabelle1[[#This Row],[Reactor2]]=0,"BR300-2",IF(Tabelle1[[#This Row],[Reactor2]]=1,"BR300-3",IF(Tabelle1[[#This Row],[Reactor2]]=2,"BR300-4")))</f>
        <v>BR300-2</v>
      </c>
    </row>
    <row r="3" spans="1:16" ht="19" customHeight="1" x14ac:dyDescent="0.25">
      <c r="A3" s="3">
        <v>102.8122794351714</v>
      </c>
      <c r="B3" s="3">
        <v>54.076736198839797</v>
      </c>
      <c r="C3">
        <v>1.2154931060711891</v>
      </c>
      <c r="D3" s="20">
        <f>Tabelle2!$C$42/Tabelle2!$C$43*0.01*Tabelle1[[#This Row],[CaO_w]]*Tabelle2!$C$19</f>
        <v>0.85036295606562817</v>
      </c>
      <c r="E3" s="22">
        <v>0.85499999999999998</v>
      </c>
      <c r="F3">
        <v>0.29695917965307078</v>
      </c>
      <c r="G3" s="20">
        <f>Tabelle1[[#This Row],[CaCl2_w]]/Tabelle2!$C$43*Tabelle2!$C$36*Tabelle2!$C$19*0.01</f>
        <v>0.41116968903907891</v>
      </c>
      <c r="H3" s="22">
        <v>0.433</v>
      </c>
      <c r="I3" s="21">
        <f>(Tabelle1[[#This Row],[CaCl2_w]]+Tabelle1[[#This Row],[CaO_w]])/100</f>
        <v>1.5124522857242599E-2</v>
      </c>
      <c r="J3" s="21">
        <f>(Tabelle1[[#This Row],[Actual CaCl2 mass per experiment]]/(1/Tabelle2!$C$43*Tabelle2!$C$36*Tabelle2!$C$19*0.01)+Tabelle1[[#This Row],[Actual CaO mass per experiment]]/(Tabelle2!$C$42/Tabelle2!$C$43*0.01*Tabelle2!$C$19))*0.01</f>
        <v>1.5348469012300315E-2</v>
      </c>
      <c r="K3" s="21">
        <f>Tabelle1[[#This Row],[Actual CaCl2 mass per experiment]]*Tabelle2!$C$28/(Tabelle2!$C$19*(1+Tabelle2!$C$29))*(2*Tabelle2!$C$44/Tabelle2!$C$36)</f>
        <v>1.3772195541852127E-3</v>
      </c>
      <c r="L3">
        <v>0</v>
      </c>
      <c r="M3">
        <v>1</v>
      </c>
      <c r="N3" s="19">
        <v>45775</v>
      </c>
      <c r="O3" s="19" t="str">
        <f>IF(Tabelle1[[#This Row],[Reactor2]]=0,"BR300-2",IF(Tabelle1[[#This Row],[Reactor2]]=1,"BR300-3",IF(Tabelle1[[#This Row],[Reactor2]]=2,"BR300-4")))</f>
        <v>BR300-3</v>
      </c>
    </row>
    <row r="4" spans="1:16" ht="19" customHeight="1" x14ac:dyDescent="0.25">
      <c r="A4" s="3">
        <v>167.19015659377209</v>
      </c>
      <c r="B4" s="3">
        <v>40.665712069718602</v>
      </c>
      <c r="C4">
        <v>0.29987314876024701</v>
      </c>
      <c r="D4" s="20">
        <f>Tabelle2!$C$42/Tabelle2!$C$43*0.01*Tabelle1[[#This Row],[CaO_w]]*Tabelle2!$C$19</f>
        <v>0.20979223654234089</v>
      </c>
      <c r="E4" s="22">
        <v>0.21199999999999999</v>
      </c>
      <c r="F4">
        <v>0.336453353531038</v>
      </c>
      <c r="G4" s="20">
        <f>Tabelle1[[#This Row],[CaCl2_w]]/Tabelle2!$C$43*Tabelle2!$C$36*Tabelle2!$C$19*0.01</f>
        <v>0.46585332337303165</v>
      </c>
      <c r="H4" s="22">
        <v>0.46700000000000003</v>
      </c>
      <c r="I4" s="21">
        <f>(Tabelle1[[#This Row],[CaCl2_w]]+Tabelle1[[#This Row],[CaO_w]])/100</f>
        <v>6.3632650229128495E-3</v>
      </c>
      <c r="J4" s="21">
        <f>(Tabelle1[[#This Row],[Actual CaCl2 mass per experiment]]/(1/Tabelle2!$C$43*Tabelle2!$C$36*Tabelle2!$C$19*0.01)+Tabelle1[[#This Row],[Actual CaO mass per experiment]]/(Tabelle2!$C$42/Tabelle2!$C$43*0.01*Tabelle2!$C$19))*0.01</f>
        <v>6.403104031333544E-3</v>
      </c>
      <c r="K4" s="21">
        <f>Tabelle1[[#This Row],[Actual CaCl2 mass per experiment]]*Tabelle2!$C$28/(Tabelle2!$C$19*(1+Tabelle2!$C$29))*(2*Tabelle2!$C$44/Tabelle2!$C$36)</f>
        <v>1.4853615053221582E-3</v>
      </c>
      <c r="L4">
        <v>0</v>
      </c>
      <c r="M4">
        <v>2</v>
      </c>
      <c r="N4" s="19">
        <v>45775</v>
      </c>
      <c r="O4" s="19" t="str">
        <f>IF(Tabelle1[[#This Row],[Reactor2]]=0,"BR300-2",IF(Tabelle1[[#This Row],[Reactor2]]=1,"BR300-3",IF(Tabelle1[[#This Row],[Reactor2]]=2,"BR300-4")))</f>
        <v>BR300-4</v>
      </c>
    </row>
    <row r="5" spans="1:16" ht="19" customHeight="1" x14ac:dyDescent="0.25">
      <c r="A5" s="3">
        <v>194.5230323668147</v>
      </c>
      <c r="B5" s="3">
        <v>138.37386244441771</v>
      </c>
      <c r="C5">
        <v>0.87746730603570866</v>
      </c>
      <c r="D5" s="20">
        <f>Tabelle2!$C$42/Tabelle2!$C$43*0.01*Tabelle1[[#This Row],[CaO_w]]*Tabelle2!$C$19</f>
        <v>0.6138789997939873</v>
      </c>
      <c r="E5" s="22"/>
      <c r="F5">
        <v>0.2493563502555145</v>
      </c>
      <c r="G5" s="20">
        <f>Tabelle1[[#This Row],[CaCl2_w]]/Tabelle2!$C$43*Tabelle2!$C$36*Tabelle2!$C$19*0.01</f>
        <v>0.34525881002991698</v>
      </c>
      <c r="H5" s="22"/>
      <c r="I5" s="21">
        <f>(Tabelle1[[#This Row],[CaCl2_w]]+Tabelle1[[#This Row],[CaO_w]])/100</f>
        <v>1.126823656291223E-2</v>
      </c>
      <c r="J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5" s="21">
        <f>Tabelle1[[#This Row],[Actual CaCl2 mass per experiment]]*Tabelle2!$C$28/(Tabelle2!$C$19*(1+Tabelle2!$C$29))*(2*Tabelle2!$C$44/Tabelle2!$C$36)</f>
        <v>0</v>
      </c>
      <c r="L5">
        <v>0</v>
      </c>
      <c r="M5">
        <v>1</v>
      </c>
      <c r="N5" s="19">
        <v>45776</v>
      </c>
      <c r="O5" s="19" t="str">
        <f>IF(Tabelle1[[#This Row],[Reactor2]]=0,"BR300-2",IF(Tabelle1[[#This Row],[Reactor2]]=1,"BR300-3",IF(Tabelle1[[#This Row],[Reactor2]]=2,"BR300-4")))</f>
        <v>BR300-3</v>
      </c>
    </row>
    <row r="6" spans="1:16" ht="19" customHeight="1" x14ac:dyDescent="0.25">
      <c r="A6" s="3">
        <v>128.582132653504</v>
      </c>
      <c r="B6" s="3">
        <v>89.238480097463864</v>
      </c>
      <c r="C6">
        <v>0.56090046298694518</v>
      </c>
      <c r="D6" s="20">
        <f>Tabelle2!$C$42/Tabelle2!$C$43*0.01*Tabelle1[[#This Row],[CaO_w]]*Tabelle2!$C$19</f>
        <v>0.39240780007864812</v>
      </c>
      <c r="E6" s="22"/>
      <c r="F6">
        <v>0.39138846819899792</v>
      </c>
      <c r="G6" s="20">
        <f>Tabelle1[[#This Row],[CaCl2_w]]/Tabelle2!$C$43*Tabelle2!$C$36*Tabelle2!$C$19*0.01</f>
        <v>0.54191648478713483</v>
      </c>
      <c r="H6" s="22"/>
      <c r="I6" s="21">
        <f>(Tabelle1[[#This Row],[CaCl2_w]]+Tabelle1[[#This Row],[CaO_w]])/100</f>
        <v>9.5228893118594303E-3</v>
      </c>
      <c r="J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6" s="21">
        <f>Tabelle1[[#This Row],[Actual CaCl2 mass per experiment]]*Tabelle2!$C$28/(Tabelle2!$C$19*(1+Tabelle2!$C$29))*(2*Tabelle2!$C$44/Tabelle2!$C$36)</f>
        <v>0</v>
      </c>
      <c r="L6">
        <v>0</v>
      </c>
      <c r="M6">
        <v>2</v>
      </c>
      <c r="N6" s="19">
        <v>45776</v>
      </c>
      <c r="O6" s="19" t="str">
        <f>IF(Tabelle1[[#This Row],[Reactor2]]=0,"BR300-2",IF(Tabelle1[[#This Row],[Reactor2]]=1,"BR300-3",IF(Tabelle1[[#This Row],[Reactor2]]=2,"BR300-4")))</f>
        <v>BR300-4</v>
      </c>
    </row>
    <row r="7" spans="1:16" ht="19" customHeight="1" x14ac:dyDescent="0.25">
      <c r="A7" s="3">
        <v>135.71942905124479</v>
      </c>
      <c r="B7" s="3">
        <v>111.27205159277079</v>
      </c>
      <c r="C7">
        <v>0.23553227099887961</v>
      </c>
      <c r="D7" s="20">
        <f>Tabelle2!$C$42/Tabelle2!$C$43*0.01*Tabelle1[[#This Row],[CaO_w]]*Tabelle2!$C$19</f>
        <v>0.16477914783313252</v>
      </c>
      <c r="E7" s="22"/>
      <c r="F7">
        <v>0.43544612459331161</v>
      </c>
      <c r="G7" s="20">
        <f>Tabelle1[[#This Row],[CaCl2_w]]/Tabelle2!$C$43*Tabelle2!$C$36*Tabelle2!$C$19*0.01</f>
        <v>0.60291871714985901</v>
      </c>
      <c r="H7" s="22"/>
      <c r="I7" s="21">
        <f>(Tabelle1[[#This Row],[CaCl2_w]]+Tabelle1[[#This Row],[CaO_w]])/100</f>
        <v>6.7097839559219115E-3</v>
      </c>
      <c r="J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7" s="21">
        <f>Tabelle1[[#This Row],[Actual CaCl2 mass per experiment]]*Tabelle2!$C$28/(Tabelle2!$C$19*(1+Tabelle2!$C$29))*(2*Tabelle2!$C$44/Tabelle2!$C$36)</f>
        <v>0</v>
      </c>
      <c r="L7">
        <v>0</v>
      </c>
      <c r="M7">
        <v>0</v>
      </c>
      <c r="N7" s="19">
        <v>45776</v>
      </c>
      <c r="O7" s="19" t="str">
        <f>IF(Tabelle1[[#This Row],[Reactor2]]=0,"BR300-2",IF(Tabelle1[[#This Row],[Reactor2]]=1,"BR300-3",IF(Tabelle1[[#This Row],[Reactor2]]=2,"BR300-4")))</f>
        <v>BR300-2</v>
      </c>
    </row>
    <row r="8" spans="1:16" ht="19" customHeight="1" x14ac:dyDescent="0.25">
      <c r="A8" s="3">
        <v>151.9144977753331</v>
      </c>
      <c r="B8" s="3">
        <v>96.912248683542543</v>
      </c>
      <c r="C8">
        <v>1.719798371394319</v>
      </c>
      <c r="D8" s="20">
        <f>Tabelle2!$C$42/Tabelle2!$C$43*0.01*Tabelle1[[#This Row],[CaO_w]]*Tabelle2!$C$19</f>
        <v>1.2031765705877013</v>
      </c>
      <c r="E8" s="22"/>
      <c r="F8">
        <v>0.32808959786172243</v>
      </c>
      <c r="G8" s="20">
        <f>Tabelle1[[#This Row],[CaCl2_w]]/Tabelle2!$C$43*Tabelle2!$C$36*Tabelle2!$C$19*0.01</f>
        <v>0.45427286702287289</v>
      </c>
      <c r="H8" s="22"/>
      <c r="I8" s="21">
        <f>(Tabelle1[[#This Row],[CaCl2_w]]+Tabelle1[[#This Row],[CaO_w]])/100</f>
        <v>2.0478879692560414E-2</v>
      </c>
      <c r="J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8" s="21">
        <f>Tabelle1[[#This Row],[Actual CaCl2 mass per experiment]]*Tabelle2!$C$28/(Tabelle2!$C$19*(1+Tabelle2!$C$29))*(2*Tabelle2!$C$44/Tabelle2!$C$36)</f>
        <v>0</v>
      </c>
      <c r="L8">
        <v>0</v>
      </c>
      <c r="M8">
        <v>1</v>
      </c>
      <c r="N8" s="19">
        <v>45777</v>
      </c>
      <c r="O8" s="19" t="str">
        <f>IF(Tabelle1[[#This Row],[Reactor2]]=0,"BR300-2",IF(Tabelle1[[#This Row],[Reactor2]]=1,"BR300-3",IF(Tabelle1[[#This Row],[Reactor2]]=2,"BR300-4")))</f>
        <v>BR300-3</v>
      </c>
    </row>
    <row r="9" spans="1:16" ht="19" customHeight="1" x14ac:dyDescent="0.25">
      <c r="A9" s="3">
        <v>192.1794154270018</v>
      </c>
      <c r="B9" s="3">
        <v>74.265333953201818</v>
      </c>
      <c r="C9">
        <v>1.7920626840972</v>
      </c>
      <c r="D9" s="20">
        <f>Tabelle2!$C$42/Tabelle2!$C$43*0.01*Tabelle1[[#This Row],[CaO_w]]*Tabelle2!$C$19</f>
        <v>1.2537329203202794</v>
      </c>
      <c r="E9" s="22"/>
      <c r="F9">
        <v>0.12559186521601709</v>
      </c>
      <c r="G9" s="20">
        <f>Tabelle1[[#This Row],[CaCl2_w]]/Tabelle2!$C$43*Tabelle2!$C$36*Tabelle2!$C$19*0.01</f>
        <v>0.17389450033852039</v>
      </c>
      <c r="H9" s="22"/>
      <c r="I9" s="21">
        <f>(Tabelle1[[#This Row],[CaCl2_w]]+Tabelle1[[#This Row],[CaO_w]])/100</f>
        <v>1.917654549313217E-2</v>
      </c>
      <c r="J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9" s="21">
        <f>Tabelle1[[#This Row],[Actual CaCl2 mass per experiment]]*Tabelle2!$C$28/(Tabelle2!$C$19*(1+Tabelle2!$C$29))*(2*Tabelle2!$C$44/Tabelle2!$C$36)</f>
        <v>0</v>
      </c>
      <c r="L9">
        <v>0</v>
      </c>
      <c r="M9">
        <v>2</v>
      </c>
      <c r="N9" s="19">
        <v>45777</v>
      </c>
      <c r="O9" s="19" t="str">
        <f>IF(Tabelle1[[#This Row],[Reactor2]]=0,"BR300-2",IF(Tabelle1[[#This Row],[Reactor2]]=1,"BR300-3",IF(Tabelle1[[#This Row],[Reactor2]]=2,"BR300-4")))</f>
        <v>BR300-4</v>
      </c>
    </row>
    <row r="10" spans="1:16" ht="19" customHeight="1" x14ac:dyDescent="0.25">
      <c r="A10" s="3">
        <v>159.20498846729359</v>
      </c>
      <c r="B10" s="3">
        <v>170.8418036237675</v>
      </c>
      <c r="C10">
        <v>0.61741571900010206</v>
      </c>
      <c r="D10" s="20">
        <f>Tabelle2!$C$42/Tabelle2!$C$43*0.01*Tabelle1[[#This Row],[CaO_w]]*Tabelle2!$C$19</f>
        <v>0.43194605819472437</v>
      </c>
      <c r="E10" s="22"/>
      <c r="F10">
        <v>6.8223621317342567E-2</v>
      </c>
      <c r="G10" s="20">
        <f>Tabelle1[[#This Row],[CaCl2_w]]/Tabelle2!$C$43*Tabelle2!$C$36*Tabelle2!$C$19*0.01</f>
        <v>9.4462428118717842E-2</v>
      </c>
      <c r="H10" s="22"/>
      <c r="I10" s="21">
        <f>(Tabelle1[[#This Row],[CaCl2_w]]+Tabelle1[[#This Row],[CaO_w]])/100</f>
        <v>6.8563934031744466E-3</v>
      </c>
      <c r="J1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0" s="21">
        <f>Tabelle1[[#This Row],[Actual CaCl2 mass per experiment]]*Tabelle2!$C$28/(Tabelle2!$C$19*(1+Tabelle2!$C$29))*(2*Tabelle2!$C$44/Tabelle2!$C$36)</f>
        <v>0</v>
      </c>
      <c r="L10">
        <v>0</v>
      </c>
      <c r="M10">
        <v>0</v>
      </c>
      <c r="N10" s="19">
        <v>45777</v>
      </c>
      <c r="O10" s="19" t="str">
        <f>IF(Tabelle1[[#This Row],[Reactor2]]=0,"BR300-2",IF(Tabelle1[[#This Row],[Reactor2]]=1,"BR300-3",IF(Tabelle1[[#This Row],[Reactor2]]=2,"BR300-4")))</f>
        <v>BR300-2</v>
      </c>
    </row>
    <row r="11" spans="1:16" ht="19" customHeight="1" x14ac:dyDescent="0.25">
      <c r="A11" s="3">
        <v>118.4144714102685</v>
      </c>
      <c r="B11" s="3">
        <v>178.05598924734619</v>
      </c>
      <c r="C11">
        <v>5.6354572120170372E-2</v>
      </c>
      <c r="D11" s="20">
        <f>Tabelle2!$C$42/Tabelle2!$C$43*0.01*Tabelle1[[#This Row],[CaO_w]]*Tabelle2!$C$19</f>
        <v>3.9425843138525402E-2</v>
      </c>
      <c r="E11" s="22"/>
      <c r="F11">
        <v>0.41734350084021388</v>
      </c>
      <c r="G11" s="20">
        <f>Tabelle1[[#This Row],[CaCl2_w]]/Tabelle2!$C$43*Tabelle2!$C$36*Tabelle2!$C$19*0.01</f>
        <v>0.57785382375929806</v>
      </c>
      <c r="H11" s="22"/>
      <c r="I11" s="21">
        <f>(Tabelle1[[#This Row],[CaCl2_w]]+Tabelle1[[#This Row],[CaO_w]])/100</f>
        <v>4.7369807296038426E-3</v>
      </c>
      <c r="J1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1" s="21">
        <f>Tabelle1[[#This Row],[Actual CaCl2 mass per experiment]]*Tabelle2!$C$28/(Tabelle2!$C$19*(1+Tabelle2!$C$29))*(2*Tabelle2!$C$44/Tabelle2!$C$36)</f>
        <v>0</v>
      </c>
      <c r="L11">
        <v>3</v>
      </c>
      <c r="M11">
        <v>2</v>
      </c>
      <c r="O11" s="19" t="str">
        <f>IF(Tabelle1[[#This Row],[Reactor2]]=0,"BR300-2",IF(Tabelle1[[#This Row],[Reactor2]]=1,"BR300-3",IF(Tabelle1[[#This Row],[Reactor2]]=2,"BR300-4")))</f>
        <v>BR300-4</v>
      </c>
    </row>
    <row r="12" spans="1:16" ht="19" customHeight="1" x14ac:dyDescent="0.25">
      <c r="A12" s="3">
        <v>123.9875648410537</v>
      </c>
      <c r="B12" s="3">
        <v>68.501360491599044</v>
      </c>
      <c r="C12">
        <v>0.74882399056165772</v>
      </c>
      <c r="D12" s="20">
        <f>Tabelle2!$C$42/Tabelle2!$C$43*0.01*Tabelle1[[#This Row],[CaO_w]]*Tabelle2!$C$19</f>
        <v>0.52387971515946785</v>
      </c>
      <c r="E12" s="22"/>
      <c r="F12">
        <v>1.084590968858835E-2</v>
      </c>
      <c r="G12" s="20">
        <f>Tabelle1[[#This Row],[CaCl2_w]]/Tabelle2!$C$43*Tabelle2!$C$36*Tabelle2!$C$19*0.01</f>
        <v>1.5017246879563469E-2</v>
      </c>
      <c r="H12" s="22"/>
      <c r="I12" s="21">
        <f>(Tabelle1[[#This Row],[CaCl2_w]]+Tabelle1[[#This Row],[CaO_w]])/100</f>
        <v>7.5966990025024602E-3</v>
      </c>
      <c r="J12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2" s="21">
        <f>Tabelle1[[#This Row],[Actual CaCl2 mass per experiment]]*Tabelle2!$C$28/(Tabelle2!$C$19*(1+Tabelle2!$C$29))*(2*Tabelle2!$C$44/Tabelle2!$C$36)</f>
        <v>0</v>
      </c>
      <c r="L12">
        <v>3</v>
      </c>
      <c r="M12">
        <v>0</v>
      </c>
      <c r="O12" s="19" t="str">
        <f>IF(Tabelle1[[#This Row],[Reactor2]]=0,"BR300-2",IF(Tabelle1[[#This Row],[Reactor2]]=1,"BR300-3",IF(Tabelle1[[#This Row],[Reactor2]]=2,"BR300-4")))</f>
        <v>BR300-2</v>
      </c>
    </row>
    <row r="13" spans="1:16" ht="19" customHeight="1" x14ac:dyDescent="0.25">
      <c r="A13" s="3">
        <v>162.26942274984859</v>
      </c>
      <c r="B13" s="3">
        <v>78.668624722404516</v>
      </c>
      <c r="C13">
        <v>1.075182293818747</v>
      </c>
      <c r="D13" s="20">
        <f>Tabelle2!$C$42/Tabelle2!$C$43*0.01*Tabelle1[[#This Row],[CaO_w]]*Tabelle2!$C$19</f>
        <v>0.75220105249003699</v>
      </c>
      <c r="E13" s="22"/>
      <c r="F13">
        <v>0.19525787414711779</v>
      </c>
      <c r="G13" s="20">
        <f>Tabelle1[[#This Row],[CaCl2_w]]/Tabelle2!$C$43*Tabelle2!$C$36*Tabelle2!$C$19*0.01</f>
        <v>0.27035405839043519</v>
      </c>
      <c r="H13" s="22"/>
      <c r="I13" s="21">
        <f>(Tabelle1[[#This Row],[CaCl2_w]]+Tabelle1[[#This Row],[CaO_w]])/100</f>
        <v>1.2704401679658648E-2</v>
      </c>
      <c r="J13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3" s="21">
        <f>Tabelle1[[#This Row],[Actual CaCl2 mass per experiment]]*Tabelle2!$C$28/(Tabelle2!$C$19*(1+Tabelle2!$C$29))*(2*Tabelle2!$C$44/Tabelle2!$C$36)</f>
        <v>0</v>
      </c>
      <c r="L13">
        <v>3</v>
      </c>
      <c r="M13">
        <v>0</v>
      </c>
      <c r="O13" s="19" t="str">
        <f>IF(Tabelle1[[#This Row],[Reactor2]]=0,"BR300-2",IF(Tabelle1[[#This Row],[Reactor2]]=1,"BR300-3",IF(Tabelle1[[#This Row],[Reactor2]]=2,"BR300-4")))</f>
        <v>BR300-2</v>
      </c>
    </row>
    <row r="14" spans="1:16" ht="19" customHeight="1" x14ac:dyDescent="0.25">
      <c r="A14" s="3">
        <v>165.08245007876869</v>
      </c>
      <c r="B14" s="3">
        <v>152.96785578268239</v>
      </c>
      <c r="C14">
        <v>1.364113018248349</v>
      </c>
      <c r="D14" s="20">
        <f>Tabelle2!$C$42/Tabelle2!$C$43*0.01*Tabelle1[[#This Row],[CaO_w]]*Tabelle2!$C$19</f>
        <v>0.95433793314935833</v>
      </c>
      <c r="E14" s="22"/>
      <c r="F14">
        <v>0.27670557761989167</v>
      </c>
      <c r="G14" s="20">
        <f>Tabelle1[[#This Row],[CaCl2_w]]/Tabelle2!$C$43*Tabelle2!$C$36*Tabelle2!$C$19*0.01</f>
        <v>0.38312655105751364</v>
      </c>
      <c r="H14" s="22"/>
      <c r="I14" s="21">
        <f>(Tabelle1[[#This Row],[CaCl2_w]]+Tabelle1[[#This Row],[CaO_w]])/100</f>
        <v>1.6408185958682407E-2</v>
      </c>
      <c r="J14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4" s="21">
        <f>Tabelle1[[#This Row],[Actual CaCl2 mass per experiment]]*Tabelle2!$C$28/(Tabelle2!$C$19*(1+Tabelle2!$C$29))*(2*Tabelle2!$C$44/Tabelle2!$C$36)</f>
        <v>0</v>
      </c>
      <c r="L14">
        <v>3</v>
      </c>
      <c r="M14">
        <v>2</v>
      </c>
      <c r="O14" s="19" t="str">
        <f>IF(Tabelle1[[#This Row],[Reactor2]]=0,"BR300-2",IF(Tabelle1[[#This Row],[Reactor2]]=1,"BR300-3",IF(Tabelle1[[#This Row],[Reactor2]]=2,"BR300-4")))</f>
        <v>BR300-4</v>
      </c>
    </row>
    <row r="15" spans="1:16" ht="19" customHeight="1" x14ac:dyDescent="0.25">
      <c r="A15" s="3">
        <v>180.3390325689746</v>
      </c>
      <c r="B15" s="3">
        <v>91.369038257135756</v>
      </c>
      <c r="C15">
        <v>0.3614649791138736</v>
      </c>
      <c r="D15" s="20">
        <f>Tabelle2!$C$42/Tabelle2!$C$43*0.01*Tabelle1[[#This Row],[CaO_w]]*Tabelle2!$C$19</f>
        <v>0.25288208268576695</v>
      </c>
      <c r="E15" s="22"/>
      <c r="F15">
        <v>0.2332113281811059</v>
      </c>
      <c r="G15" s="20">
        <f>Tabelle1[[#This Row],[CaCl2_w]]/Tabelle2!$C$43*Tabelle2!$C$36*Tabelle2!$C$19*0.01</f>
        <v>0.32290441198228281</v>
      </c>
      <c r="H15" s="22"/>
      <c r="I15" s="21">
        <f>(Tabelle1[[#This Row],[CaCl2_w]]+Tabelle1[[#This Row],[CaO_w]])/100</f>
        <v>5.9467630729497945E-3</v>
      </c>
      <c r="J1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5" s="21">
        <f>Tabelle1[[#This Row],[Actual CaCl2 mass per experiment]]*Tabelle2!$C$28/(Tabelle2!$C$19*(1+Tabelle2!$C$29))*(2*Tabelle2!$C$44/Tabelle2!$C$36)</f>
        <v>0</v>
      </c>
      <c r="L15">
        <v>3</v>
      </c>
      <c r="M15">
        <v>2</v>
      </c>
      <c r="O15" s="19" t="str">
        <f>IF(Tabelle1[[#This Row],[Reactor2]]=0,"BR300-2",IF(Tabelle1[[#This Row],[Reactor2]]=1,"BR300-3",IF(Tabelle1[[#This Row],[Reactor2]]=2,"BR300-4")))</f>
        <v>BR300-4</v>
      </c>
    </row>
    <row r="16" spans="1:16" ht="19" customHeight="1" x14ac:dyDescent="0.25">
      <c r="A16" s="3">
        <v>112.02298745358971</v>
      </c>
      <c r="B16" s="3">
        <v>141.8627128353971</v>
      </c>
      <c r="C16">
        <v>1.42464973227477</v>
      </c>
      <c r="D16" s="20">
        <f>Tabelle2!$C$42/Tabelle2!$C$43*0.01*Tabelle1[[#This Row],[CaO_w]]*Tabelle2!$C$19</f>
        <v>0.99668961645622522</v>
      </c>
      <c r="E16" s="22"/>
      <c r="F16">
        <v>0.35598254437523752</v>
      </c>
      <c r="G16" s="20">
        <f>Tabelle1[[#This Row],[CaCl2_w]]/Tabelle2!$C$43*Tabelle2!$C$36*Tabelle2!$C$19*0.01</f>
        <v>0.4928934416006458</v>
      </c>
      <c r="H16" s="22"/>
      <c r="I16" s="21">
        <f>(Tabelle1[[#This Row],[CaCl2_w]]+Tabelle1[[#This Row],[CaO_w]])/100</f>
        <v>1.7806322766500075E-2</v>
      </c>
      <c r="J1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6" s="21">
        <f>Tabelle1[[#This Row],[Actual CaCl2 mass per experiment]]*Tabelle2!$C$28/(Tabelle2!$C$19*(1+Tabelle2!$C$29))*(2*Tabelle2!$C$44/Tabelle2!$C$36)</f>
        <v>0</v>
      </c>
      <c r="L16">
        <v>3</v>
      </c>
      <c r="M16">
        <v>1</v>
      </c>
      <c r="O16" s="19" t="str">
        <f>IF(Tabelle1[[#This Row],[Reactor2]]=0,"BR300-2",IF(Tabelle1[[#This Row],[Reactor2]]=1,"BR300-3",IF(Tabelle1[[#This Row],[Reactor2]]=2,"BR300-4")))</f>
        <v>BR300-3</v>
      </c>
    </row>
    <row r="17" spans="1:15" ht="19" customHeight="1" x14ac:dyDescent="0.25">
      <c r="A17" s="3">
        <v>148.3639638609182</v>
      </c>
      <c r="B17" s="3">
        <v>59.250347286327077</v>
      </c>
      <c r="C17">
        <v>0.1249332324842895</v>
      </c>
      <c r="D17" s="20">
        <f>Tabelle2!$C$42/Tabelle2!$C$43*0.01*Tabelle1[[#This Row],[CaO_w]]*Tabelle2!$C$19</f>
        <v>8.7403698429493693E-2</v>
      </c>
      <c r="E17" s="22"/>
      <c r="F17">
        <v>0.15347546507495879</v>
      </c>
      <c r="G17" s="20">
        <f>Tabelle1[[#This Row],[CaCl2_w]]/Tabelle2!$C$43*Tabelle2!$C$36*Tabelle2!$C$19*0.01</f>
        <v>0.21250213353809105</v>
      </c>
      <c r="H17" s="22"/>
      <c r="I17" s="21">
        <f>(Tabelle1[[#This Row],[CaCl2_w]]+Tabelle1[[#This Row],[CaO_w]])/100</f>
        <v>2.784086975592483E-3</v>
      </c>
      <c r="J1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7" s="21">
        <f>Tabelle1[[#This Row],[Actual CaCl2 mass per experiment]]*Tabelle2!$C$28/(Tabelle2!$C$19*(1+Tabelle2!$C$29))*(2*Tabelle2!$C$44/Tabelle2!$C$36)</f>
        <v>0</v>
      </c>
      <c r="L17">
        <v>3</v>
      </c>
      <c r="M17">
        <v>2</v>
      </c>
      <c r="O17" s="19" t="str">
        <f>IF(Tabelle1[[#This Row],[Reactor2]]=0,"BR300-2",IF(Tabelle1[[#This Row],[Reactor2]]=1,"BR300-3",IF(Tabelle1[[#This Row],[Reactor2]]=2,"BR300-4")))</f>
        <v>BR300-4</v>
      </c>
    </row>
    <row r="18" spans="1:15" ht="19" customHeight="1" x14ac:dyDescent="0.25">
      <c r="A18" s="3">
        <v>141.3549977662899</v>
      </c>
      <c r="B18" s="3">
        <v>32.476284289989692</v>
      </c>
      <c r="C18">
        <v>1.1909858257493771</v>
      </c>
      <c r="D18" s="20">
        <f>Tabelle2!$C$42/Tabelle2!$C$43*0.01*Tabelle1[[#This Row],[CaO_w]]*Tabelle2!$C$19</f>
        <v>0.83321758252505262</v>
      </c>
      <c r="E18" s="22"/>
      <c r="F18">
        <v>0.26594466757099372</v>
      </c>
      <c r="G18" s="20">
        <f>Tabelle1[[#This Row],[CaCl2_w]]/Tabelle2!$C$43*Tabelle2!$C$36*Tabelle2!$C$19*0.01</f>
        <v>0.36822699468161041</v>
      </c>
      <c r="H18" s="22"/>
      <c r="I18" s="21">
        <f>(Tabelle1[[#This Row],[CaCl2_w]]+Tabelle1[[#This Row],[CaO_w]])/100</f>
        <v>1.4569304933203709E-2</v>
      </c>
      <c r="J1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8" s="21">
        <f>Tabelle1[[#This Row],[Actual CaCl2 mass per experiment]]*Tabelle2!$C$28/(Tabelle2!$C$19*(1+Tabelle2!$C$29))*(2*Tabelle2!$C$44/Tabelle2!$C$36)</f>
        <v>0</v>
      </c>
      <c r="L18">
        <v>2</v>
      </c>
      <c r="M18">
        <v>0</v>
      </c>
      <c r="O18" s="19" t="str">
        <f>IF(Tabelle1[[#This Row],[Reactor2]]=0,"BR300-2",IF(Tabelle1[[#This Row],[Reactor2]]=1,"BR300-3",IF(Tabelle1[[#This Row],[Reactor2]]=2,"BR300-4")))</f>
        <v>BR300-2</v>
      </c>
    </row>
    <row r="19" spans="1:15" ht="19" customHeight="1" x14ac:dyDescent="0.25">
      <c r="A19" s="3">
        <v>185.64225902079599</v>
      </c>
      <c r="B19" s="3">
        <v>36.460753506317431</v>
      </c>
      <c r="C19">
        <v>1.5251367182705471</v>
      </c>
      <c r="D19" s="20">
        <f>Tabelle2!$C$42/Tabelle2!$C$43*0.01*Tabelle1[[#This Row],[CaO_w]]*Tabelle2!$C$19</f>
        <v>1.0669906408147209</v>
      </c>
      <c r="E19" s="22"/>
      <c r="F19">
        <v>0.172415904775122</v>
      </c>
      <c r="G19" s="20">
        <f>Tabelle1[[#This Row],[CaCl2_w]]/Tabelle2!$C$43*Tabelle2!$C$36*Tabelle2!$C$19*0.01</f>
        <v>0.23872706691404436</v>
      </c>
      <c r="H19" s="22"/>
      <c r="I19" s="21">
        <f>(Tabelle1[[#This Row],[CaCl2_w]]+Tabelle1[[#This Row],[CaO_w]])/100</f>
        <v>1.697552623045669E-2</v>
      </c>
      <c r="J1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19" s="21">
        <f>Tabelle1[[#This Row],[Actual CaCl2 mass per experiment]]*Tabelle2!$C$28/(Tabelle2!$C$19*(1+Tabelle2!$C$29))*(2*Tabelle2!$C$44/Tabelle2!$C$36)</f>
        <v>0</v>
      </c>
      <c r="L19">
        <v>2</v>
      </c>
      <c r="M19">
        <v>2</v>
      </c>
      <c r="O19" s="19" t="str">
        <f>IF(Tabelle1[[#This Row],[Reactor2]]=0,"BR300-2",IF(Tabelle1[[#This Row],[Reactor2]]=1,"BR300-3",IF(Tabelle1[[#This Row],[Reactor2]]=2,"BR300-4")))</f>
        <v>BR300-4</v>
      </c>
    </row>
    <row r="20" spans="1:15" ht="19" customHeight="1" x14ac:dyDescent="0.25">
      <c r="A20" s="3">
        <v>175.06906979298711</v>
      </c>
      <c r="B20" s="3">
        <v>63.448052789746363</v>
      </c>
      <c r="C20">
        <v>0.1625027149119474</v>
      </c>
      <c r="D20" s="20">
        <f>Tabelle2!$C$42/Tabelle2!$C$43*0.01*Tabelle1[[#This Row],[CaO_w]]*Tabelle2!$C$19</f>
        <v>0.11368743132395877</v>
      </c>
      <c r="E20" s="22"/>
      <c r="F20">
        <v>0.30525040357126992</v>
      </c>
      <c r="G20" s="20">
        <f>Tabelle1[[#This Row],[CaCl2_w]]/Tabelle2!$C$43*Tabelle2!$C$36*Tabelle2!$C$19*0.01</f>
        <v>0.42264971792447009</v>
      </c>
      <c r="H20" s="22"/>
      <c r="I20" s="21">
        <f>(Tabelle1[[#This Row],[CaCl2_w]]+Tabelle1[[#This Row],[CaO_w]])/100</f>
        <v>4.6775311848321734E-3</v>
      </c>
      <c r="J2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0" s="21">
        <f>Tabelle1[[#This Row],[Actual CaCl2 mass per experiment]]*Tabelle2!$C$28/(Tabelle2!$C$19*(1+Tabelle2!$C$29))*(2*Tabelle2!$C$44/Tabelle2!$C$36)</f>
        <v>0</v>
      </c>
      <c r="L20">
        <v>2</v>
      </c>
      <c r="M20">
        <v>0</v>
      </c>
      <c r="O20" s="19" t="str">
        <f>IF(Tabelle1[[#This Row],[Reactor2]]=0,"BR300-2",IF(Tabelle1[[#This Row],[Reactor2]]=1,"BR300-3",IF(Tabelle1[[#This Row],[Reactor2]]=2,"BR300-4")))</f>
        <v>BR300-2</v>
      </c>
    </row>
    <row r="21" spans="1:15" ht="19" customHeight="1" x14ac:dyDescent="0.25">
      <c r="A21" s="3">
        <v>198.3632561874806</v>
      </c>
      <c r="B21" s="3">
        <v>103.3059277618427</v>
      </c>
      <c r="C21">
        <v>0.85528923426362824</v>
      </c>
      <c r="D21" s="20">
        <f>Tabelle2!$C$42/Tabelle2!$C$43*0.01*Tabelle1[[#This Row],[CaO_w]]*Tabelle2!$C$19</f>
        <v>0.59836314817973935</v>
      </c>
      <c r="E21" s="22"/>
      <c r="F21">
        <v>0.21855551077410831</v>
      </c>
      <c r="G21" s="20">
        <f>Tabelle1[[#This Row],[CaCl2_w]]/Tabelle2!$C$43*Tabelle2!$C$36*Tabelle2!$C$19*0.01</f>
        <v>0.30261196676173507</v>
      </c>
      <c r="H21" s="22"/>
      <c r="I21" s="21">
        <f>(Tabelle1[[#This Row],[CaCl2_w]]+Tabelle1[[#This Row],[CaO_w]])/100</f>
        <v>1.0738447450377366E-2</v>
      </c>
      <c r="J2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1" s="21">
        <f>Tabelle1[[#This Row],[Actual CaCl2 mass per experiment]]*Tabelle2!$C$28/(Tabelle2!$C$19*(1+Tabelle2!$C$29))*(2*Tabelle2!$C$44/Tabelle2!$C$36)</f>
        <v>0</v>
      </c>
      <c r="L21">
        <v>2</v>
      </c>
      <c r="M21">
        <v>0</v>
      </c>
      <c r="O21" s="19" t="str">
        <f>IF(Tabelle1[[#This Row],[Reactor2]]=0,"BR300-2",IF(Tabelle1[[#This Row],[Reactor2]]=1,"BR300-3",IF(Tabelle1[[#This Row],[Reactor2]]=2,"BR300-4")))</f>
        <v>BR300-2</v>
      </c>
    </row>
    <row r="22" spans="1:15" ht="19" customHeight="1" x14ac:dyDescent="0.25">
      <c r="A22" s="3">
        <v>138.7184926064827</v>
      </c>
      <c r="B22" s="3">
        <v>167.12293695496541</v>
      </c>
      <c r="C22">
        <v>0.41262445292854549</v>
      </c>
      <c r="D22" s="20">
        <f>Tabelle2!$C$42/Tabelle2!$C$43*0.01*Tabelle1[[#This Row],[CaO_w]]*Tabelle2!$C$19</f>
        <v>0.28867341804300634</v>
      </c>
      <c r="E22" s="22"/>
      <c r="F22">
        <v>7.9818347790516997E-2</v>
      </c>
      <c r="G22" s="20">
        <f>Tabelle1[[#This Row],[CaCl2_w]]/Tabelle2!$C$43*Tabelle2!$C$36*Tabelle2!$C$19*0.01</f>
        <v>0.11051648674063999</v>
      </c>
      <c r="H22" s="22"/>
      <c r="I22" s="21">
        <f>(Tabelle1[[#This Row],[CaCl2_w]]+Tabelle1[[#This Row],[CaO_w]])/100</f>
        <v>4.9244280071906246E-3</v>
      </c>
      <c r="J22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2" s="21">
        <f>Tabelle1[[#This Row],[Actual CaCl2 mass per experiment]]*Tabelle2!$C$28/(Tabelle2!$C$19*(1+Tabelle2!$C$29))*(2*Tabelle2!$C$44/Tabelle2!$C$36)</f>
        <v>0</v>
      </c>
      <c r="L22">
        <v>2</v>
      </c>
      <c r="M22">
        <v>1</v>
      </c>
      <c r="O22" s="19" t="str">
        <f>IF(Tabelle1[[#This Row],[Reactor2]]=0,"BR300-2",IF(Tabelle1[[#This Row],[Reactor2]]=1,"BR300-3",IF(Tabelle1[[#This Row],[Reactor2]]=2,"BR300-4")))</f>
        <v>BR300-3</v>
      </c>
    </row>
    <row r="23" spans="1:15" ht="19" customHeight="1" x14ac:dyDescent="0.25">
      <c r="A23" s="3">
        <v>121.4104351927308</v>
      </c>
      <c r="B23" s="3">
        <v>48.409114087497329</v>
      </c>
      <c r="C23">
        <v>1.9229449599035029</v>
      </c>
      <c r="D23" s="20">
        <f>Tabelle2!$C$42/Tabelle2!$C$43*0.01*Tabelle1[[#This Row],[CaO_w]]*Tabelle2!$C$19</f>
        <v>1.3452985889327398</v>
      </c>
      <c r="E23" s="22"/>
      <c r="F23">
        <v>0.1421052688694939</v>
      </c>
      <c r="G23" s="20">
        <f>Tabelle1[[#This Row],[CaCl2_w]]/Tabelle2!$C$43*Tabelle2!$C$36*Tabelle2!$C$19*0.01</f>
        <v>0.19675895953156233</v>
      </c>
      <c r="H23" s="22"/>
      <c r="I23" s="21">
        <f>(Tabelle1[[#This Row],[CaCl2_w]]+Tabelle1[[#This Row],[CaO_w]])/100</f>
        <v>2.0650502287729969E-2</v>
      </c>
      <c r="J23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3" s="21">
        <f>Tabelle1[[#This Row],[Actual CaCl2 mass per experiment]]*Tabelle2!$C$28/(Tabelle2!$C$19*(1+Tabelle2!$C$29))*(2*Tabelle2!$C$44/Tabelle2!$C$36)</f>
        <v>0</v>
      </c>
      <c r="L23">
        <v>2</v>
      </c>
      <c r="M23">
        <v>0</v>
      </c>
      <c r="O23" s="19" t="str">
        <f>IF(Tabelle1[[#This Row],[Reactor2]]=0,"BR300-2",IF(Tabelle1[[#This Row],[Reactor2]]=1,"BR300-3",IF(Tabelle1[[#This Row],[Reactor2]]=2,"BR300-4")))</f>
        <v>BR300-2</v>
      </c>
    </row>
    <row r="24" spans="1:15" ht="19" customHeight="1" x14ac:dyDescent="0.25">
      <c r="A24" s="3">
        <v>188.51123811131359</v>
      </c>
      <c r="B24" s="3">
        <v>156.4488552783842</v>
      </c>
      <c r="C24">
        <v>1.980792040064687</v>
      </c>
      <c r="D24" s="20">
        <f>Tabelle2!$C$42/Tabelle2!$C$43*0.01*Tabelle1[[#This Row],[CaO_w]]*Tabelle2!$C$19</f>
        <v>1.3857685955826573</v>
      </c>
      <c r="E24" s="22"/>
      <c r="F24">
        <v>0.37082248740672591</v>
      </c>
      <c r="G24" s="20">
        <f>Tabelle1[[#This Row],[CaCl2_w]]/Tabelle2!$C$43*Tabelle2!$C$36*Tabelle2!$C$19*0.01</f>
        <v>0.5134408271663764</v>
      </c>
      <c r="H24" s="22"/>
      <c r="I24" s="21">
        <f>(Tabelle1[[#This Row],[CaCl2_w]]+Tabelle1[[#This Row],[CaO_w]])/100</f>
        <v>2.3516145274714129E-2</v>
      </c>
      <c r="J24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4" s="21">
        <f>Tabelle1[[#This Row],[Actual CaCl2 mass per experiment]]*Tabelle2!$C$28/(Tabelle2!$C$19*(1+Tabelle2!$C$29))*(2*Tabelle2!$C$44/Tabelle2!$C$36)</f>
        <v>0</v>
      </c>
      <c r="L24">
        <v>2</v>
      </c>
      <c r="M24">
        <v>0</v>
      </c>
      <c r="O24" s="19" t="str">
        <f>IF(Tabelle1[[#This Row],[Reactor2]]=0,"BR300-2",IF(Tabelle1[[#This Row],[Reactor2]]=1,"BR300-3",IF(Tabelle1[[#This Row],[Reactor2]]=2,"BR300-4")))</f>
        <v>BR300-2</v>
      </c>
    </row>
    <row r="25" spans="1:15" ht="19" customHeight="1" x14ac:dyDescent="0.25">
      <c r="A25" s="3">
        <v>170.7858106930853</v>
      </c>
      <c r="B25" s="3">
        <v>108.8205386966505</v>
      </c>
      <c r="C25">
        <v>1.568189161944036</v>
      </c>
      <c r="D25" s="20">
        <f>Tabelle2!$C$42/Tabelle2!$C$43*0.01*Tabelle1[[#This Row],[CaO_w]]*Tabelle2!$C$19</f>
        <v>1.0971102713458816</v>
      </c>
      <c r="E25" s="22"/>
      <c r="F25">
        <v>0.39775960562934493</v>
      </c>
      <c r="G25" s="20">
        <f>Tabelle1[[#This Row],[CaCl2_w]]/Tabelle2!$C$43*Tabelle2!$C$36*Tabelle2!$C$19*0.01</f>
        <v>0.55073796186395552</v>
      </c>
      <c r="H25" s="22"/>
      <c r="I25" s="21">
        <f>(Tabelle1[[#This Row],[CaCl2_w]]+Tabelle1[[#This Row],[CaO_w]])/100</f>
        <v>1.9659487675733809E-2</v>
      </c>
      <c r="J25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5" s="21">
        <f>Tabelle1[[#This Row],[Actual CaCl2 mass per experiment]]*Tabelle2!$C$28/(Tabelle2!$C$19*(1+Tabelle2!$C$29))*(2*Tabelle2!$C$44/Tabelle2!$C$36)</f>
        <v>0</v>
      </c>
      <c r="L25">
        <v>1</v>
      </c>
      <c r="M25">
        <v>1</v>
      </c>
      <c r="O25" s="19" t="str">
        <f>IF(Tabelle1[[#This Row],[Reactor2]]=0,"BR300-2",IF(Tabelle1[[#This Row],[Reactor2]]=1,"BR300-3",IF(Tabelle1[[#This Row],[Reactor2]]=2,"BR300-4")))</f>
        <v>BR300-3</v>
      </c>
    </row>
    <row r="26" spans="1:15" ht="19" customHeight="1" x14ac:dyDescent="0.25">
      <c r="A26" s="3">
        <v>105.1186862056079</v>
      </c>
      <c r="B26" s="3">
        <v>84.202458856855372</v>
      </c>
      <c r="C26">
        <v>0.50283525915867255</v>
      </c>
      <c r="D26" s="20">
        <f>Tabelle2!$C$42/Tabelle2!$C$43*0.01*Tabelle1[[#This Row],[CaO_w]]*Tabelle2!$C$19</f>
        <v>0.35178519339718228</v>
      </c>
      <c r="E26" s="22"/>
      <c r="F26">
        <v>4.1873799494046113E-2</v>
      </c>
      <c r="G26" s="20">
        <f>Tabelle1[[#This Row],[CaCl2_w]]/Tabelle2!$C$43*Tabelle2!$C$36*Tabelle2!$C$19*0.01</f>
        <v>5.7978464033225381E-2</v>
      </c>
      <c r="H26" s="22"/>
      <c r="I26" s="21">
        <f>(Tabelle1[[#This Row],[CaCl2_w]]+Tabelle1[[#This Row],[CaO_w]])/100</f>
        <v>5.447090586527187E-3</v>
      </c>
      <c r="J26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6" s="21">
        <f>Tabelle1[[#This Row],[Actual CaCl2 mass per experiment]]*Tabelle2!$C$28/(Tabelle2!$C$19*(1+Tabelle2!$C$29))*(2*Tabelle2!$C$44/Tabelle2!$C$36)</f>
        <v>0</v>
      </c>
      <c r="L26">
        <v>1</v>
      </c>
      <c r="M26">
        <v>1</v>
      </c>
      <c r="O26" s="19" t="str">
        <f>IF(Tabelle1[[#This Row],[Reactor2]]=0,"BR300-2",IF(Tabelle1[[#This Row],[Reactor2]]=1,"BR300-3",IF(Tabelle1[[#This Row],[Reactor2]]=2,"BR300-4")))</f>
        <v>BR300-3</v>
      </c>
    </row>
    <row r="27" spans="1:15" ht="19" customHeight="1" x14ac:dyDescent="0.25">
      <c r="A27" s="3">
        <v>114.6887176132159</v>
      </c>
      <c r="B27" s="3">
        <v>117.93535882650789</v>
      </c>
      <c r="C27">
        <v>1.317841353842087</v>
      </c>
      <c r="D27" s="20">
        <f>Tabelle2!$C$42/Tabelle2!$C$43*0.01*Tabelle1[[#This Row],[CaO_w]]*Tabelle2!$C$19</f>
        <v>0.92196612525505572</v>
      </c>
      <c r="E27" s="22"/>
      <c r="F27">
        <v>0.45155492951657777</v>
      </c>
      <c r="G27" s="20">
        <f>Tabelle1[[#This Row],[CaCl2_w]]/Tabelle2!$C$43*Tabelle2!$C$36*Tabelle2!$C$19*0.01</f>
        <v>0.62522296892893692</v>
      </c>
      <c r="H27" s="22"/>
      <c r="I27" s="21">
        <f>(Tabelle1[[#This Row],[CaCl2_w]]+Tabelle1[[#This Row],[CaO_w]])/100</f>
        <v>1.7693962833586648E-2</v>
      </c>
      <c r="J27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7" s="21">
        <f>Tabelle1[[#This Row],[Actual CaCl2 mass per experiment]]*Tabelle2!$C$28/(Tabelle2!$C$19*(1+Tabelle2!$C$29))*(2*Tabelle2!$C$44/Tabelle2!$C$36)</f>
        <v>0</v>
      </c>
      <c r="L27">
        <v>1</v>
      </c>
      <c r="M27">
        <v>1</v>
      </c>
      <c r="O27" s="19" t="str">
        <f>IF(Tabelle1[[#This Row],[Reactor2]]=0,"BR300-2",IF(Tabelle1[[#This Row],[Reactor2]]=1,"BR300-3",IF(Tabelle1[[#This Row],[Reactor2]]=2,"BR300-4")))</f>
        <v>BR300-3</v>
      </c>
    </row>
    <row r="28" spans="1:15" ht="19" customHeight="1" x14ac:dyDescent="0.25">
      <c r="A28" s="3">
        <v>154.70332167990841</v>
      </c>
      <c r="B28" s="3">
        <v>123.6252623017859</v>
      </c>
      <c r="C28">
        <v>1.0558806716572391</v>
      </c>
      <c r="D28" s="20">
        <f>Tabelle2!$C$42/Tabelle2!$C$43*0.01*Tabelle1[[#This Row],[CaO_w]]*Tabelle2!$C$19</f>
        <v>0.73869757443973827</v>
      </c>
      <c r="E28" s="22"/>
      <c r="F28">
        <v>0.2061975716946331</v>
      </c>
      <c r="G28" s="20">
        <f>Tabelle1[[#This Row],[CaCl2_w]]/Tabelle2!$C$43*Tabelle2!$C$36*Tabelle2!$C$19*0.01</f>
        <v>0.28550116394227704</v>
      </c>
      <c r="H28" s="22"/>
      <c r="I28" s="21">
        <f>(Tabelle1[[#This Row],[CaCl2_w]]+Tabelle1[[#This Row],[CaO_w]])/100</f>
        <v>1.2620782433518723E-2</v>
      </c>
      <c r="J28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8" s="21">
        <f>Tabelle1[[#This Row],[Actual CaCl2 mass per experiment]]*Tabelle2!$C$28/(Tabelle2!$C$19*(1+Tabelle2!$C$29))*(2*Tabelle2!$C$44/Tabelle2!$C$36)</f>
        <v>0</v>
      </c>
      <c r="L28">
        <v>1</v>
      </c>
      <c r="M28">
        <v>1</v>
      </c>
      <c r="O28" s="19" t="str">
        <f>IF(Tabelle1[[#This Row],[Reactor2]]=0,"BR300-2",IF(Tabelle1[[#This Row],[Reactor2]]=1,"BR300-3",IF(Tabelle1[[#This Row],[Reactor2]]=2,"BR300-4")))</f>
        <v>BR300-3</v>
      </c>
    </row>
    <row r="29" spans="1:15" ht="19" customHeight="1" x14ac:dyDescent="0.25">
      <c r="A29" s="3">
        <v>146.23208619427291</v>
      </c>
      <c r="B29" s="3">
        <v>146.15564931420121</v>
      </c>
      <c r="C29">
        <v>1.640870333255019</v>
      </c>
      <c r="D29" s="20">
        <f>Tabelle2!$C$42/Tabelle2!$C$43*0.01*Tabelle1[[#This Row],[CaO_w]]*Tabelle2!$C$19</f>
        <v>1.147958256725323</v>
      </c>
      <c r="E29" s="22"/>
      <c r="F29">
        <v>2.62709721076279E-2</v>
      </c>
      <c r="G29" s="20">
        <f>Tabelle1[[#This Row],[CaCl2_w]]/Tabelle2!$C$43*Tabelle2!$C$36*Tabelle2!$C$19*0.01</f>
        <v>3.6374788766816893E-2</v>
      </c>
      <c r="H29" s="22"/>
      <c r="I29" s="21">
        <f>(Tabelle1[[#This Row],[CaCl2_w]]+Tabelle1[[#This Row],[CaO_w]])/100</f>
        <v>1.6671413053626471E-2</v>
      </c>
      <c r="J29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29" s="21">
        <f>Tabelle1[[#This Row],[Actual CaCl2 mass per experiment]]*Tabelle2!$C$28/(Tabelle2!$C$19*(1+Tabelle2!$C$29))*(2*Tabelle2!$C$44/Tabelle2!$C$36)</f>
        <v>0</v>
      </c>
      <c r="L29">
        <v>1</v>
      </c>
      <c r="M29">
        <v>2</v>
      </c>
      <c r="O29" s="19" t="str">
        <f>IF(Tabelle1[[#This Row],[Reactor2]]=0,"BR300-2",IF(Tabelle1[[#This Row],[Reactor2]]=1,"BR300-3",IF(Tabelle1[[#This Row],[Reactor2]]=2,"BR300-4")))</f>
        <v>BR300-4</v>
      </c>
    </row>
    <row r="30" spans="1:15" ht="19" customHeight="1" x14ac:dyDescent="0.25">
      <c r="A30" s="3">
        <v>131.01946049929509</v>
      </c>
      <c r="B30" s="3">
        <v>132.87209608752619</v>
      </c>
      <c r="C30">
        <v>0.97548538517796657</v>
      </c>
      <c r="D30" s="20">
        <f>Tabelle2!$C$42/Tabelle2!$C$43*0.01*Tabelle1[[#This Row],[CaO_w]]*Tabelle2!$C$19</f>
        <v>0.68245276883550698</v>
      </c>
      <c r="E30" s="22"/>
      <c r="F30">
        <v>0.11769487607985191</v>
      </c>
      <c r="G30" s="20">
        <f>Tabelle1[[#This Row],[CaCl2_w]]/Tabelle2!$C$43*Tabelle2!$C$36*Tabelle2!$C$19*0.01</f>
        <v>0.16296032894413748</v>
      </c>
      <c r="H30" s="22"/>
      <c r="I30" s="21">
        <f>(Tabelle1[[#This Row],[CaCl2_w]]+Tabelle1[[#This Row],[CaO_w]])/100</f>
        <v>1.0931802612578185E-2</v>
      </c>
      <c r="J30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30" s="21">
        <f>Tabelle1[[#This Row],[Actual CaCl2 mass per experiment]]*Tabelle2!$C$28/(Tabelle2!$C$19*(1+Tabelle2!$C$29))*(2*Tabelle2!$C$44/Tabelle2!$C$36)</f>
        <v>0</v>
      </c>
      <c r="L30">
        <v>1</v>
      </c>
      <c r="M30">
        <v>2</v>
      </c>
      <c r="O30" s="19" t="str">
        <f>IF(Tabelle1[[#This Row],[Reactor2]]=0,"BR300-2",IF(Tabelle1[[#This Row],[Reactor2]]=1,"BR300-3",IF(Tabelle1[[#This Row],[Reactor2]]=2,"BR300-4")))</f>
        <v>BR300-4</v>
      </c>
    </row>
    <row r="31" spans="1:15" ht="19" customHeight="1" x14ac:dyDescent="0.25">
      <c r="A31" s="3">
        <v>178.46379008628159</v>
      </c>
      <c r="B31" s="3">
        <v>127.0010479738838</v>
      </c>
      <c r="C31">
        <v>0.70901174754891061</v>
      </c>
      <c r="D31" s="20">
        <f>Tabelle2!$C$42/Tabelle2!$C$43*0.01*Tabelle1[[#This Row],[CaO_w]]*Tabelle2!$C$19</f>
        <v>0.49602693961773642</v>
      </c>
      <c r="E31" s="22"/>
      <c r="F31">
        <v>9.5557822176349755E-2</v>
      </c>
      <c r="G31" s="20">
        <f>Tabelle1[[#This Row],[CaCl2_w]]/Tabelle2!$C$43*Tabelle2!$C$36*Tabelle2!$C$19*0.01</f>
        <v>0.1323093634465293</v>
      </c>
      <c r="H31" s="22"/>
      <c r="I31" s="21">
        <f>(Tabelle1[[#This Row],[CaCl2_w]]+Tabelle1[[#This Row],[CaO_w]])/100</f>
        <v>8.0456956972526032E-3</v>
      </c>
      <c r="J31" s="21">
        <f>(Tabelle1[[#This Row],[Actual CaCl2 mass per experiment]]/(1/Tabelle2!$C$43*Tabelle2!$C$36*Tabelle2!$C$19*0.01)+Tabelle1[[#This Row],[Actual CaO mass per experiment]]/(Tabelle2!$C$42/Tabelle2!$C$43*0.01*Tabelle2!$C$19))*0.01</f>
        <v>0</v>
      </c>
      <c r="K31" s="21">
        <f>Tabelle1[[#This Row],[Actual CaCl2 mass per experiment]]*Tabelle2!$C$28/(Tabelle2!$C$19*(1+Tabelle2!$C$29))*(2*Tabelle2!$C$44/Tabelle2!$C$36)</f>
        <v>0</v>
      </c>
      <c r="L31">
        <v>1</v>
      </c>
      <c r="M31">
        <v>1</v>
      </c>
      <c r="O31" s="19" t="str">
        <f>IF(Tabelle1[[#This Row],[Reactor2]]=0,"BR300-2",IF(Tabelle1[[#This Row],[Reactor2]]=1,"BR300-3",IF(Tabelle1[[#This Row],[Reactor2]]=2,"BR300-4")))</f>
        <v>BR300-3</v>
      </c>
    </row>
  </sheetData>
  <conditionalFormatting sqref="I2:K31">
    <cfRule type="expression" dxfId="4" priority="1">
      <formula>I2&gt;0.02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6"/>
  <sheetViews>
    <sheetView tabSelected="1" topLeftCell="J1" workbookViewId="0">
      <selection activeCell="Q26" sqref="Q26"/>
    </sheetView>
  </sheetViews>
  <sheetFormatPr baseColWidth="10" defaultRowHeight="15" x14ac:dyDescent="0.2"/>
  <cols>
    <col min="1" max="1" width="12" customWidth="1"/>
    <col min="2" max="2" width="17.83203125" customWidth="1"/>
    <col min="3" max="3" width="20.33203125" customWidth="1"/>
    <col min="4" max="4" width="9.83203125" customWidth="1"/>
    <col min="5" max="5" width="24.33203125" customWidth="1"/>
    <col min="6" max="6" width="14.33203125" customWidth="1"/>
    <col min="7" max="7" width="11.6640625" customWidth="1"/>
    <col min="8" max="8" width="10.33203125" customWidth="1"/>
    <col min="9" max="9" width="25.6640625" customWidth="1"/>
    <col min="10" max="10" width="15.5" customWidth="1"/>
    <col min="11" max="11" width="12.83203125" customWidth="1"/>
    <col min="12" max="12" width="9.83203125" hidden="1" customWidth="1"/>
    <col min="13" max="13" width="20.33203125" customWidth="1"/>
    <col min="14" max="14" width="22.5" customWidth="1"/>
    <col min="15" max="15" width="17" bestFit="1" customWidth="1"/>
    <col min="16" max="16" width="11.33203125" customWidth="1"/>
    <col min="17" max="17" width="23.6640625" customWidth="1"/>
    <col min="18" max="18" width="17.1640625" customWidth="1"/>
    <col min="19" max="19" width="27.33203125" customWidth="1"/>
    <col min="20" max="20" width="23.1640625" customWidth="1"/>
    <col min="21" max="21" width="20.5" customWidth="1"/>
    <col min="22" max="22" width="27.33203125" bestFit="1" customWidth="1"/>
    <col min="23" max="23" width="16.1640625" customWidth="1"/>
    <col min="24" max="24" width="11.1640625" customWidth="1"/>
    <col min="25" max="25" width="12.33203125" customWidth="1"/>
    <col min="26" max="26" width="15.6640625" customWidth="1"/>
    <col min="27" max="28" width="27.33203125" bestFit="1" customWidth="1"/>
    <col min="29" max="29" width="15" customWidth="1"/>
  </cols>
  <sheetData>
    <row r="1" spans="1:32" ht="80" customHeight="1" x14ac:dyDescent="0.2">
      <c r="A1" s="51" t="s">
        <v>16</v>
      </c>
      <c r="B1" s="51" t="s">
        <v>17</v>
      </c>
      <c r="C1" s="51" t="s">
        <v>18</v>
      </c>
      <c r="D1" s="51" t="s">
        <v>2</v>
      </c>
      <c r="E1" s="51" t="s">
        <v>5</v>
      </c>
      <c r="F1" s="51" t="s">
        <v>19</v>
      </c>
      <c r="G1" s="51" t="s">
        <v>20</v>
      </c>
      <c r="H1" s="51" t="s">
        <v>3</v>
      </c>
      <c r="I1" s="51" t="s">
        <v>7</v>
      </c>
      <c r="J1" s="51" t="s">
        <v>21</v>
      </c>
      <c r="K1" s="51" t="s">
        <v>22</v>
      </c>
      <c r="L1" s="51" t="s">
        <v>9</v>
      </c>
      <c r="M1" s="51" t="s">
        <v>23</v>
      </c>
      <c r="N1" s="51" t="s">
        <v>24</v>
      </c>
      <c r="O1" s="52" t="s">
        <v>100</v>
      </c>
      <c r="P1" s="52" t="s">
        <v>25</v>
      </c>
      <c r="Q1" s="51" t="s">
        <v>26</v>
      </c>
      <c r="R1" s="51" t="s">
        <v>27</v>
      </c>
      <c r="S1" s="52" t="s">
        <v>28</v>
      </c>
      <c r="T1" s="51" t="s">
        <v>29</v>
      </c>
      <c r="U1" s="51" t="s">
        <v>98</v>
      </c>
      <c r="V1" s="51" t="s">
        <v>30</v>
      </c>
      <c r="W1" s="51" t="s">
        <v>31</v>
      </c>
      <c r="X1" s="51" t="s">
        <v>32</v>
      </c>
      <c r="Y1" s="51" t="s">
        <v>33</v>
      </c>
      <c r="Z1" s="51" t="s">
        <v>34</v>
      </c>
      <c r="AA1" s="51" t="s">
        <v>35</v>
      </c>
      <c r="AB1" s="53" t="s">
        <v>36</v>
      </c>
      <c r="AC1" s="53" t="s">
        <v>37</v>
      </c>
      <c r="AD1" s="54" t="s">
        <v>38</v>
      </c>
    </row>
    <row r="2" spans="1:32" ht="19" customHeight="1" x14ac:dyDescent="0.25">
      <c r="A2" s="30">
        <v>362</v>
      </c>
      <c r="B2" s="30">
        <v>180</v>
      </c>
      <c r="C2" s="30">
        <v>180</v>
      </c>
      <c r="D2" s="31">
        <v>0</v>
      </c>
      <c r="E2" s="20">
        <f>Tabelle2!$C$42/Tabelle2!$C$43*0.01*Experiments!$D2*Tabelle2!$C$19*1.25</f>
        <v>0</v>
      </c>
      <c r="F2" s="33">
        <v>0</v>
      </c>
      <c r="G2" s="8">
        <f>(Tabelle2!$C$42/Tabelle2!$C$43*0.01*Tabelle2!$C$19*1.25)^(-1)*Experiments!$F2</f>
        <v>0</v>
      </c>
      <c r="H2" s="31">
        <v>0</v>
      </c>
      <c r="I2" s="32">
        <f>Experiments!$H2/Tabelle2!$C$43*Tabelle2!$C$36*Tabelle2!$C$19*0.01</f>
        <v>0</v>
      </c>
      <c r="J2" s="33">
        <v>0</v>
      </c>
      <c r="K2" s="50">
        <f>(1/Tabelle2!$C$43*Tabelle2!$C$36*Tabelle2!$C$19*0.01)^(-1)*Experiments!$J2</f>
        <v>0</v>
      </c>
      <c r="L2" s="35">
        <f>(Experiments!$H2+Experiments!$D2)/100</f>
        <v>0</v>
      </c>
      <c r="M2" s="35">
        <f t="shared" ref="M2:M21" si="0">(G2+K2)/100</f>
        <v>0</v>
      </c>
      <c r="N2" s="36">
        <f>Experiments!$J2*Tabelle2!$C$28/(Tabelle2!$C$19*(1+Tabelle2!$C$29))*(2*Tabelle2!$C$44/Tabelle2!$C$36)</f>
        <v>0</v>
      </c>
      <c r="O2" s="31">
        <v>64.72</v>
      </c>
      <c r="P2" s="31">
        <v>0</v>
      </c>
      <c r="Q2" s="37">
        <v>45763</v>
      </c>
      <c r="R2" s="38" t="str">
        <f>IF(Experiments!$P2=0,"BR300-2",IF(Experiments!$P2=1,"BR300-3",IF(Experiments!$P2=2,"BR300-4")))</f>
        <v>BR300-2</v>
      </c>
      <c r="S2" s="34">
        <v>83.311000000000007</v>
      </c>
      <c r="T2" s="36">
        <v>0.22140000000000001</v>
      </c>
      <c r="U2" s="36">
        <v>0.22739999999999999</v>
      </c>
      <c r="V2" s="36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0.22739999999999999</v>
      </c>
      <c r="W2" s="35">
        <v>0.26950000000000002</v>
      </c>
      <c r="X2" s="31">
        <f>0.0846+0.9069*Experiments!$U2</f>
        <v>0.29082905999999997</v>
      </c>
      <c r="Y2" s="35">
        <f>Experiments!$W2*Tabelle2!$C$31/(1+Tabelle2!$C$31*Experiments!$W2)</f>
        <v>0.11608253791442415</v>
      </c>
      <c r="Z2" s="39">
        <f>75+Experiments!$F2+Experiments!$J2-Tabelle6[[#This Row],[CaCl2 mass '[g']]]*Tabelle2!$C$53*(1-Tabelle2!$C$28)</f>
        <v>75</v>
      </c>
      <c r="AA2" s="35">
        <f>(Z2*Y2-(1-Y2)*(F2*Tabelle2!$C$51+Tabelle2!$C$52*J2))/(1-Y2)/(75*Tabelle2!$C$31)</f>
        <v>0.26949999999999996</v>
      </c>
      <c r="AB2" s="31" t="s">
        <v>39</v>
      </c>
      <c r="AC2" s="31" t="s">
        <v>40</v>
      </c>
      <c r="AD2" s="31"/>
    </row>
    <row r="3" spans="1:32" ht="19" customHeight="1" x14ac:dyDescent="0.25">
      <c r="A3" s="3">
        <v>366</v>
      </c>
      <c r="B3" s="3">
        <v>180</v>
      </c>
      <c r="C3" s="3">
        <v>180</v>
      </c>
      <c r="D3">
        <v>1</v>
      </c>
      <c r="E3" s="20">
        <f>Tabelle2!$C$42/Tabelle2!$C$43*0.01*Experiments!$D3*Tabelle2!$C$19*1.25</f>
        <v>0.8745040920205599</v>
      </c>
      <c r="F3" s="22">
        <v>0.875</v>
      </c>
      <c r="G3" s="8">
        <f>(Tabelle2!$C$42/Tabelle2!$C$43*0.01*Tabelle2!$C$19*1.25)^(-1)*Experiments!$F3</f>
        <v>1.0005670733664542</v>
      </c>
      <c r="H3">
        <v>0</v>
      </c>
      <c r="I3" s="20">
        <f>Experiments!$H3/Tabelle2!$C$43*Tabelle2!$C$36*Tabelle2!$C$19*0.01</f>
        <v>0</v>
      </c>
      <c r="J3" s="22">
        <v>0</v>
      </c>
      <c r="K3" s="22">
        <f>(1/Tabelle2!$C$43*Tabelle2!$C$36*Tabelle2!$C$19*0.01)^(-1)*Experiments!$J3</f>
        <v>0</v>
      </c>
      <c r="L3" s="21">
        <f>(Experiments!$H3+Experiments!$D3)/100</f>
        <v>0.01</v>
      </c>
      <c r="M3" s="49">
        <f t="shared" si="0"/>
        <v>1.0005670733664542E-2</v>
      </c>
      <c r="N3" s="23">
        <f>Experiments!$J3*Tabelle2!$C$28/(Tabelle2!$C$19*(1+Tabelle2!$C$29))*(2*Tabelle2!$C$44/Tabelle2!$C$36)</f>
        <v>0</v>
      </c>
      <c r="O3">
        <v>64.72</v>
      </c>
      <c r="P3">
        <v>1</v>
      </c>
      <c r="Q3" s="19">
        <v>45764</v>
      </c>
      <c r="R3" s="28" t="str">
        <f>IF(Experiments!$P3=0,"BR300-2",IF(Experiments!$P3=1,"BR300-3",IF(Experiments!$P3=2,"BR300-4")))</f>
        <v>BR300-3</v>
      </c>
      <c r="S3" s="8">
        <v>91.088999999999999</v>
      </c>
      <c r="T3" s="23">
        <v>0.25940000000000002</v>
      </c>
      <c r="U3" s="23">
        <v>0.44019999999999998</v>
      </c>
      <c r="V3" s="23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0.41937727997375057</v>
      </c>
      <c r="W3" s="21">
        <v>0.47699999999999998</v>
      </c>
      <c r="X3">
        <f>0.0846+0.9069*Experiments!$U3</f>
        <v>0.48381738000000002</v>
      </c>
      <c r="Y3" s="21">
        <f>Experiments!$W3*Tabelle2!$C$31/(1+Tabelle2!$C$31*Experiments!$W3)</f>
        <v>0.18860285606926278</v>
      </c>
      <c r="Z3" s="27">
        <f>75+Experiments!$F3+Experiments!$J3-Tabelle6[[#This Row],[CaCl2 mass '[g']]]*Tabelle2!$C$53*(1-Tabelle2!$C$28)</f>
        <v>75.875</v>
      </c>
      <c r="AA3" s="21">
        <f>(Z3*Y3-(1-Y3)*(F3*Tabelle2!$C$51+Tabelle2!$C$52*J3))/(1-Y3)/(75*Tabelle2!$C$31)</f>
        <v>0.46377564362901125</v>
      </c>
      <c r="AB3" t="s">
        <v>39</v>
      </c>
      <c r="AC3" t="s">
        <v>40</v>
      </c>
      <c r="AE3" s="21"/>
      <c r="AF3" s="21"/>
    </row>
    <row r="4" spans="1:32" ht="19" customHeight="1" x14ac:dyDescent="0.25">
      <c r="A4" s="40">
        <v>370</v>
      </c>
      <c r="B4" s="40">
        <v>180</v>
      </c>
      <c r="C4" s="40">
        <v>180</v>
      </c>
      <c r="D4" s="29">
        <v>0</v>
      </c>
      <c r="E4" s="20">
        <f>Tabelle2!$C$42/Tabelle2!$C$43*0.01*Experiments!$D4*Tabelle2!$C$19*1.25</f>
        <v>0</v>
      </c>
      <c r="F4" s="42">
        <v>0</v>
      </c>
      <c r="G4" s="8">
        <f>(Tabelle2!$C$42/Tabelle2!$C$43*0.01*Tabelle2!$C$19*1.25)^(-1)*Experiments!$F4</f>
        <v>0</v>
      </c>
      <c r="H4" s="29">
        <v>0</v>
      </c>
      <c r="I4" s="41">
        <f>Experiments!$H4/Tabelle2!$C$43*Tabelle2!$C$36*Tabelle2!$C$19*0.01</f>
        <v>0</v>
      </c>
      <c r="J4" s="42">
        <v>0</v>
      </c>
      <c r="K4" s="22">
        <f>(1/Tabelle2!$C$43*Tabelle2!$C$36*Tabelle2!$C$19*0.01)^(-1)*Experiments!$J4</f>
        <v>0</v>
      </c>
      <c r="L4" s="25">
        <f>(Experiments!$H4+Experiments!$D4)/100</f>
        <v>0</v>
      </c>
      <c r="M4" s="25">
        <f t="shared" si="0"/>
        <v>0</v>
      </c>
      <c r="N4" s="44">
        <f>Experiments!$J4*Tabelle2!$C$28/(Tabelle2!$C$19*(1+Tabelle2!$C$29))*(2*Tabelle2!$C$44/Tabelle2!$C$36)</f>
        <v>0</v>
      </c>
      <c r="O4">
        <v>64.72</v>
      </c>
      <c r="P4" s="29">
        <v>2</v>
      </c>
      <c r="Q4" s="45">
        <v>45769</v>
      </c>
      <c r="R4" s="46" t="str">
        <f>IF(Experiments!$P4=0,"BR300-2",IF(Experiments!$P4=1,"BR300-3",IF(Experiments!$P4=2,"BR300-4")))</f>
        <v>BR300-4</v>
      </c>
      <c r="S4" s="43">
        <v>84.891999999999996</v>
      </c>
      <c r="T4" s="44">
        <v>0.29260000000000003</v>
      </c>
      <c r="U4" s="44">
        <v>0.27060000000000001</v>
      </c>
      <c r="V4" s="44">
        <f>Tabelle6[[#This Row],[Reaction yield (mass) w/o correction]]-(Tabelle6[[#This Row],[CaCl2 mass '[g']]]*(1+Tabelle2!$C$52)+Tabelle6[[#This Row],[CaO mass '[g']]]*(1+Tabelle2!$C$51)-Tabelle6[[#This Row],[CaCl2 mass '[g']]]*Tabelle2!$C$53*(1-Tabelle2!$C$28))/(75)</f>
        <v>0.27060000000000001</v>
      </c>
      <c r="W4" s="25">
        <v>0.31069999999999998</v>
      </c>
      <c r="X4" s="29">
        <f>0.0846+0.9069*Experiments!$U4</f>
        <v>0.33000714000000003</v>
      </c>
      <c r="Y4" s="25">
        <f>Experiments!$W4*Tabelle2!$C$31/(1+Tabelle2!$C$31*Experiments!$W4)</f>
        <v>0.13149519676458335</v>
      </c>
      <c r="Z4" s="47">
        <f>75+Experiments!$F4+Experiments!$J4-Tabelle6[[#This Row],[CaCl2 mass '[g']]]*Tabelle2!$C$53*(1-Tabelle2!$C$28)</f>
        <v>75</v>
      </c>
      <c r="AA4" s="25">
        <f>(Z4*Y4-(1-Y4)*(F4*Tabelle2!$C$51+Tabelle2!$C$52*J4))/(1-Y4)/(75*Tabelle2!$C$31)</f>
        <v>0.31069999999999992</v>
      </c>
      <c r="AB4" s="29" t="s">
        <v>39</v>
      </c>
      <c r="AC4" s="29" t="s">
        <v>40</v>
      </c>
      <c r="AD4" s="29"/>
    </row>
    <row r="5" spans="1:32" ht="19" customHeight="1" x14ac:dyDescent="0.25">
      <c r="A5" s="3">
        <v>371</v>
      </c>
      <c r="B5" s="3">
        <v>180</v>
      </c>
      <c r="C5" s="3">
        <v>180</v>
      </c>
      <c r="D5">
        <v>1</v>
      </c>
      <c r="E5" s="20">
        <f>Tabelle2!$C$42/Tabelle2!$C$43*0.01*Experiments!$D5*Tabelle2!$C$19</f>
        <v>0.69960327361644792</v>
      </c>
      <c r="F5" s="22">
        <v>0.70199999999999996</v>
      </c>
      <c r="G5" s="8">
        <f>(Tabelle2!$C$42/Tabelle2!$C$43*0.01*Tabelle2!$C$19)^(-1)*Experiments!$F5</f>
        <v>1.0034258364332156</v>
      </c>
      <c r="H5">
        <v>0.2</v>
      </c>
      <c r="I5" s="20">
        <f>Experiments!$H5/Tabelle2!$C$43*Tabelle2!$C$36*Tabelle2!$C$19*0.01</f>
        <v>0.27692000598832278</v>
      </c>
      <c r="J5" s="22">
        <v>0.27800000000000002</v>
      </c>
      <c r="K5" s="22">
        <f>(1/Tabelle2!$C$43*Tabelle2!$C$36*Tabelle2!$C$19*0.01)^(-1)*Experiments!$J5</f>
        <v>0.20078000432494775</v>
      </c>
      <c r="L5" s="21">
        <f>(Experiments!$H5+Experiments!$D5)/100</f>
        <v>1.2E-2</v>
      </c>
      <c r="M5" s="49">
        <f t="shared" si="0"/>
        <v>1.2042058407581633E-2</v>
      </c>
      <c r="N5" s="23">
        <f>Experiments!$J5*Tabelle2!$C$28/(Tabelle2!$C$19*(1+Tabelle2!$C$29))*(2*Tabelle2!$C$44/Tabelle2!$C$36)</f>
        <v>8.8421948282561022E-4</v>
      </c>
      <c r="O5">
        <v>64.72</v>
      </c>
      <c r="P5">
        <v>0</v>
      </c>
      <c r="Q5" s="19">
        <v>45771</v>
      </c>
      <c r="R5" s="28" t="str">
        <f>IF(Experiments!$P5=0,"BR300-2",IF(Experiments!$P5=1,"BR300-3",IF(Experiments!$P5=2,"BR300-4")))</f>
        <v>BR300-2</v>
      </c>
      <c r="S5" s="8">
        <v>60.277000000000001</v>
      </c>
      <c r="T5" s="23">
        <v>0.1628</v>
      </c>
      <c r="U5" s="23">
        <v>0.42170000000000002</v>
      </c>
      <c r="V5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0.39145023486272995</v>
      </c>
      <c r="W5" s="21">
        <v>0.43980000000000002</v>
      </c>
      <c r="X5">
        <f>0.0846+0.9069*Experiments!$U5</f>
        <v>0.46703973000000004</v>
      </c>
      <c r="Y5" s="21">
        <f>Experiments!$W5*Tabelle2!$C$31/(1+Tabelle2!$C$31*Experiments!$W5)</f>
        <v>0.17649013739059735</v>
      </c>
      <c r="Z5" s="27">
        <f>50+Experiments!$F5+Experiments!$J5-Tabelle6[[#This Row],[CaCl2 mass '[g']]]*Tabelle2!$C$53*(1-Tabelle2!$C$28)</f>
        <v>50.851316813545488</v>
      </c>
      <c r="AA5" s="21">
        <f>(Z5*Y5-(1-Y5)*(F5*Tabelle2!$C$51+Tabelle2!$C$52*J5))/(1-Y5)/(50*Tabelle2!$C$31)</f>
        <v>0.42015206763682555</v>
      </c>
      <c r="AB5" t="s">
        <v>39</v>
      </c>
      <c r="AC5" t="s">
        <v>40</v>
      </c>
    </row>
    <row r="6" spans="1:32" ht="19" customHeight="1" x14ac:dyDescent="0.25">
      <c r="A6" s="40">
        <v>373</v>
      </c>
      <c r="B6" s="40">
        <v>180</v>
      </c>
      <c r="C6" s="40">
        <v>180</v>
      </c>
      <c r="D6" s="29">
        <v>0</v>
      </c>
      <c r="E6" s="41">
        <f>Tabelle2!$C$42/Tabelle2!$C$43*0.01*Experiments!$D6*Tabelle2!$C$19</f>
        <v>0</v>
      </c>
      <c r="F6" s="42">
        <v>0</v>
      </c>
      <c r="G6" s="43">
        <f>(Tabelle2!$C$42/Tabelle2!$C$43*0.01*Tabelle2!$C$19)^(-1)*Experiments!$F6</f>
        <v>0</v>
      </c>
      <c r="H6" s="29">
        <v>0</v>
      </c>
      <c r="I6" s="41">
        <f>Experiments!$H6/Tabelle2!$C$43*Tabelle2!$C$36*Tabelle2!$C$19*0.01</f>
        <v>0</v>
      </c>
      <c r="J6" s="42">
        <v>0</v>
      </c>
      <c r="K6" s="22">
        <f>(1/Tabelle2!$C$43*Tabelle2!$C$36*Tabelle2!$C$19*0.01)^(-1)*Experiments!$J6</f>
        <v>0</v>
      </c>
      <c r="L6" s="25">
        <f>(Experiments!$H6+Experiments!$D6)/100</f>
        <v>0</v>
      </c>
      <c r="M6" s="25">
        <f t="shared" si="0"/>
        <v>0</v>
      </c>
      <c r="N6" s="44">
        <f>Experiments!$J6*Tabelle2!$C$28/(Tabelle2!$C$19*(1+Tabelle2!$C$29))*(2*Tabelle2!$C$44/Tabelle2!$C$36)</f>
        <v>0</v>
      </c>
      <c r="O6">
        <v>64.72</v>
      </c>
      <c r="P6" s="29">
        <v>1</v>
      </c>
      <c r="Q6" s="45">
        <v>45771</v>
      </c>
      <c r="R6" s="46" t="str">
        <f>IF(Experiments!$P6=0,"BR300-2",IF(Experiments!$P6=1,"BR300-3",IF(Experiments!$P6=2,"BR300-4")))</f>
        <v>BR300-3</v>
      </c>
      <c r="S6" s="43">
        <v>56.606000000000002</v>
      </c>
      <c r="T6" s="44">
        <v>0.1424</v>
      </c>
      <c r="U6" s="44">
        <v>0.27089999999999997</v>
      </c>
      <c r="V6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0.27089999999999997</v>
      </c>
      <c r="W6" s="25">
        <v>0.25359999999999999</v>
      </c>
      <c r="X6" s="29">
        <f>0.0846+0.9069*Experiments!$U6</f>
        <v>0.33027920999999999</v>
      </c>
      <c r="Y6" s="25">
        <f>Experiments!$W6*Tabelle2!$C$31/(1+Tabelle2!$C$31*Experiments!$W6)</f>
        <v>0.10998714750239966</v>
      </c>
      <c r="Z6" s="47">
        <f>50+Experiments!$F6+Experiments!$J6-Tabelle6[[#This Row],[CaCl2 mass '[g']]]*Tabelle2!$C$53*(1-Tabelle2!$C$28)</f>
        <v>50</v>
      </c>
      <c r="AA6" s="21">
        <f>(Z6*Y6-(1-Y6)*(F6*Tabelle2!$C$51+Tabelle2!$C$52*J6))/(1-Y6)/(50*Tabelle2!$C$31)</f>
        <v>0.25359999999999999</v>
      </c>
      <c r="AB6" s="29" t="s">
        <v>39</v>
      </c>
      <c r="AC6" s="29" t="s">
        <v>40</v>
      </c>
      <c r="AD6" s="29"/>
    </row>
    <row r="7" spans="1:32" ht="19" customHeight="1" x14ac:dyDescent="0.25">
      <c r="A7" s="3">
        <v>377</v>
      </c>
      <c r="B7" s="3">
        <v>107.1127360402414</v>
      </c>
      <c r="C7" s="3">
        <v>163.2431056250521</v>
      </c>
      <c r="D7">
        <v>1.8240216397807101</v>
      </c>
      <c r="E7" s="20">
        <f>Tabelle2!$C$42/Tabelle2!$C$43*0.01*Experiments!$D7*Tabelle2!$C$19</f>
        <v>1.2760915103378263</v>
      </c>
      <c r="F7" s="22">
        <v>1.2769999999999999</v>
      </c>
      <c r="G7" s="8">
        <f>(Tabelle2!$C$42/Tabelle2!$C$43*0.01*Tabelle2!$C$19)^(-1)*Experiments!$F7</f>
        <v>1.8253202181270887</v>
      </c>
      <c r="H7">
        <v>5.1580668433623543E-2</v>
      </c>
      <c r="I7" s="20">
        <f>Experiments!$H7/Tabelle2!$C$43*Tabelle2!$C$36*Tabelle2!$C$19*0.01</f>
        <v>7.1418595057603618E-2</v>
      </c>
      <c r="J7" s="22">
        <v>7.8E-2</v>
      </c>
      <c r="K7" s="22">
        <f>(1/Tabelle2!$C$43*Tabelle2!$C$36*Tabelle2!$C$19*0.01)^(-1)*Experiments!$J7</f>
        <v>5.6333958048006921E-2</v>
      </c>
      <c r="L7" s="21">
        <f>(Experiments!$H7+Experiments!$D7)/100</f>
        <v>1.8756023082143337E-2</v>
      </c>
      <c r="M7" s="49">
        <f t="shared" si="0"/>
        <v>1.8816541761750957E-2</v>
      </c>
      <c r="N7" s="23">
        <f>Experiments!$J7*Tabelle2!$C$28/(Tabelle2!$C$19*(1+Tabelle2!$C$29))*(2*Tabelle2!$C$44/Tabelle2!$C$36)</f>
        <v>2.4809035849063878E-4</v>
      </c>
      <c r="O7">
        <v>64.72</v>
      </c>
      <c r="P7">
        <v>0</v>
      </c>
      <c r="Q7" s="19">
        <v>45775</v>
      </c>
      <c r="R7" s="28" t="str">
        <f>IF(Experiments!$P7=0,"BR300-2",IF(Experiments!$P7=1,"BR300-3",IF(Experiments!$P7=2,"BR300-4")))</f>
        <v>BR300-2</v>
      </c>
      <c r="S7" s="8">
        <v>59.034999999999997</v>
      </c>
      <c r="T7" s="24">
        <v>20.22</v>
      </c>
      <c r="U7" s="23">
        <v>0.37080000000000002</v>
      </c>
      <c r="V7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0.32375959300127127</v>
      </c>
      <c r="W7" s="21">
        <v>0.32819999999999999</v>
      </c>
      <c r="X7">
        <f>0.0846+0.9069*Experiments!$U7</f>
        <v>0.42087852000000003</v>
      </c>
      <c r="Y7" s="21">
        <f>Experiments!$W7*Tabelle2!$C$31/(1+Tabelle2!$C$31*Experiments!$W7)</f>
        <v>0.137880392387877</v>
      </c>
      <c r="Z7" s="27">
        <f>50+Experiments!$F7+Experiments!$J7-Tabelle6[[#This Row],[CaCl2 mass '[g']]]*Tabelle2!$C$53*(1-Tabelle2!$C$28)</f>
        <v>51.318894645527159</v>
      </c>
      <c r="AA7" s="21">
        <f>(Z7*Y7-(1-Y7)*(F7*Tabelle2!$C$51+Tabelle2!$C$52*J7))/(1-Y7)/(50*Tabelle2!$C$31)</f>
        <v>0.29445518446106766</v>
      </c>
      <c r="AB7" t="s">
        <v>41</v>
      </c>
      <c r="AC7" s="19">
        <v>45774</v>
      </c>
      <c r="AD7" s="19"/>
      <c r="AF7" s="21"/>
    </row>
    <row r="8" spans="1:32" ht="19" customHeight="1" x14ac:dyDescent="0.25">
      <c r="A8" s="40">
        <v>378</v>
      </c>
      <c r="B8" s="40">
        <v>102.8122794351714</v>
      </c>
      <c r="C8" s="40">
        <v>54.076736198839797</v>
      </c>
      <c r="D8" s="29">
        <v>1.2154931060711891</v>
      </c>
      <c r="E8" s="41">
        <f>Tabelle2!$C$42/Tabelle2!$C$43*0.01*Experiments!$D8*Tabelle2!$C$19</f>
        <v>0.85036295606562817</v>
      </c>
      <c r="F8" s="42">
        <v>0.85499999999999998</v>
      </c>
      <c r="G8" s="43">
        <f>(Tabelle2!$C$42/Tabelle2!$C$43*0.01*Tabelle2!$C$19)^(-1)*Experiments!$F8</f>
        <v>1.2221212110404549</v>
      </c>
      <c r="H8" s="29">
        <v>0.29695917965307078</v>
      </c>
      <c r="I8" s="41">
        <f>Experiments!$H8/Tabelle2!$C$43*Tabelle2!$C$36*Tabelle2!$C$19*0.01</f>
        <v>0.41116968903907891</v>
      </c>
      <c r="J8" s="42">
        <v>0.433</v>
      </c>
      <c r="K8" s="22">
        <f>(1/Tabelle2!$C$43*Tabelle2!$C$36*Tabelle2!$C$19*0.01)^(-1)*Experiments!$J8</f>
        <v>0.31272569018957685</v>
      </c>
      <c r="L8" s="25">
        <f>(Experiments!$H8+Experiments!$D8)/100</f>
        <v>1.5124522857242599E-2</v>
      </c>
      <c r="M8" s="25">
        <f t="shared" si="0"/>
        <v>1.5348469012300319E-2</v>
      </c>
      <c r="N8" s="44">
        <f>Experiments!$J8*Tabelle2!$C$28/(Tabelle2!$C$19*(1+Tabelle2!$C$29))*(2*Tabelle2!$C$44/Tabelle2!$C$36)</f>
        <v>1.3772195541852127E-3</v>
      </c>
      <c r="O8">
        <v>64.72</v>
      </c>
      <c r="P8" s="29">
        <v>1</v>
      </c>
      <c r="Q8" s="45">
        <v>45775</v>
      </c>
      <c r="R8" s="46" t="str">
        <f>IF(Experiments!$P8=0,"BR300-2",IF(Experiments!$P8=1,"BR300-3",IF(Experiments!$P8=2,"BR300-4")))</f>
        <v>BR300-3</v>
      </c>
      <c r="S8" s="43">
        <v>55.09</v>
      </c>
      <c r="T8" s="44">
        <v>0.2349</v>
      </c>
      <c r="U8" s="44">
        <v>0.2089</v>
      </c>
      <c r="V8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0.17029440954699432</v>
      </c>
      <c r="W8" s="25">
        <v>0.2505</v>
      </c>
      <c r="X8" s="29">
        <f>0.0846+0.9069*Experiments!$U8</f>
        <v>0.27405141</v>
      </c>
      <c r="Y8" s="25">
        <f>Experiments!$W8*Tabelle2!$C$31/(1+Tabelle2!$C$31*Experiments!$W8)</f>
        <v>0.10878893194280045</v>
      </c>
      <c r="Z8" s="47">
        <f>50+Experiments!$F8+Experiments!$J8-Tabelle6[[#This Row],[CaCl2 mass '[g']]]*Tabelle2!$C$53*(1-Tabelle2!$C$28)</f>
        <v>51.087568993759703</v>
      </c>
      <c r="AA8" s="21">
        <f>(Z8*Y8-(1-Y8)*(F8*Tabelle2!$C$51+Tabelle2!$C$52*J8))/(1-Y8)/(50*Tabelle2!$C$31)</f>
        <v>0.22136179150254559</v>
      </c>
      <c r="AB8" s="29" t="s">
        <v>41</v>
      </c>
      <c r="AC8" s="45">
        <v>45774</v>
      </c>
      <c r="AD8" s="45"/>
      <c r="AF8" s="21"/>
    </row>
    <row r="9" spans="1:32" ht="19" customHeight="1" x14ac:dyDescent="0.25">
      <c r="A9" s="3">
        <v>379</v>
      </c>
      <c r="B9" s="3">
        <v>167.19015659377209</v>
      </c>
      <c r="C9" s="3">
        <v>40.665712069718602</v>
      </c>
      <c r="D9">
        <v>0.29987314876024701</v>
      </c>
      <c r="E9" s="20">
        <f>Tabelle2!$C$42/Tabelle2!$C$43*0.01*Experiments!$D9*Tabelle2!$C$19</f>
        <v>0.20979223654234089</v>
      </c>
      <c r="F9" s="22">
        <v>0.21199999999999999</v>
      </c>
      <c r="G9" s="8">
        <f>(Tabelle2!$C$42/Tabelle2!$C$43*0.01*Tabelle2!$C$19)^(-1)*Experiments!$F9</f>
        <v>0.30302888507669756</v>
      </c>
      <c r="H9">
        <v>0.336453353531038</v>
      </c>
      <c r="I9" s="20">
        <f>Experiments!$H9/Tabelle2!$C$43*Tabelle2!$C$36*Tabelle2!$C$19*0.01</f>
        <v>0.46585332337303165</v>
      </c>
      <c r="J9" s="22">
        <v>0.46700000000000003</v>
      </c>
      <c r="K9" s="22">
        <f>(1/Tabelle2!$C$43*Tabelle2!$C$36*Tabelle2!$C$19*0.01)^(-1)*Experiments!$J9</f>
        <v>0.33728151805665685</v>
      </c>
      <c r="L9" s="21">
        <f>(Experiments!$H9+Experiments!$D9)/100</f>
        <v>6.3632650229128495E-3</v>
      </c>
      <c r="M9" s="49">
        <f t="shared" si="0"/>
        <v>6.403104031333544E-3</v>
      </c>
      <c r="N9" s="23">
        <f>Experiments!$J9*Tabelle2!$C$28/(Tabelle2!$C$19*(1+Tabelle2!$C$29))*(2*Tabelle2!$C$44/Tabelle2!$C$36)</f>
        <v>1.4853615053221582E-3</v>
      </c>
      <c r="O9">
        <v>64.72</v>
      </c>
      <c r="P9">
        <v>2</v>
      </c>
      <c r="Q9" s="19">
        <v>45775</v>
      </c>
      <c r="R9" s="28" t="str">
        <f>IF(Experiments!$P9=0,"BR300-2",IF(Experiments!$P9=1,"BR300-3",IF(Experiments!$P9=2,"BR300-4")))</f>
        <v>BR300-4</v>
      </c>
      <c r="S9" s="8">
        <v>57.115000000000002</v>
      </c>
      <c r="T9" s="23">
        <v>0.14749999999999999</v>
      </c>
      <c r="U9" s="23">
        <v>0.29199999999999998</v>
      </c>
      <c r="V9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0.27571211253940653</v>
      </c>
      <c r="W9" s="21">
        <v>0.32519999999999999</v>
      </c>
      <c r="X9">
        <f>0.0846+0.9069*Experiments!$U9</f>
        <v>0.34941480000000003</v>
      </c>
      <c r="Y9" s="21">
        <f>Experiments!$W9*Tabelle2!$C$31/(1+Tabelle2!$C$31*Experiments!$W9)</f>
        <v>0.13679246374243489</v>
      </c>
      <c r="Z9" s="27">
        <f>50+Experiments!$F9+Experiments!$J9-Tabelle6[[#This Row],[CaCl2 mass '[g']]]*Tabelle2!$C$53*(1-Tabelle2!$C$28)</f>
        <v>50.462830762322824</v>
      </c>
      <c r="AA9" s="21">
        <f>(Z9*Y9-(1-Y9)*(F9*Tabelle2!$C$51+Tabelle2!$C$52*J9))/(1-Y9)/(50*Tabelle2!$C$31)</f>
        <v>0.31378120918059582</v>
      </c>
      <c r="AB9" t="s">
        <v>41</v>
      </c>
      <c r="AC9" s="19">
        <v>45774</v>
      </c>
      <c r="AD9" s="19"/>
    </row>
    <row r="10" spans="1:32" ht="19" customHeight="1" x14ac:dyDescent="0.25">
      <c r="A10" s="40">
        <v>380</v>
      </c>
      <c r="B10" s="40">
        <v>135.71942905124479</v>
      </c>
      <c r="C10" s="40">
        <v>138.37386244441771</v>
      </c>
      <c r="D10" s="29">
        <v>0.23553227099887961</v>
      </c>
      <c r="E10" s="41">
        <f>Tabelle2!$C$42/Tabelle2!$C$43*0.01*Experiments!$D10*Tabelle2!$C$19</f>
        <v>0.16477914783313252</v>
      </c>
      <c r="F10" s="42">
        <v>0.16400000000000001</v>
      </c>
      <c r="G10" s="43">
        <f>(Tabelle2!$C$42/Tabelle2!$C$43*0.01*Tabelle2!$C$19)^(-1)*Experiments!$F10</f>
        <v>0.23441857147442643</v>
      </c>
      <c r="H10" s="29">
        <v>0.43544612459331161</v>
      </c>
      <c r="I10" s="41">
        <f>Experiments!$H10/Tabelle2!$C$43*Tabelle2!$C$36*Tabelle2!$C$19*0.01</f>
        <v>0.60291871714985901</v>
      </c>
      <c r="J10" s="42">
        <v>0.60599999999999998</v>
      </c>
      <c r="K10" s="22">
        <f>(1/Tabelle2!$C$43*Tabelle2!$C$36*Tabelle2!$C$19*0.01)^(-1)*Experiments!$J10</f>
        <v>0.43767152021913069</v>
      </c>
      <c r="L10" s="25">
        <f>(Experiments!$H10+Experiments!$D10)/100</f>
        <v>6.7097839559219115E-3</v>
      </c>
      <c r="M10" s="25">
        <f t="shared" si="0"/>
        <v>6.7209009169355719E-3</v>
      </c>
      <c r="N10" s="44">
        <f>Experiments!$J10*Tabelle2!$C$28/(Tabelle2!$C$19*(1+Tabelle2!$C$29))*(2*Tabelle2!$C$44/Tabelle2!$C$36)</f>
        <v>1.927471246734963E-3</v>
      </c>
      <c r="O10">
        <v>64.72</v>
      </c>
      <c r="P10" s="29">
        <v>0</v>
      </c>
      <c r="Q10" s="45">
        <v>45776</v>
      </c>
      <c r="R10" s="46" t="str">
        <f>IF(Experiments!$P10=0,"BR300-2",IF(Experiments!$P10=1,"BR300-3",IF(Experiments!$P10=2,"BR300-4")))</f>
        <v>BR300-2</v>
      </c>
      <c r="S10" s="43">
        <v>58.807000000000002</v>
      </c>
      <c r="T10" s="44">
        <v>0.1832</v>
      </c>
      <c r="U10" s="44">
        <v>0.3614</v>
      </c>
      <c r="V10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0.34422997046872617</v>
      </c>
      <c r="W10" s="25">
        <v>0.4123</v>
      </c>
      <c r="X10" s="29">
        <f>0.0846+0.9069*Experiments!$U10</f>
        <v>0.41235366000000001</v>
      </c>
      <c r="Y10" s="25">
        <f>Experiments!$W10*Tabelle2!$C$31/(1+Tabelle2!$C$31*Experiments!$W10)</f>
        <v>0.16730076019861509</v>
      </c>
      <c r="Z10" s="47">
        <f>50+Experiments!$F10+Experiments!$J10-Tabelle6[[#This Row],[CaCl2 mass '[g']]]*Tabelle2!$C$53*(1-Tabelle2!$C$28)</f>
        <v>50.48948916909557</v>
      </c>
      <c r="AA10" s="21">
        <f>(Z10*Y10-(1-Y10)*(F10*Tabelle2!$C$51+Tabelle2!$C$52*J10))/(1-Y10)/(50*Tabelle2!$C$31)</f>
        <v>0.40119114782100612</v>
      </c>
      <c r="AB10" s="29" t="s">
        <v>41</v>
      </c>
      <c r="AC10" s="45">
        <v>45774</v>
      </c>
      <c r="AD10" s="45"/>
    </row>
    <row r="11" spans="1:32" ht="19" customHeight="1" x14ac:dyDescent="0.25">
      <c r="A11" s="3">
        <v>381</v>
      </c>
      <c r="B11" s="3">
        <v>194.5230323668147</v>
      </c>
      <c r="C11" s="3">
        <v>111.27205159277079</v>
      </c>
      <c r="D11">
        <v>0.87746730603570866</v>
      </c>
      <c r="E11" s="20">
        <f>Tabelle2!$C$42/Tabelle2!$C$43*0.01*Experiments!$D11*Tabelle2!$C$19</f>
        <v>0.6138789997939873</v>
      </c>
      <c r="F11" s="22">
        <v>0.61299999999999999</v>
      </c>
      <c r="G11" s="8">
        <f>(Tabelle2!$C$42/Tabelle2!$C$43*0.01*Tabelle2!$C$19)^(-1)*Experiments!$F11</f>
        <v>0.87621087996233782</v>
      </c>
      <c r="H11">
        <v>0.2493563502555145</v>
      </c>
      <c r="I11" s="20">
        <f>Experiments!$H11/Tabelle2!$C$43*Tabelle2!$C$36*Tabelle2!$C$19*0.01</f>
        <v>0.34525881002991698</v>
      </c>
      <c r="J11" s="22">
        <v>0.34699999999999998</v>
      </c>
      <c r="K11" s="22">
        <f>(1/Tabelle2!$C$43*Tabelle2!$C$36*Tabelle2!$C$19*0.01)^(-1)*Experiments!$J11</f>
        <v>0.2506138902904923</v>
      </c>
      <c r="L11" s="21">
        <f>(Experiments!$H11+Experiments!$D11)/100</f>
        <v>1.126823656291223E-2</v>
      </c>
      <c r="M11" s="49">
        <f t="shared" si="0"/>
        <v>1.12682477025283E-2</v>
      </c>
      <c r="N11" s="23">
        <f>Experiments!$J11*Tabelle2!$C$28/(Tabelle2!$C$19*(1+Tabelle2!$C$29))*(2*Tabelle2!$C$44/Tabelle2!$C$36)</f>
        <v>1.1036840307211751E-3</v>
      </c>
      <c r="O11">
        <v>64.72</v>
      </c>
      <c r="P11">
        <v>1</v>
      </c>
      <c r="Q11" s="19">
        <v>45776</v>
      </c>
      <c r="R11" s="28" t="str">
        <f>IF(Experiments!$P11=0,"BR300-2",IF(Experiments!$P11=1,"BR300-3",IF(Experiments!$P11=2,"BR300-4")))</f>
        <v>BR300-3</v>
      </c>
      <c r="S11" s="8">
        <v>58.323999999999998</v>
      </c>
      <c r="T11" s="23">
        <v>0.1547</v>
      </c>
      <c r="U11" s="23">
        <v>0.34160000000000001</v>
      </c>
      <c r="V11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0.31323874630001142</v>
      </c>
      <c r="W11" s="21">
        <v>0.39439999999999997</v>
      </c>
      <c r="X11">
        <f>0.0846+0.9069*Experiments!$U11</f>
        <v>0.39439704000000003</v>
      </c>
      <c r="Y11" s="21">
        <f>Experiments!$W11*Tabelle2!$C$31/(1+Tabelle2!$C$31*Experiments!$W11)</f>
        <v>0.16120831364689245</v>
      </c>
      <c r="Z11" s="27">
        <f>50+Experiments!$F11+Experiments!$J11-Tabelle6[[#This Row],[CaCl2 mass '[g']]]*Tabelle2!$C$53*(1-Tabelle2!$C$28)</f>
        <v>50.799377461511817</v>
      </c>
      <c r="AA11" s="21">
        <f>(Z11*Y11-(1-Y11)*(F11*Tabelle2!$C$51+Tabelle2!$C$52*J11))/(1-Y11)/(50*Tabelle2!$C$31)</f>
        <v>0.37531311414500723</v>
      </c>
      <c r="AB11" t="s">
        <v>41</v>
      </c>
      <c r="AC11" s="19">
        <v>45774</v>
      </c>
      <c r="AD11" s="19"/>
    </row>
    <row r="12" spans="1:32" ht="19" customHeight="1" x14ac:dyDescent="0.25">
      <c r="A12" s="40">
        <v>382</v>
      </c>
      <c r="B12" s="40">
        <v>128.582132653504</v>
      </c>
      <c r="C12" s="40">
        <v>89.238480097463864</v>
      </c>
      <c r="D12" s="29">
        <v>0.56090046298694518</v>
      </c>
      <c r="E12" s="41">
        <f>Tabelle2!$C$42/Tabelle2!$C$43*0.01*Experiments!$D12*Tabelle2!$C$19</f>
        <v>0.39240780007864812</v>
      </c>
      <c r="F12" s="42">
        <v>0.39200000000000002</v>
      </c>
      <c r="G12" s="43">
        <f>(Tabelle2!$C$42/Tabelle2!$C$43*0.01*Tabelle2!$C$19)^(-1)*Experiments!$F12</f>
        <v>0.56031756108521447</v>
      </c>
      <c r="H12" s="29">
        <v>0.39138846819899792</v>
      </c>
      <c r="I12" s="41">
        <f>Experiments!$H12/Tabelle2!$C$43*Tabelle2!$C$36*Tabelle2!$C$19*0.01</f>
        <v>0.54191648478713483</v>
      </c>
      <c r="J12" s="42">
        <v>0.54200000000000004</v>
      </c>
      <c r="K12" s="22">
        <f>(1/Tabelle2!$C$43*Tabelle2!$C$36*Tabelle2!$C$19*0.01)^(-1)*Experiments!$J12</f>
        <v>0.39144878541050965</v>
      </c>
      <c r="L12" s="25">
        <f>(Experiments!$H12+Experiments!$D12)/100</f>
        <v>9.5228893118594303E-3</v>
      </c>
      <c r="M12" s="25">
        <f t="shared" si="0"/>
        <v>9.517663464957242E-3</v>
      </c>
      <c r="N12" s="44">
        <f>Experiments!$J12*Tabelle2!$C$28/(Tabelle2!$C$19*(1+Tabelle2!$C$29))*(2*Tabelle2!$C$44/Tabelle2!$C$36)</f>
        <v>1.7239099269477727E-3</v>
      </c>
      <c r="O12">
        <v>64.72</v>
      </c>
      <c r="P12" s="29">
        <v>2</v>
      </c>
      <c r="Q12" s="45">
        <v>45776</v>
      </c>
      <c r="R12" s="46" t="str">
        <f>IF(Experiments!$P12=0,"BR300-2",IF(Experiments!$P12=1,"BR300-3",IF(Experiments!$P12=2,"BR300-4")))</f>
        <v>BR300-4</v>
      </c>
      <c r="S12" s="43">
        <v>55.752000000000002</v>
      </c>
      <c r="T12" s="44">
        <v>0.192</v>
      </c>
      <c r="U12" s="44">
        <v>0.2361</v>
      </c>
      <c r="V12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0.21198633704822228</v>
      </c>
      <c r="W12" s="25">
        <v>0.29870000000000002</v>
      </c>
      <c r="X12" s="29">
        <f>0.0846+0.9069*Experiments!$U12</f>
        <v>0.29871909000000002</v>
      </c>
      <c r="Y12" s="25">
        <f>Experiments!$W12*Tabelle2!$C$31/(1+Tabelle2!$C$31*Experiments!$W12)</f>
        <v>0.12706183302995677</v>
      </c>
      <c r="Z12" s="47">
        <f>50+Experiments!$F12+Experiments!$J12-Tabelle6[[#This Row],[CaCl2 mass '[g']]]*Tabelle2!$C$53*(1-Tabelle2!$C$28)</f>
        <v>50.683114075329705</v>
      </c>
      <c r="AA12" s="21">
        <f>(Z12*Y12-(1-Y12)*(F12*Tabelle2!$C$51+Tabelle2!$C$52*J12))/(1-Y12)/(50*Tabelle2!$C$31)</f>
        <v>0.2813333933296811</v>
      </c>
      <c r="AB12" s="29" t="s">
        <v>41</v>
      </c>
      <c r="AC12" s="45">
        <v>45774</v>
      </c>
      <c r="AD12" s="45"/>
    </row>
    <row r="13" spans="1:32" ht="19" customHeight="1" x14ac:dyDescent="0.25">
      <c r="A13" s="3">
        <v>389</v>
      </c>
      <c r="B13" s="3">
        <v>128.73635576592699</v>
      </c>
      <c r="C13" s="3">
        <v>49.172140581473002</v>
      </c>
      <c r="D13">
        <v>0.359048117491159</v>
      </c>
      <c r="E13" s="20">
        <f>Tabelle2!$C$42/Tabelle2!$C$43*0.01*Experiments!$D13*Tabelle2!$C$19</f>
        <v>0.25119123838263785</v>
      </c>
      <c r="F13" s="22">
        <v>0.252</v>
      </c>
      <c r="G13" s="8">
        <f>(Tabelle2!$C$42/Tabelle2!$C$43*0.01*Tabelle2!$C$19)^(-1)*Experiments!$F13</f>
        <v>0.36020414641192355</v>
      </c>
      <c r="H13">
        <v>0.23347549794794201</v>
      </c>
      <c r="I13" s="20">
        <f>Experiments!$H13/Tabelle2!$C$43*Tabelle2!$C$36*Tabelle2!$C$19*0.01</f>
        <v>0.32327018144935371</v>
      </c>
      <c r="J13" s="22">
        <v>0.32800000000000001</v>
      </c>
      <c r="K13" s="22">
        <f>(1/Tabelle2!$C$43*Tabelle2!$C$36*Tabelle2!$C$19*0.01)^(-1)*Experiments!$J13</f>
        <v>0.23689151589418295</v>
      </c>
      <c r="L13" s="21">
        <f>(Experiments!$H13+Experiments!$D13)/100</f>
        <v>5.9252361543910108E-3</v>
      </c>
      <c r="M13" s="49">
        <f t="shared" si="0"/>
        <v>5.9709566230610658E-3</v>
      </c>
      <c r="N13" s="23">
        <f>Experiments!$J13*Tabelle2!$C$28/(Tabelle2!$C$19*(1+Tabelle2!$C$29))*(2*Tabelle2!$C$44/Tabelle2!$C$36)</f>
        <v>1.0432517639093529E-3</v>
      </c>
      <c r="O13">
        <v>64.72</v>
      </c>
      <c r="P13">
        <v>0</v>
      </c>
      <c r="Q13" s="19">
        <v>45782</v>
      </c>
      <c r="R13" s="28" t="str">
        <f>IF(Experiments!$P13=0,"BR300-2",IF(Experiments!$P13=1,"BR300-3",IF(Experiments!$P13=2,"BR300-4")))</f>
        <v>BR300-2</v>
      </c>
      <c r="S13" s="8">
        <v>55.118000000000002</v>
      </c>
      <c r="T13" s="21">
        <v>0.20119999999999999</v>
      </c>
      <c r="U13" s="23">
        <v>0.21</v>
      </c>
      <c r="V13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0.19487982334187554</v>
      </c>
      <c r="W13" s="21">
        <v>0.27504899999999999</v>
      </c>
      <c r="X13">
        <f>0.0846+0.9069*Experiments!$U13</f>
        <v>0.27504899999999999</v>
      </c>
      <c r="Y13" s="21">
        <f>Experiments!$W13*Tabelle2!$C$31/(1+Tabelle2!$C$31*Experiments!$W13)</f>
        <v>0.11819018444783903</v>
      </c>
      <c r="Z13" s="27">
        <f>50+Experiments!$F13+Experiments!$J13-Tabelle6[[#This Row],[CaCl2 mass '[g']]]*Tabelle2!$C$53*(1-Tabelle2!$C$28)</f>
        <v>50.428172355550082</v>
      </c>
      <c r="AA13" s="21">
        <f>(Z13*Y13-(1-Y13)*(F13*Tabelle2!$C$51+Tabelle2!$C$52*J13))/(1-Y13)/(50*Tabelle2!$C$31)</f>
        <v>0.26394914583834539</v>
      </c>
      <c r="AB13" t="s">
        <v>42</v>
      </c>
      <c r="AC13" s="19">
        <v>45777</v>
      </c>
      <c r="AD13" s="19"/>
    </row>
    <row r="14" spans="1:32" ht="19" customHeight="1" x14ac:dyDescent="0.25">
      <c r="A14" s="40">
        <v>390</v>
      </c>
      <c r="B14" s="40">
        <v>106.067122606195</v>
      </c>
      <c r="C14" s="40">
        <v>94.218009642931506</v>
      </c>
      <c r="D14" s="29">
        <v>0.59961891643422105</v>
      </c>
      <c r="E14" s="41">
        <f>Tabelle2!$C$42/Tabelle2!$C$43*0.01*Experiments!$D14*Tabelle2!$C$19</f>
        <v>0.41949535685972833</v>
      </c>
      <c r="F14" s="42">
        <v>0.41699999999999998</v>
      </c>
      <c r="G14" s="43">
        <f>(Tabelle2!$C$42/Tabelle2!$C$43*0.01*Tabelle2!$C$19)^(-1)*Experiments!$F14</f>
        <v>0.59605209941973059</v>
      </c>
      <c r="H14" s="29">
        <v>0.30937119987842998</v>
      </c>
      <c r="I14" s="41">
        <f>Experiments!$H14/Tabelle2!$C$43*Tabelle2!$C$36*Tabelle2!$C$19*0.01</f>
        <v>0.42835537261474715</v>
      </c>
      <c r="J14" s="42">
        <v>0.42799999999999999</v>
      </c>
      <c r="K14" s="22">
        <f>(1/Tabelle2!$C$43*Tabelle2!$C$36*Tabelle2!$C$19*0.01)^(-1)*Experiments!$J14</f>
        <v>0.30911453903265335</v>
      </c>
      <c r="L14" s="25">
        <f>(Experiments!$H14+Experiments!$D14)/100</f>
        <v>9.0899011631265098E-3</v>
      </c>
      <c r="M14" s="25">
        <f t="shared" si="0"/>
        <v>9.0516663845238397E-3</v>
      </c>
      <c r="N14" s="44">
        <f>Experiments!$J14*Tabelle2!$C$28/(Tabelle2!$C$19*(1+Tabelle2!$C$29))*(2*Tabelle2!$C$44/Tabelle2!$C$36)</f>
        <v>1.3613163260768387E-3</v>
      </c>
      <c r="O14">
        <v>64.72</v>
      </c>
      <c r="P14" s="29">
        <v>1</v>
      </c>
      <c r="Q14" s="45">
        <v>45782</v>
      </c>
      <c r="R14" s="46" t="str">
        <f>IF(Experiments!$P14=0,"BR300-2",IF(Experiments!$P14=1,"BR300-3",IF(Experiments!$P14=2,"BR300-4")))</f>
        <v>BR300-3</v>
      </c>
      <c r="S14" s="43">
        <v>53.603999999999999</v>
      </c>
      <c r="T14" s="25">
        <v>0.19989999999999999</v>
      </c>
      <c r="U14" s="44">
        <v>0.1479</v>
      </c>
      <c r="V14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0.12502266288081426</v>
      </c>
      <c r="W14" s="25">
        <v>0.21187305000000001</v>
      </c>
      <c r="X14" s="29">
        <f>0.0846+0.9069*Experiments!$U14</f>
        <v>0.21873050999999999</v>
      </c>
      <c r="Y14" s="25">
        <f>Experiments!$W14*Tabelle2!$C$31/(1+Tabelle2!$C$31*Experiments!$W14)</f>
        <v>9.3583626727578598E-2</v>
      </c>
      <c r="Z14" s="47">
        <f>50+Experiments!$F14+Experiments!$J14-Tabelle6[[#This Row],[CaCl2 mass '[g']]]*Tabelle2!$C$53*(1-Tabelle2!$C$28)</f>
        <v>50.646883439559247</v>
      </c>
      <c r="AA14" s="21">
        <f>(Z14*Y14-(1-Y14)*(F14*Tabelle2!$C$51+Tabelle2!$C$52*J14))/(1-Y14)/(50*Tabelle2!$C$31)</f>
        <v>0.19421676193276308</v>
      </c>
      <c r="AB14" s="29" t="s">
        <v>42</v>
      </c>
      <c r="AC14" s="45">
        <v>45777</v>
      </c>
      <c r="AD14" s="45"/>
    </row>
    <row r="15" spans="1:32" ht="19" customHeight="1" x14ac:dyDescent="0.25">
      <c r="A15" s="3">
        <v>391</v>
      </c>
      <c r="B15" s="3">
        <v>169.81242645842599</v>
      </c>
      <c r="C15" s="3">
        <v>38.1604318552561</v>
      </c>
      <c r="D15">
        <v>1.40259810955774</v>
      </c>
      <c r="E15" s="20">
        <f>Tabelle2!$C$42/Tabelle2!$C$43*0.01*Experiments!$D15*Tabelle2!$C$19</f>
        <v>0.98126222901483617</v>
      </c>
      <c r="F15" s="22">
        <v>0.98099999999999998</v>
      </c>
      <c r="G15" s="8">
        <f>(Tabelle2!$C$42/Tabelle2!$C$43*0.01*Tabelle2!$C$19)^(-1)*Experiments!$F15</f>
        <v>1.4022232842464166</v>
      </c>
      <c r="H15">
        <v>0.420137807161303</v>
      </c>
      <c r="I15" s="20">
        <f>Experiments!$H15/Tabelle2!$C$43*Tabelle2!$C$36*Tabelle2!$C$19*0.01</f>
        <v>0.58172282037514411</v>
      </c>
      <c r="J15" s="22">
        <v>0.58399999999999996</v>
      </c>
      <c r="K15" s="22">
        <f>(1/Tabelle2!$C$43*Tabelle2!$C$36*Tabelle2!$C$19*0.01)^(-1)*Experiments!$J15</f>
        <v>0.42178245512866719</v>
      </c>
      <c r="L15" s="21">
        <f>(Experiments!$H15+Experiments!$D15)/100</f>
        <v>1.822735916719043E-2</v>
      </c>
      <c r="M15" s="49">
        <f t="shared" si="0"/>
        <v>1.8240057393750838E-2</v>
      </c>
      <c r="N15" s="23">
        <f>Experiments!$J15*Tabelle2!$C$28/(Tabelle2!$C$19*(1+Tabelle2!$C$29))*(2*Tabelle2!$C$44/Tabelle2!$C$36)</f>
        <v>1.8574970430581162E-3</v>
      </c>
      <c r="O15">
        <v>64.72</v>
      </c>
      <c r="P15">
        <v>2</v>
      </c>
      <c r="Q15" s="19">
        <v>45782</v>
      </c>
      <c r="R15" s="28" t="str">
        <f>IF(Experiments!$P15=0,"BR300-2",IF(Experiments!$P15=1,"BR300-3",IF(Experiments!$P15=2,"BR300-4")))</f>
        <v>BR300-4</v>
      </c>
      <c r="S15" s="8">
        <v>57.036999999999999</v>
      </c>
      <c r="T15" s="21">
        <v>0.16120000000000001</v>
      </c>
      <c r="U15" s="23">
        <v>0.2888</v>
      </c>
      <c r="V15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0.24287707091576197</v>
      </c>
      <c r="W15" s="21">
        <v>0.2775049</v>
      </c>
      <c r="X15">
        <f>0.0846+0.9069*Experiments!$U15</f>
        <v>0.34651272</v>
      </c>
      <c r="Y15" s="21">
        <f>Experiments!$W15*Tabelle2!$C$31/(1+Tabelle2!$C$31*Experiments!$W15)</f>
        <v>0.11911979034948618</v>
      </c>
      <c r="Z15" s="27">
        <f>50+Experiments!$F15+Experiments!$J15-Tabelle6[[#This Row],[CaCl2 mass '[g']]]*Tabelle2!$C$53*(1-Tabelle2!$C$28)</f>
        <v>51.294672730613556</v>
      </c>
      <c r="AA15" s="21">
        <f>(Z15*Y15-(1-Y15)*(F15*Tabelle2!$C$51+Tabelle2!$C$52*J15))/(1-Y15)/(50*Tabelle2!$C$31)</f>
        <v>0.2435874962973166</v>
      </c>
      <c r="AB15" t="s">
        <v>42</v>
      </c>
      <c r="AC15" s="19">
        <v>45777</v>
      </c>
      <c r="AD15" s="19"/>
    </row>
    <row r="16" spans="1:32" ht="19" customHeight="1" x14ac:dyDescent="0.25">
      <c r="A16" s="40">
        <v>392</v>
      </c>
      <c r="B16" s="40">
        <v>186.47777909137801</v>
      </c>
      <c r="C16" s="40">
        <v>159.25561771909801</v>
      </c>
      <c r="D16" s="29">
        <v>1.19927476970511</v>
      </c>
      <c r="E16" s="41">
        <f>Tabelle2!$C$42/Tabelle2!$C$43*0.01*Experiments!$D16*Tabelle2!$C$19</f>
        <v>0.83901655485130666</v>
      </c>
      <c r="F16" s="42">
        <v>0.83799999999999997</v>
      </c>
      <c r="G16" s="43">
        <f>(Tabelle2!$C$42/Tabelle2!$C$43*0.01*Tabelle2!$C$19)^(-1)*Experiments!$F16</f>
        <v>1.1978217249729839</v>
      </c>
      <c r="H16" s="29">
        <v>0.39287344450137202</v>
      </c>
      <c r="I16" s="41">
        <f>Experiments!$H16/Tabelle2!$C$43*Tabelle2!$C$36*Tabelle2!$C$19*0.01</f>
        <v>0.54397258301986473</v>
      </c>
      <c r="J16" s="42">
        <v>0.54500000000000004</v>
      </c>
      <c r="K16" s="22">
        <f>(1/Tabelle2!$C$43*Tabelle2!$C$36*Tabelle2!$C$19*0.01)^(-1)*Experiments!$J16</f>
        <v>0.39361547610466374</v>
      </c>
      <c r="L16" s="25">
        <f>(Experiments!$H16+Experiments!$D16)/100</f>
        <v>1.5921482142064819E-2</v>
      </c>
      <c r="M16" s="25">
        <f t="shared" si="0"/>
        <v>1.5914372010776476E-2</v>
      </c>
      <c r="N16" s="44">
        <f>Experiments!$J16*Tabelle2!$C$28/(Tabelle2!$C$19*(1+Tabelle2!$C$29))*(2*Tabelle2!$C$44/Tabelle2!$C$36)</f>
        <v>1.7334518638127971E-3</v>
      </c>
      <c r="O16">
        <v>64.72</v>
      </c>
      <c r="P16" s="29">
        <v>0</v>
      </c>
      <c r="Q16" s="45">
        <v>45783</v>
      </c>
      <c r="R16" s="46" t="str">
        <f>IF(Experiments!$P16=0,"BR300-2",IF(Experiments!$P16=1,"BR300-3",IF(Experiments!$P16=2,"BR300-4")))</f>
        <v>BR300-2</v>
      </c>
      <c r="S16" s="48">
        <v>58.652999999999999</v>
      </c>
      <c r="T16" s="44">
        <v>0.16209999999999999</v>
      </c>
      <c r="U16" s="44">
        <v>0.35510000000000003</v>
      </c>
      <c r="V16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0.3150098610899722</v>
      </c>
      <c r="W16" s="25">
        <v>0.40664</v>
      </c>
      <c r="X16" s="29">
        <f>0.0846+0.9069*Experiments!$U16</f>
        <v>0.40664019000000007</v>
      </c>
      <c r="Y16" s="25">
        <f>Experiments!$W16*Tabelle2!$C$31/(1+Tabelle2!$C$31*Experiments!$W16)</f>
        <v>0.1653839118160933</v>
      </c>
      <c r="Z16" s="47">
        <f>50+Experiments!$F16+Experiments!$J16-Tabelle6[[#This Row],[CaCl2 mass '[g']]]*Tabelle2!$C$53*(1-Tabelle2!$C$28)</f>
        <v>51.130725407849972</v>
      </c>
      <c r="AA16" s="21">
        <f>(Z16*Y16-(1-Y16)*(F16*Tabelle2!$C$51+Tabelle2!$C$52*J16))/(1-Y16)/(50*Tabelle2!$C$31)</f>
        <v>0.3799738032172611</v>
      </c>
      <c r="AB16" s="29" t="s">
        <v>42</v>
      </c>
      <c r="AC16" s="45">
        <v>45777</v>
      </c>
      <c r="AD16" s="45"/>
    </row>
    <row r="17" spans="1:30" ht="19" customHeight="1" x14ac:dyDescent="0.25">
      <c r="A17" s="3">
        <v>393</v>
      </c>
      <c r="B17" s="3">
        <v>143.33183394429599</v>
      </c>
      <c r="C17" s="3">
        <v>176.518332917919</v>
      </c>
      <c r="D17">
        <v>0.81360360510070096</v>
      </c>
      <c r="E17" s="20">
        <f>Tabelle2!$C$42/Tabelle2!$C$43*0.01*Experiments!$D17*Tabelle2!$C$19</f>
        <v>0.56919974555459407</v>
      </c>
      <c r="F17" s="22">
        <v>0.56999999999999995</v>
      </c>
      <c r="G17" s="8">
        <f>(Tabelle2!$C$42/Tabelle2!$C$43*0.01*Tabelle2!$C$19)^(-1)*Experiments!$F17</f>
        <v>0.8147474740269699</v>
      </c>
      <c r="H17">
        <v>0.29615534788797698</v>
      </c>
      <c r="I17" s="20">
        <f>Experiments!$H17/Tabelle2!$C$43*Tabelle2!$C$36*Tabelle2!$C$19*0.01</f>
        <v>0.41005670355306201</v>
      </c>
      <c r="J17" s="22">
        <v>0.41699999999999998</v>
      </c>
      <c r="K17" s="22">
        <f>(1/Tabelle2!$C$43*Tabelle2!$C$36*Tabelle2!$C$19*0.01)^(-1)*Experiments!$J17</f>
        <v>0.30117000648742159</v>
      </c>
      <c r="L17" s="21">
        <f>(Experiments!$H17+Experiments!$D17)/100</f>
        <v>1.109758952988678E-2</v>
      </c>
      <c r="M17" s="49">
        <f t="shared" si="0"/>
        <v>1.1159174805143914E-2</v>
      </c>
      <c r="N17" s="23">
        <f>Experiments!$J17*Tabelle2!$C$28/(Tabelle2!$C$19*(1+Tabelle2!$C$29))*(2*Tabelle2!$C$44/Tabelle2!$C$36)</f>
        <v>1.3263292242384152E-3</v>
      </c>
      <c r="O17">
        <v>64.72</v>
      </c>
      <c r="P17">
        <v>1</v>
      </c>
      <c r="Q17" s="19">
        <v>45783</v>
      </c>
      <c r="R17" s="28" t="str">
        <f>IF(Experiments!$P17=0,"BR300-2",IF(Experiments!$P17=1,"BR300-3",IF(Experiments!$P17=2,"BR300-4")))</f>
        <v>BR300-3</v>
      </c>
      <c r="S17" s="8">
        <v>61.45</v>
      </c>
      <c r="T17" s="23">
        <v>0.1696</v>
      </c>
      <c r="U17" s="23">
        <v>0.46989999999999998</v>
      </c>
      <c r="V17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0.4417665644758294</v>
      </c>
      <c r="W17" s="21">
        <v>0.51075230000000005</v>
      </c>
      <c r="X17">
        <f>0.0846+0.9069*Experiments!$U17</f>
        <v>0.51075230999999999</v>
      </c>
      <c r="Y17" s="21">
        <f>Experiments!$W17*Tabelle2!$C$31/(1+Tabelle2!$C$31*Experiments!$W17)</f>
        <v>0.19928870944958263</v>
      </c>
      <c r="Z17" s="27">
        <f>50+Experiments!$F17+Experiments!$J17-Tabelle6[[#This Row],[CaCl2 mass '[g']]]*Tabelle2!$C$53*(1-Tabelle2!$C$28)</f>
        <v>50.793975220318238</v>
      </c>
      <c r="AA17" s="21">
        <f>(Z17*Y17-(1-Y17)*(F17*Tabelle2!$C$51+Tabelle2!$C$52*J17))/(1-Y17)/(50*Tabelle2!$C$31)</f>
        <v>0.49371620789090864</v>
      </c>
      <c r="AB17" t="s">
        <v>42</v>
      </c>
      <c r="AC17" s="19">
        <v>45777</v>
      </c>
      <c r="AD17" s="19"/>
    </row>
    <row r="18" spans="1:30" ht="19" customHeight="1" x14ac:dyDescent="0.25">
      <c r="A18" s="40">
        <v>394</v>
      </c>
      <c r="B18" s="40">
        <v>114.721960549088</v>
      </c>
      <c r="C18" s="40">
        <v>142.57165207435099</v>
      </c>
      <c r="D18" s="29">
        <v>1.68456590771239</v>
      </c>
      <c r="E18" s="41">
        <f>Tabelle2!$C$42/Tabelle2!$C$43*0.01*Experiments!$D18*Tabelle2!$C$19</f>
        <v>1.1785278236582513</v>
      </c>
      <c r="F18" s="42">
        <v>1.181</v>
      </c>
      <c r="G18" s="43">
        <f>(Tabelle2!$C$42/Tabelle2!$C$43*0.01*Tabelle2!$C$19)^(-1)*Experiments!$F18</f>
        <v>1.6880995909225465</v>
      </c>
      <c r="H18" s="29">
        <v>0.18734322859840899</v>
      </c>
      <c r="I18" s="41">
        <v>0.25900000000000001</v>
      </c>
      <c r="J18" s="42">
        <v>0.25939543992671571</v>
      </c>
      <c r="K18" s="22">
        <f>(1/Tabelle2!$C$43*Tabelle2!$C$36*Tabelle2!$C$19*0.01)^(-1)*Experiments!$J18</f>
        <v>0.18734322859840899</v>
      </c>
      <c r="L18" s="25">
        <f>(Experiments!$H18+Experiments!$D18)/100</f>
        <v>1.8719091363107988E-2</v>
      </c>
      <c r="M18" s="25">
        <f t="shared" si="0"/>
        <v>1.8754428195209553E-2</v>
      </c>
      <c r="N18" s="44">
        <f>Experiments!$J18*Tabelle2!$C$28/(Tabelle2!$C$19*(1+Tabelle2!$C$29))*(2*Tabelle2!$C$44/Tabelle2!$C$36)</f>
        <v>8.250449702853315E-4</v>
      </c>
      <c r="O18">
        <v>64.72</v>
      </c>
      <c r="P18" s="29">
        <v>2</v>
      </c>
      <c r="Q18" s="45">
        <v>45783</v>
      </c>
      <c r="R18" s="46" t="str">
        <f>IF(Experiments!$P18=0,"BR300-2",IF(Experiments!$P18=1,"BR300-3",IF(Experiments!$P18=2,"BR300-4")))</f>
        <v>BR300-4</v>
      </c>
      <c r="S18" s="43">
        <v>56.622</v>
      </c>
      <c r="T18" s="44">
        <v>0.19109999999999999</v>
      </c>
      <c r="U18" s="44">
        <v>0.27179999999999999</v>
      </c>
      <c r="V18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0.2247992109958164</v>
      </c>
      <c r="W18" s="25">
        <v>0.33109499999999997</v>
      </c>
      <c r="X18" s="29">
        <f>0.0846+0.9069*Experiments!$U18</f>
        <v>0.33109541999999997</v>
      </c>
      <c r="Y18" s="25">
        <f>Experiments!$W18*Tabelle2!$C$31/(1+Tabelle2!$C$31*Experiments!$W18)</f>
        <v>0.13892764667638102</v>
      </c>
      <c r="Z18" s="47">
        <f>50+Experiments!$F18+Experiments!$J18-Tabelle6[[#This Row],[CaCl2 mass '[g']]]*Tabelle2!$C$53*(1-Tabelle2!$C$28)</f>
        <v>51.320324102654986</v>
      </c>
      <c r="AA18" s="21">
        <f>(Z18*Y18-(1-Y18)*(F18*Tabelle2!$C$51+Tabelle2!$C$52*J18))/(1-Y18)/(50*Tabelle2!$C$31)</f>
        <v>0.29757598368268945</v>
      </c>
      <c r="AB18" s="29" t="s">
        <v>42</v>
      </c>
      <c r="AC18" s="45">
        <v>45777</v>
      </c>
      <c r="AD18" s="45"/>
    </row>
    <row r="19" spans="1:30" ht="19" customHeight="1" x14ac:dyDescent="0.25">
      <c r="A19" s="3">
        <v>395</v>
      </c>
      <c r="B19" s="3">
        <v>159.02080887141301</v>
      </c>
      <c r="C19" s="3">
        <v>74.056340291743297</v>
      </c>
      <c r="D19">
        <v>1.8380738283765501</v>
      </c>
      <c r="E19" s="20">
        <f>Tabelle2!$C$42/Tabelle2!$C$43*0.01*Experiments!$D19*Tabelle2!$C$19</f>
        <v>1.2859224674809515</v>
      </c>
      <c r="F19" s="22">
        <v>1.2849999999999999</v>
      </c>
      <c r="G19" s="8">
        <f>(Tabelle2!$C$42/Tabelle2!$C$43*0.01*Tabelle2!$C$19)^(-1)*Experiments!$F19</f>
        <v>1.8367552703941339</v>
      </c>
      <c r="H19">
        <v>7.1939799070786195E-2</v>
      </c>
      <c r="I19" s="20">
        <f>Experiments!$H19/Tabelle2!$C$43*Tabelle2!$C$36*Tabelle2!$C$19*0.01</f>
        <v>9.9607847947404252E-2</v>
      </c>
      <c r="J19" s="22">
        <v>0.10299999999999999</v>
      </c>
      <c r="K19" s="22">
        <f>(1/Tabelle2!$C$43*Tabelle2!$C$36*Tabelle2!$C$19*0.01)^(-1)*Experiments!$J19</f>
        <v>7.4389713832624521E-2</v>
      </c>
      <c r="L19" s="21">
        <f>(Experiments!$H19+Experiments!$D19)/100</f>
        <v>1.9100136274473364E-2</v>
      </c>
      <c r="M19" s="49">
        <f t="shared" si="0"/>
        <v>1.9111449842267585E-2</v>
      </c>
      <c r="N19" s="23">
        <f>Experiments!$J19*Tabelle2!$C$28/(Tabelle2!$C$19*(1+Tabelle2!$C$29))*(2*Tabelle2!$C$44/Tabelle2!$C$36)</f>
        <v>3.2760649903251017E-4</v>
      </c>
      <c r="O19">
        <v>64.72</v>
      </c>
      <c r="P19">
        <v>0</v>
      </c>
      <c r="Q19" s="19">
        <v>45784</v>
      </c>
      <c r="R19" s="28" t="str">
        <f>IF(Experiments!$P19=0,"BR300-2",IF(Experiments!$P19=1,"BR300-3",IF(Experiments!$P19=2,"BR300-4")))</f>
        <v>BR300-2</v>
      </c>
      <c r="S19" s="8">
        <v>59.585000000000001</v>
      </c>
      <c r="T19" s="23">
        <v>0.1608</v>
      </c>
      <c r="U19" s="23">
        <v>0.39340000000000003</v>
      </c>
      <c r="V19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0.34560719792750216</v>
      </c>
      <c r="W19" s="21">
        <v>0.44137446000000002</v>
      </c>
      <c r="X19">
        <f>0.0846+0.9069*Experiments!$U19</f>
        <v>0.44137446000000002</v>
      </c>
      <c r="Y19" s="25">
        <f>Experiments!$W19*Tabelle2!$C$31/(1+Tabelle2!$C$31*Experiments!$W19)</f>
        <v>0.17701012301961366</v>
      </c>
      <c r="Z19" s="27">
        <f>50+Experiments!$F19+Experiments!$J19-Tabelle6[[#This Row],[CaCl2 mass '[g']]]*Tabelle2!$C$53*(1-Tabelle2!$C$28)</f>
        <v>51.340322416529446</v>
      </c>
      <c r="AA19" s="21">
        <f>(Z19*Y19-(1-Y19)*(F19*Tabelle2!$C$51+Tabelle2!$C$52*J19))/(1-Y19)/(50*Tabelle2!$C$31)</f>
        <v>0.41013954255544871</v>
      </c>
      <c r="AB19" t="s">
        <v>42</v>
      </c>
      <c r="AC19" s="19">
        <v>45777</v>
      </c>
      <c r="AD19" s="19"/>
    </row>
    <row r="20" spans="1:30" ht="19" customHeight="1" x14ac:dyDescent="0.25">
      <c r="A20" s="40">
        <v>396</v>
      </c>
      <c r="B20" s="40">
        <v>153.33168464509299</v>
      </c>
      <c r="C20" s="40">
        <v>127.286302693986</v>
      </c>
      <c r="D20" s="29">
        <v>0.94863584010951396</v>
      </c>
      <c r="E20" s="41">
        <f>Tabelle2!$C$42/Tabelle2!$C$43*0.01*Experiments!$D20*Tabelle2!$C$19</f>
        <v>0.66366873921050529</v>
      </c>
      <c r="F20" s="42">
        <v>0.66200000000000003</v>
      </c>
      <c r="G20" s="43">
        <f>(Tabelle2!$C$42/Tabelle2!$C$43*0.01*Tabelle2!$C$19)^(-1)*Experiments!$F20</f>
        <v>0.94625057509798971</v>
      </c>
      <c r="H20" s="29">
        <v>4.0179086263258203E-2</v>
      </c>
      <c r="I20" s="41">
        <f>Experiments!$H20/Tabelle2!$C$43*Tabelle2!$C$36*Tabelle2!$C$19*0.01</f>
        <v>5.5631964043133995E-2</v>
      </c>
      <c r="J20" s="42">
        <v>5.6000000000000001E-2</v>
      </c>
      <c r="K20" s="22">
        <f>(1/Tabelle2!$C$43*Tabelle2!$C$36*Tabelle2!$C$19*0.01)^(-1)*Experiments!$J20</f>
        <v>4.044489295754343E-2</v>
      </c>
      <c r="L20" s="25">
        <f>(Experiments!$H20+Experiments!$D20)/100</f>
        <v>9.8881492637277208E-3</v>
      </c>
      <c r="M20" s="25">
        <f t="shared" si="0"/>
        <v>9.8669546805553315E-3</v>
      </c>
      <c r="N20" s="44">
        <f>Experiments!$J20*Tabelle2!$C$28/(Tabelle2!$C$19*(1+Tabelle2!$C$29))*(2*Tabelle2!$C$44/Tabelle2!$C$36)</f>
        <v>1.7811615481379199E-4</v>
      </c>
      <c r="O20">
        <v>64.72</v>
      </c>
      <c r="P20" s="29">
        <v>1</v>
      </c>
      <c r="Q20" s="45">
        <v>45784</v>
      </c>
      <c r="R20" s="46" t="str">
        <f>IF(Experiments!$P20=0,"BR300-2",IF(Experiments!$P20=1,"BR300-3",IF(Experiments!$P20=2,"BR300-4")))</f>
        <v>BR300-3</v>
      </c>
      <c r="S20" s="43">
        <v>59.573999999999998</v>
      </c>
      <c r="T20" s="44">
        <v>0.20569999999999999</v>
      </c>
      <c r="U20" s="44">
        <v>0.39290000000000003</v>
      </c>
      <c r="V20" s="44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0.36822349643845997</v>
      </c>
      <c r="W20" s="25">
        <v>0.44092100000000001</v>
      </c>
      <c r="X20" s="29">
        <f>0.0846+0.9069*Experiments!$U20</f>
        <v>0.44092101000000006</v>
      </c>
      <c r="Y20" s="25">
        <f>Experiments!$W20*Tabelle2!$C$31/(1+Tabelle2!$C$31*Experiments!$W20)</f>
        <v>0.17686042937294591</v>
      </c>
      <c r="Z20" s="47">
        <f>50+Experiments!$F20+Experiments!$J20-Tabelle6[[#This Row],[CaCl2 mass '[g']]]*Tabelle2!$C$53*(1-Tabelle2!$C$28)</f>
        <v>50.692078207045128</v>
      </c>
      <c r="AA20" s="21">
        <f>(Z20*Y20-(1-Y20)*(F20*Tabelle2!$C$51+Tabelle2!$C$52*J20))/(1-Y20)/(50*Tabelle2!$C$31)</f>
        <v>0.42478939763924767</v>
      </c>
      <c r="AB20" s="29" t="s">
        <v>42</v>
      </c>
      <c r="AC20" s="45">
        <v>45777</v>
      </c>
      <c r="AD20" s="45"/>
    </row>
    <row r="21" spans="1:30" ht="19" customHeight="1" x14ac:dyDescent="0.25">
      <c r="A21" s="3">
        <v>397</v>
      </c>
      <c r="B21" s="3">
        <v>194.658350012081</v>
      </c>
      <c r="C21" s="3">
        <v>104.79218571825901</v>
      </c>
      <c r="D21">
        <v>0.11420864938978199</v>
      </c>
      <c r="E21" s="20">
        <f>Tabelle2!$C$42/Tabelle2!$C$43*0.01*Experiments!$D21*Tabelle2!$C$19</f>
        <v>7.9900744988404632E-2</v>
      </c>
      <c r="F21" s="22">
        <v>8.2000000000000003E-2</v>
      </c>
      <c r="G21" s="8">
        <f>(Tabelle2!$C$42/Tabelle2!$C$43*0.01*Tabelle2!$C$19)^(-1)*Experiments!$F21</f>
        <v>0.11720928573721322</v>
      </c>
      <c r="H21">
        <v>0.140163642744557</v>
      </c>
      <c r="I21" s="20">
        <f>Experiments!$H21/Tabelle2!$C$43*Tabelle2!$C$36*Tabelle2!$C$19*0.01</f>
        <v>0.19407058394083934</v>
      </c>
      <c r="J21" s="22">
        <v>0.19600000000000001</v>
      </c>
      <c r="K21" s="22">
        <f>(1/Tabelle2!$C$43*Tabelle2!$C$36*Tabelle2!$C$19*0.01)^(-1)*Experiments!$J21</f>
        <v>0.141557125351402</v>
      </c>
      <c r="L21" s="21">
        <f>(Experiments!$H21+Experiments!$D21)/100</f>
        <v>2.54372292134339E-3</v>
      </c>
      <c r="M21" s="49">
        <f t="shared" si="0"/>
        <v>2.5876641108861522E-3</v>
      </c>
      <c r="N21" s="23">
        <f>Experiments!$J21*Tabelle2!$C$28/(Tabelle2!$C$19*(1+Tabelle2!$C$29))*(2*Tabelle2!$C$44/Tabelle2!$C$36)</f>
        <v>6.2340654184827194E-4</v>
      </c>
      <c r="O21">
        <v>64.72</v>
      </c>
      <c r="P21">
        <v>2</v>
      </c>
      <c r="Q21" s="19">
        <v>45784</v>
      </c>
      <c r="R21" s="28" t="str">
        <f>IF(Experiments!$P21=0,"BR300-2",IF(Experiments!$P21=1,"BR300-3",IF(Experiments!$P21=2,"BR300-4")))</f>
        <v>BR300-4</v>
      </c>
      <c r="S21" s="8">
        <v>59.65</v>
      </c>
      <c r="T21" s="23">
        <v>0.2253</v>
      </c>
      <c r="U21" s="23">
        <v>0.39600000000000002</v>
      </c>
      <c r="V21" s="23">
        <f>Tabelle6[[#This Row],[Reaction yield (mass) w/o correction]]-(Tabelle6[[#This Row],[CaCl2 mass '[g']]]*(1+Tabelle2!$C$52)+Tabelle6[[#This Row],[CaO mass '[g']]]*(1+Tabelle2!$C$51)-Tabelle6[[#This Row],[CaCl2 mass '[g']]]*Tabelle2!$C$53*(1-Tabelle2!$C$28))/(50)</f>
        <v>0.3894130019780398</v>
      </c>
      <c r="W21" s="21">
        <v>0.44373240000000003</v>
      </c>
      <c r="X21">
        <f>0.0846+0.9069*Experiments!$U21</f>
        <v>0.44373240000000003</v>
      </c>
      <c r="Y21" s="25">
        <f>Experiments!$W21*Tabelle2!$C$31/(1+Tabelle2!$C$31*Experiments!$W21)</f>
        <v>0.17778763601705014</v>
      </c>
      <c r="Z21" s="27">
        <f>50+Experiments!$F21+Experiments!$J21-Tabelle6[[#This Row],[CaCl2 mass '[g']]]*Tabelle2!$C$53*(1-Tabelle2!$C$28)</f>
        <v>50.18727372465797</v>
      </c>
      <c r="AA21" s="21">
        <f>(Z21*Y21-(1-Y21)*(F21*Tabelle2!$C$51+Tabelle2!$C$52*J21))/(1-Y21)/(50*Tabelle2!$C$31)</f>
        <v>0.43956322990291691</v>
      </c>
      <c r="AB21" t="s">
        <v>42</v>
      </c>
      <c r="AC21" s="19">
        <v>45777</v>
      </c>
      <c r="AD21" s="19"/>
    </row>
    <row r="22" spans="1:30" ht="19" customHeight="1" x14ac:dyDescent="0.2"/>
    <row r="23" spans="1:30" ht="19" customHeight="1" x14ac:dyDescent="0.2"/>
    <row r="24" spans="1:30" ht="19" customHeight="1" x14ac:dyDescent="0.2"/>
    <row r="25" spans="1:30" ht="19" customHeight="1" x14ac:dyDescent="0.2"/>
    <row r="26" spans="1:30" ht="19" customHeight="1" x14ac:dyDescent="0.2"/>
    <row r="27" spans="1:30" ht="19" customHeight="1" x14ac:dyDescent="0.2"/>
    <row r="28" spans="1:30" ht="19" customHeight="1" x14ac:dyDescent="0.2"/>
    <row r="29" spans="1:30" ht="19" customHeight="1" x14ac:dyDescent="0.2"/>
    <row r="30" spans="1:30" ht="19" customHeight="1" x14ac:dyDescent="0.2"/>
    <row r="31" spans="1:30" ht="19" customHeight="1" x14ac:dyDescent="0.2"/>
    <row r="32" spans="1:30" ht="19" customHeight="1" x14ac:dyDescent="0.2"/>
    <row r="33" ht="19" customHeight="1" x14ac:dyDescent="0.2"/>
    <row r="34" ht="19" customHeight="1" x14ac:dyDescent="0.2"/>
    <row r="35" ht="19" customHeight="1" x14ac:dyDescent="0.2"/>
    <row r="36" ht="19" customHeight="1" x14ac:dyDescent="0.2"/>
    <row r="37" ht="19" customHeight="1" x14ac:dyDescent="0.2"/>
    <row r="38" ht="19" customHeight="1" x14ac:dyDescent="0.2"/>
    <row r="39" ht="19" customHeight="1" x14ac:dyDescent="0.2"/>
    <row r="40" ht="19" customHeight="1" x14ac:dyDescent="0.2"/>
    <row r="41" ht="19" customHeight="1" x14ac:dyDescent="0.2"/>
    <row r="42" ht="19" customHeight="1" x14ac:dyDescent="0.2"/>
    <row r="43" ht="19" customHeight="1" x14ac:dyDescent="0.2"/>
    <row r="44" ht="19" customHeight="1" x14ac:dyDescent="0.2"/>
    <row r="45" ht="19" customHeight="1" x14ac:dyDescent="0.2"/>
    <row r="46" ht="19" customHeight="1" x14ac:dyDescent="0.2"/>
    <row r="47" ht="19" customHeight="1" x14ac:dyDescent="0.2"/>
    <row r="48" ht="19" customHeight="1" x14ac:dyDescent="0.2"/>
    <row r="49" ht="19" customHeight="1" x14ac:dyDescent="0.2"/>
    <row r="50" ht="19" customHeight="1" x14ac:dyDescent="0.2"/>
    <row r="51" ht="19" customHeight="1" x14ac:dyDescent="0.2"/>
    <row r="52" ht="19" customHeight="1" x14ac:dyDescent="0.2"/>
    <row r="53" ht="19" customHeight="1" x14ac:dyDescent="0.2"/>
    <row r="54" ht="19" customHeight="1" x14ac:dyDescent="0.2"/>
    <row r="55" ht="19" customHeight="1" x14ac:dyDescent="0.2"/>
    <row r="56" ht="19" customHeight="1" x14ac:dyDescent="0.2"/>
  </sheetData>
  <conditionalFormatting sqref="L2:N21">
    <cfRule type="expression" dxfId="3" priority="13">
      <formula>L2&gt;0.02</formula>
    </cfRule>
  </conditionalFormatting>
  <conditionalFormatting sqref="W4 W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6 W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9 W11:W15 W17:W18 W20:W2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:W15 W17:W18 W20:W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:W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3"/>
  <sheetViews>
    <sheetView topLeftCell="A17" workbookViewId="0">
      <selection activeCell="C53" sqref="C53"/>
    </sheetView>
  </sheetViews>
  <sheetFormatPr baseColWidth="10" defaultRowHeight="15" x14ac:dyDescent="0.2"/>
  <cols>
    <col min="2" max="2" width="24.33203125" bestFit="1" customWidth="1"/>
    <col min="3" max="3" width="19.33203125" bestFit="1" customWidth="1"/>
    <col min="4" max="4" width="25.6640625" bestFit="1" customWidth="1"/>
  </cols>
  <sheetData>
    <row r="1" spans="2:9" x14ac:dyDescent="0.2">
      <c r="C1" s="8"/>
    </row>
    <row r="2" spans="2:9" x14ac:dyDescent="0.2">
      <c r="C2" s="8"/>
    </row>
    <row r="3" spans="2:9" x14ac:dyDescent="0.2">
      <c r="C3" s="8"/>
    </row>
    <row r="4" spans="2:9" x14ac:dyDescent="0.2">
      <c r="C4" s="8"/>
    </row>
    <row r="5" spans="2:9" x14ac:dyDescent="0.2"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2:9" ht="19" customHeight="1" x14ac:dyDescent="0.25">
      <c r="B6" s="9" t="s">
        <v>51</v>
      </c>
      <c r="C6" s="4">
        <f>C35/$C$43*$C$21*0.01*$C$20*$C$19</f>
        <v>84.30204031202868</v>
      </c>
      <c r="D6" s="4">
        <f t="shared" ref="D6:D13" si="0">C6*$C$25</f>
        <v>92.732244343231557</v>
      </c>
      <c r="E6" s="5">
        <f>C6/C20</f>
        <v>1.6860408062405736</v>
      </c>
      <c r="F6" s="10">
        <v>13.04</v>
      </c>
      <c r="G6" s="11">
        <f>E6/C35/C23*1000*1000</f>
        <v>182.04717199268521</v>
      </c>
      <c r="H6" s="12">
        <v>0</v>
      </c>
      <c r="I6" s="6">
        <f>Tabelle510[[#This Row],[mass per experiment]]*$C$43/C35/$C$19</f>
        <v>1.8240216397807096E-2</v>
      </c>
    </row>
    <row r="7" spans="2:9" ht="19" customHeight="1" x14ac:dyDescent="0.25">
      <c r="B7" s="9" t="s">
        <v>52</v>
      </c>
      <c r="C7" s="4">
        <f>C19*C20*C30*C36/(2*C44)*0.01</f>
        <v>31.440157720979382</v>
      </c>
      <c r="D7" s="4">
        <f t="shared" si="0"/>
        <v>34.584173493077323</v>
      </c>
      <c r="E7" s="5">
        <f>C7/C20</f>
        <v>0.62880315441958767</v>
      </c>
      <c r="F7" s="10">
        <v>6.89</v>
      </c>
      <c r="G7" s="11">
        <f>E7/C36/C23*1000*1000</f>
        <v>45.325679695782284</v>
      </c>
      <c r="H7" s="12">
        <f>G7*C44*2*C23/1000*C28/(C19*(1+C29))/1000</f>
        <v>2.0000000000000005E-3</v>
      </c>
      <c r="I7" s="6">
        <f>Tabelle510[[#This Row],[mass per experiment]]*$C$43/C36/$C$19</f>
        <v>4.5414064771189065E-3</v>
      </c>
    </row>
    <row r="8" spans="2:9" ht="19" customHeight="1" x14ac:dyDescent="0.25">
      <c r="B8" s="9" t="s">
        <v>53</v>
      </c>
      <c r="C8" s="4">
        <f>C37/$C$43*$C$21*0.01*$C$20*$C$19</f>
        <v>113.87869820416429</v>
      </c>
      <c r="D8" s="4">
        <f t="shared" si="0"/>
        <v>125.26656802458074</v>
      </c>
      <c r="E8" s="5">
        <f>C8/C20</f>
        <v>2.2775739640832859</v>
      </c>
      <c r="F8" s="10">
        <v>11.07</v>
      </c>
      <c r="G8" s="11">
        <f>E8/C37/C23*1000*1000</f>
        <v>182.04717199268526</v>
      </c>
      <c r="H8" s="12">
        <v>0</v>
      </c>
      <c r="I8" s="6">
        <f>Tabelle510[[#This Row],[mass per experiment]]*$C$43/C37/$C$19</f>
        <v>1.82402163978071E-2</v>
      </c>
    </row>
    <row r="9" spans="2:9" ht="19" customHeight="1" x14ac:dyDescent="0.25">
      <c r="B9" s="9" t="s">
        <v>54</v>
      </c>
      <c r="C9" s="4">
        <f>C19*C20*C30*C38/(C44)*0.01</f>
        <v>33.111977852857429</v>
      </c>
      <c r="D9" s="4">
        <f t="shared" si="0"/>
        <v>36.423175638143178</v>
      </c>
      <c r="E9" s="5">
        <f>C9/C20</f>
        <v>0.66223955705714854</v>
      </c>
      <c r="F9" s="10">
        <v>6.94</v>
      </c>
      <c r="G9" s="11">
        <f>E9/C38/C23*1000*1000</f>
        <v>90.651359391564554</v>
      </c>
      <c r="H9" s="12">
        <f>G9*C44*C23/1000*C28/(C19*(1+C29))/1000</f>
        <v>2E-3</v>
      </c>
      <c r="I9" s="6">
        <v>0</v>
      </c>
    </row>
    <row r="10" spans="2:9" ht="19" customHeight="1" x14ac:dyDescent="0.25">
      <c r="B10" s="9" t="s">
        <v>55</v>
      </c>
      <c r="C10" s="4">
        <f>C39*C20*C23/1000</f>
        <v>249.98130624999999</v>
      </c>
      <c r="D10" s="4">
        <f t="shared" si="0"/>
        <v>274.97943687500003</v>
      </c>
      <c r="E10" s="5">
        <f>C10/C20</f>
        <v>4.9996261249999998</v>
      </c>
      <c r="F10" s="10">
        <v>13.75</v>
      </c>
      <c r="G10" s="11">
        <f>E10/C39/C23*1000*1000</f>
        <v>1000</v>
      </c>
      <c r="H10" s="12">
        <v>0</v>
      </c>
      <c r="I10" s="6">
        <v>0</v>
      </c>
    </row>
    <row r="11" spans="2:9" ht="19" customHeight="1" x14ac:dyDescent="0.25">
      <c r="B11" s="9" t="s">
        <v>56</v>
      </c>
      <c r="C11" s="4">
        <f>C40*C20*C23/1000</f>
        <v>525.04255625000008</v>
      </c>
      <c r="D11" s="4">
        <f t="shared" si="0"/>
        <v>577.54681187500012</v>
      </c>
      <c r="E11" s="5">
        <f>C11/C20</f>
        <v>10.500851125000002</v>
      </c>
      <c r="F11" s="10">
        <v>7.64</v>
      </c>
      <c r="G11" s="11">
        <f>E11/C40/C23*1000*1000</f>
        <v>1000.0000000000002</v>
      </c>
      <c r="H11" s="12">
        <v>0</v>
      </c>
      <c r="I11" s="6">
        <v>0</v>
      </c>
    </row>
    <row r="12" spans="2:9" ht="19" customHeight="1" x14ac:dyDescent="0.25">
      <c r="B12" s="9" t="s">
        <v>57</v>
      </c>
      <c r="C12" s="11">
        <f>C41/$C$43*$C$21*0.01*$C$20*$C$19</f>
        <v>195.89499973644584</v>
      </c>
      <c r="D12" s="4">
        <f t="shared" si="0"/>
        <v>215.48449971009043</v>
      </c>
      <c r="E12" s="5">
        <f>C12/C20</f>
        <v>3.9178999947289168</v>
      </c>
      <c r="F12" s="10"/>
      <c r="G12" s="11">
        <f>E12/C41/C23*1000*1000</f>
        <v>182.04717199268524</v>
      </c>
      <c r="H12" s="12">
        <v>0</v>
      </c>
      <c r="I12" s="6">
        <f>Tabelle510[[#This Row],[mass per experiment]]*$C$43/C41/$C$19</f>
        <v>1.82402163978071E-2</v>
      </c>
    </row>
    <row r="13" spans="2:9" ht="19" customHeight="1" x14ac:dyDescent="0.25">
      <c r="B13" s="9" t="s">
        <v>58</v>
      </c>
      <c r="C13" s="11">
        <f>C42/$C$43*$C$21*0.01*$C$20*$C$19</f>
        <v>63.804575516891319</v>
      </c>
      <c r="D13" s="4">
        <f t="shared" si="0"/>
        <v>70.185033068580452</v>
      </c>
      <c r="E13" s="5">
        <f>C13/C20</f>
        <v>1.2760915103378263</v>
      </c>
      <c r="F13" s="10"/>
      <c r="G13" s="11">
        <f>E13/C42/C23*1000*1000</f>
        <v>182.04717199268526</v>
      </c>
      <c r="H13" s="12">
        <v>0</v>
      </c>
      <c r="I13" s="6">
        <f>Tabelle510[[#This Row],[mass per experiment]]*$C$43/C42/$C$19</f>
        <v>1.8240216397807103E-2</v>
      </c>
    </row>
    <row r="14" spans="2:9" x14ac:dyDescent="0.2">
      <c r="C14" s="8"/>
    </row>
    <row r="15" spans="2:9" x14ac:dyDescent="0.2">
      <c r="C15" s="8"/>
    </row>
    <row r="16" spans="2:9" x14ac:dyDescent="0.2">
      <c r="C16" s="8"/>
    </row>
    <row r="17" spans="2:5" x14ac:dyDescent="0.2">
      <c r="C17" s="8"/>
    </row>
    <row r="18" spans="2:5" ht="16" customHeight="1" x14ac:dyDescent="0.2">
      <c r="B18" t="s">
        <v>59</v>
      </c>
      <c r="C18" s="8" t="s">
        <v>60</v>
      </c>
      <c r="D18" t="s">
        <v>61</v>
      </c>
      <c r="E18" s="7"/>
    </row>
    <row r="19" spans="2:5" x14ac:dyDescent="0.2">
      <c r="B19" s="9" t="s">
        <v>62</v>
      </c>
      <c r="C19" s="13">
        <v>50</v>
      </c>
      <c r="D19" s="9"/>
    </row>
    <row r="20" spans="2:5" x14ac:dyDescent="0.2">
      <c r="B20" s="9" t="s">
        <v>63</v>
      </c>
      <c r="C20" s="13">
        <v>50</v>
      </c>
      <c r="D20" s="9" t="s">
        <v>64</v>
      </c>
    </row>
    <row r="21" spans="2:5" x14ac:dyDescent="0.2">
      <c r="B21" s="9" t="s">
        <v>65</v>
      </c>
      <c r="C21" s="13">
        <v>1.8240216397807101</v>
      </c>
      <c r="D21" s="9" t="s">
        <v>66</v>
      </c>
    </row>
    <row r="22" spans="2:5" x14ac:dyDescent="0.2">
      <c r="B22" s="9" t="s">
        <v>67</v>
      </c>
      <c r="C22" s="13">
        <v>1</v>
      </c>
      <c r="D22" s="9"/>
    </row>
    <row r="23" spans="2:5" x14ac:dyDescent="0.2">
      <c r="B23" s="10" t="s">
        <v>68</v>
      </c>
      <c r="C23" s="14">
        <f>C19/C24</f>
        <v>125</v>
      </c>
      <c r="D23" s="10" t="s">
        <v>69</v>
      </c>
    </row>
    <row r="24" spans="2:5" x14ac:dyDescent="0.2">
      <c r="B24" s="9" t="s">
        <v>70</v>
      </c>
      <c r="C24" s="15">
        <v>0.4</v>
      </c>
      <c r="D24" s="9"/>
    </row>
    <row r="25" spans="2:5" x14ac:dyDescent="0.2">
      <c r="B25" s="9" t="s">
        <v>71</v>
      </c>
      <c r="C25" s="15">
        <v>1.1000000000000001</v>
      </c>
      <c r="D25" s="9" t="s">
        <v>72</v>
      </c>
    </row>
    <row r="26" spans="2:5" ht="16" customHeight="1" x14ac:dyDescent="0.2">
      <c r="B26" s="9" t="s">
        <v>73</v>
      </c>
      <c r="C26" s="16">
        <v>0.99983949999999999</v>
      </c>
      <c r="D26" s="9" t="s">
        <v>74</v>
      </c>
    </row>
    <row r="27" spans="2:5" x14ac:dyDescent="0.2">
      <c r="B27" s="9" t="s">
        <v>75</v>
      </c>
      <c r="C27" s="15">
        <v>0.2</v>
      </c>
      <c r="D27" s="9" t="s">
        <v>76</v>
      </c>
    </row>
    <row r="28" spans="2:5" x14ac:dyDescent="0.2">
      <c r="B28" s="9" t="s">
        <v>77</v>
      </c>
      <c r="C28" s="17">
        <v>0.275473295302747</v>
      </c>
      <c r="D28" s="9" t="s">
        <v>78</v>
      </c>
    </row>
    <row r="29" spans="2:5" x14ac:dyDescent="0.2">
      <c r="B29" s="9" t="s">
        <v>79</v>
      </c>
      <c r="C29" s="17">
        <f>83/75-1</f>
        <v>0.10666666666666669</v>
      </c>
      <c r="D29" s="9" t="s">
        <v>80</v>
      </c>
    </row>
    <row r="30" spans="2:5" x14ac:dyDescent="0.2">
      <c r="B30" s="10" t="s">
        <v>81</v>
      </c>
      <c r="C30" s="10">
        <f>C27*(1+C29)/C28</f>
        <v>0.80346566112728468</v>
      </c>
      <c r="D30" s="10" t="s">
        <v>80</v>
      </c>
    </row>
    <row r="31" spans="2:5" x14ac:dyDescent="0.2">
      <c r="B31" t="s">
        <v>82</v>
      </c>
      <c r="C31" s="26">
        <v>0.48730000000000001</v>
      </c>
    </row>
    <row r="32" spans="2:5" x14ac:dyDescent="0.2">
      <c r="C32" s="8"/>
    </row>
    <row r="33" spans="2:8" x14ac:dyDescent="0.2">
      <c r="C33" s="8"/>
    </row>
    <row r="34" spans="2:8" x14ac:dyDescent="0.2">
      <c r="B34" t="s">
        <v>43</v>
      </c>
      <c r="C34" s="8" t="s">
        <v>83</v>
      </c>
    </row>
    <row r="35" spans="2:8" x14ac:dyDescent="0.2">
      <c r="B35" s="9" t="s">
        <v>51</v>
      </c>
      <c r="C35" s="15">
        <f>C43+2*(C46+C47)</f>
        <v>74.092479999999995</v>
      </c>
      <c r="H35">
        <f>(C46*2+C48)/C43</f>
        <v>1.0981036977893108</v>
      </c>
    </row>
    <row r="36" spans="2:8" x14ac:dyDescent="0.2">
      <c r="B36" s="9" t="s">
        <v>52</v>
      </c>
      <c r="C36" s="15">
        <f>C43+C44*2</f>
        <v>110.98400000000001</v>
      </c>
    </row>
    <row r="37" spans="2:8" x14ac:dyDescent="0.2">
      <c r="B37" s="9" t="s">
        <v>53</v>
      </c>
      <c r="C37" s="15">
        <f>C43+C48+C46*3</f>
        <v>100.0872</v>
      </c>
    </row>
    <row r="38" spans="2:8" x14ac:dyDescent="0.2">
      <c r="B38" s="9" t="s">
        <v>54</v>
      </c>
      <c r="C38" s="15">
        <f>C45+C44</f>
        <v>58.442768999999998</v>
      </c>
    </row>
    <row r="39" spans="2:8" x14ac:dyDescent="0.2">
      <c r="B39" s="9" t="s">
        <v>55</v>
      </c>
      <c r="C39" s="15">
        <f>C45+C46+C47</f>
        <v>39.997008999999998</v>
      </c>
    </row>
    <row r="40" spans="2:8" x14ac:dyDescent="0.2">
      <c r="B40" s="9" t="s">
        <v>56</v>
      </c>
      <c r="C40" s="15">
        <f>C45+C47+C48+C46*3</f>
        <v>84.006809000000004</v>
      </c>
    </row>
    <row r="41" spans="2:8" x14ac:dyDescent="0.2">
      <c r="B41" s="9" t="s">
        <v>57</v>
      </c>
      <c r="C41" s="15">
        <f>C47*4+C46*2+C49+C43+C46*4</f>
        <v>172.17076</v>
      </c>
    </row>
    <row r="42" spans="2:8" x14ac:dyDescent="0.2">
      <c r="B42" s="9" t="s">
        <v>58</v>
      </c>
      <c r="C42" s="15">
        <f>C43+C46</f>
        <v>56.077400000000004</v>
      </c>
    </row>
    <row r="43" spans="2:8" ht="16" customHeight="1" x14ac:dyDescent="0.2">
      <c r="B43" s="9" t="s">
        <v>84</v>
      </c>
      <c r="C43" s="18">
        <v>40.078000000000003</v>
      </c>
    </row>
    <row r="44" spans="2:8" ht="16" customHeight="1" x14ac:dyDescent="0.2">
      <c r="B44" s="9" t="s">
        <v>85</v>
      </c>
      <c r="C44" s="18">
        <v>35.453000000000003</v>
      </c>
    </row>
    <row r="45" spans="2:8" ht="16" customHeight="1" x14ac:dyDescent="0.2">
      <c r="B45" s="9" t="s">
        <v>86</v>
      </c>
      <c r="C45" s="18">
        <v>22.989768999999999</v>
      </c>
    </row>
    <row r="46" spans="2:8" ht="16" customHeight="1" x14ac:dyDescent="0.2">
      <c r="B46" s="9" t="s">
        <v>87</v>
      </c>
      <c r="C46" s="18">
        <v>15.9994</v>
      </c>
    </row>
    <row r="47" spans="2:8" ht="16" customHeight="1" x14ac:dyDescent="0.2">
      <c r="B47" s="9" t="s">
        <v>88</v>
      </c>
      <c r="C47" s="18">
        <v>1.0078400000000001</v>
      </c>
    </row>
    <row r="48" spans="2:8" x14ac:dyDescent="0.2">
      <c r="B48" s="9" t="s">
        <v>89</v>
      </c>
      <c r="C48" s="15">
        <v>12.010999999999999</v>
      </c>
    </row>
    <row r="49" spans="2:3" x14ac:dyDescent="0.2">
      <c r="B49" s="9" t="s">
        <v>90</v>
      </c>
      <c r="C49" s="15">
        <v>32.064999999999998</v>
      </c>
    </row>
    <row r="50" spans="2:3" x14ac:dyDescent="0.2">
      <c r="B50" s="9" t="s">
        <v>91</v>
      </c>
      <c r="C50" s="15">
        <f>2*C46+C48</f>
        <v>44.009799999999998</v>
      </c>
    </row>
    <row r="51" spans="2:3" x14ac:dyDescent="0.2">
      <c r="B51" t="s">
        <v>92</v>
      </c>
      <c r="C51" s="8">
        <f>Tabelle49[[#Totals],[Molar Mass '[g/mol ']]]/C42</f>
        <v>0.78480457367852285</v>
      </c>
    </row>
    <row r="52" spans="2:3" x14ac:dyDescent="0.2">
      <c r="B52" t="s">
        <v>93</v>
      </c>
      <c r="C52">
        <f>Tabelle49[[#Totals],[Molar Mass '[g/mol ']]]/C36</f>
        <v>0.39654184386938651</v>
      </c>
    </row>
    <row r="53" spans="2:3" x14ac:dyDescent="0.2">
      <c r="B53" t="s">
        <v>99</v>
      </c>
      <c r="C53">
        <f>C44*2/C36</f>
        <v>0.638884884307648</v>
      </c>
    </row>
  </sheetData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C5" sqref="C5"/>
    </sheetView>
  </sheetViews>
  <sheetFormatPr baseColWidth="10" defaultRowHeight="15" x14ac:dyDescent="0.2"/>
  <cols>
    <col min="1" max="1" width="16" bestFit="1" customWidth="1"/>
    <col min="2" max="2" width="13.83203125" bestFit="1" customWidth="1"/>
    <col min="3" max="3" width="13.5" customWidth="1"/>
  </cols>
  <sheetData>
    <row r="1" spans="1:3" x14ac:dyDescent="0.2">
      <c r="A1" t="s">
        <v>94</v>
      </c>
      <c r="B1" t="s">
        <v>95</v>
      </c>
      <c r="C1" t="s">
        <v>96</v>
      </c>
    </row>
    <row r="2" spans="1:3" x14ac:dyDescent="0.2">
      <c r="A2" t="s">
        <v>17</v>
      </c>
      <c r="B2">
        <v>100</v>
      </c>
      <c r="C2">
        <v>200</v>
      </c>
    </row>
    <row r="3" spans="1:3" x14ac:dyDescent="0.2">
      <c r="A3" t="s">
        <v>97</v>
      </c>
      <c r="B3">
        <v>30</v>
      </c>
      <c r="C3">
        <v>180</v>
      </c>
    </row>
    <row r="4" spans="1:3" x14ac:dyDescent="0.2">
      <c r="A4" t="s">
        <v>20</v>
      </c>
      <c r="B4">
        <v>0</v>
      </c>
      <c r="C4">
        <v>2</v>
      </c>
    </row>
    <row r="5" spans="1:3" x14ac:dyDescent="0.2">
      <c r="A5" t="s">
        <v>22</v>
      </c>
      <c r="B5">
        <v>0</v>
      </c>
      <c r="C5">
        <v>0.45413999999999999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F25" sqref="F25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Sheet1</vt:lpstr>
      <vt:lpstr>Tabelle1</vt:lpstr>
      <vt:lpstr>Experiments</vt:lpstr>
      <vt:lpstr>Tabelle2</vt:lpstr>
      <vt:lpstr>Bounds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Samuel Krause</cp:lastModifiedBy>
  <dcterms:created xsi:type="dcterms:W3CDTF">2025-04-27T14:33:42Z</dcterms:created>
  <dcterms:modified xsi:type="dcterms:W3CDTF">2025-05-09T06:49:26Z</dcterms:modified>
</cp:coreProperties>
</file>