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drawings/drawing4.xml" ContentType="application/vnd.openxmlformats-officedocument.drawingml.chartshape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66925"/>
  <mc:AlternateContent xmlns:mc="http://schemas.openxmlformats.org/markup-compatibility/2006">
    <mc:Choice Requires="x15">
      <x15ac:absPath xmlns:x15ac="http://schemas.microsoft.com/office/spreadsheetml/2010/11/ac" url="/Users/slee19/Documents/GitHub/samuellee19.github.io/content/project/FIN460/"/>
    </mc:Choice>
  </mc:AlternateContent>
  <xr:revisionPtr revIDLastSave="0" documentId="13_ncr:1_{2B9EFC38-454E-724A-B218-8D15B5D19BF6}" xr6:coauthVersionLast="46" xr6:coauthVersionMax="46" xr10:uidLastSave="{00000000-0000-0000-0000-000000000000}"/>
  <bookViews>
    <workbookView xWindow="-9600" yWindow="-21140" windowWidth="38400" windowHeight="21140" activeTab="14" xr2:uid="{00000000-000D-0000-FFFF-FFFF00000000}"/>
  </bookViews>
  <sheets>
    <sheet name="Football Fields" sheetId="23" r:id="rId1"/>
    <sheet name="DCF Main" sheetId="11" r:id="rId2"/>
    <sheet name="Synergy Adjustments" sheetId="12" r:id="rId3"/>
    <sheet name="IS Drivers" sheetId="7" r:id="rId4"/>
    <sheet name="D&amp;A - NWC" sheetId="8" r:id="rId5"/>
    <sheet name="Comps" sheetId="14" r:id="rId6"/>
    <sheet name="IS" sheetId="10" r:id="rId7"/>
    <sheet name="BS" sheetId="3" r:id="rId8"/>
    <sheet name="CF" sheetId="4" r:id="rId9"/>
    <sheet name="Cap Structure" sheetId="6" r:id="rId10"/>
    <sheet name="Consensus" sheetId="9" r:id="rId11"/>
    <sheet name="Deal Design" sheetId="15" r:id="rId12"/>
    <sheet name="Exchange Ratios" sheetId="16" r:id="rId13"/>
    <sheet name="Accretion Dilution" sheetId="21" r:id="rId14"/>
    <sheet name="Comps Capital Structure" sheetId="17" r:id="rId15"/>
  </sheets>
  <definedNames>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42296.6010185185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_xlnm.Print_Area" localSheetId="13">'Accretion Dilution'!$A$1:$O$40</definedName>
    <definedName name="_xlnm.Print_Area" localSheetId="7">BS!$A$1:$H$89</definedName>
    <definedName name="_xlnm.Print_Area" localSheetId="9">'Cap Structure'!$A$1:$L$29</definedName>
    <definedName name="_xlnm.Print_Area" localSheetId="8">CF!$A$1:$H$73</definedName>
    <definedName name="_xlnm.Print_Area" localSheetId="5">Comps!$A$1:$O$52</definedName>
    <definedName name="_xlnm.Print_Area" localSheetId="4">'D&amp;A - NWC'!$A$1:$P$43</definedName>
    <definedName name="_xlnm.Print_Area" localSheetId="1">'DCF Main'!$A$1:$T$74</definedName>
    <definedName name="_xlnm.Print_Area" localSheetId="11">'Deal Design'!$A$1:$E$42</definedName>
    <definedName name="_xlnm.Print_Area" localSheetId="12">'Exchange Ratios'!$A$1:$I$30</definedName>
    <definedName name="_xlnm.Print_Area" localSheetId="0">'Football Fields'!$A$1:$P$79</definedName>
    <definedName name="_xlnm.Print_Area" localSheetId="6">IS!$A$1:$H$122</definedName>
    <definedName name="_xlnm.Print_Area" localSheetId="3">'IS Drivers'!$A$1:$U$107</definedName>
    <definedName name="_xlnm.Print_Area" localSheetId="2">'Synergy Adjustments'!$A$1:$O$55</definedName>
    <definedName name="_xlnm.Print_Titles" localSheetId="7">BS!$1:$3</definedName>
    <definedName name="_xlnm.Print_Titles" localSheetId="9">'Cap Structure'!$1:$3</definedName>
    <definedName name="_xlnm.Print_Titles" localSheetId="8">CF!$1:$3</definedName>
    <definedName name="_xlnm.Print_Titles" localSheetId="10">Consensus!$1:$3</definedName>
    <definedName name="_xlnm.Print_Titles" localSheetId="6">IS!$1:$3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8" i="11" l="1"/>
  <c r="D40" i="11"/>
  <c r="C12" i="23" l="1"/>
  <c r="E33" i="21" l="1"/>
  <c r="D33" i="21"/>
  <c r="D32" i="21"/>
  <c r="E32" i="21" s="1"/>
  <c r="K9" i="21" l="1"/>
  <c r="L9" i="21" s="1"/>
  <c r="M9" i="21" s="1"/>
  <c r="N9" i="21" s="1"/>
  <c r="C6" i="21"/>
  <c r="D5" i="21"/>
  <c r="C5" i="21"/>
  <c r="F5" i="16" l="1"/>
  <c r="F6" i="16" s="1"/>
  <c r="C7" i="16"/>
  <c r="D4" i="21" s="1"/>
  <c r="C6" i="16"/>
  <c r="C5" i="16"/>
  <c r="C4" i="16"/>
  <c r="C8" i="21" s="1"/>
  <c r="C34" i="15"/>
  <c r="C19" i="15"/>
  <c r="C17" i="15"/>
  <c r="D8" i="21" l="1"/>
  <c r="C4" i="21"/>
  <c r="F7" i="16"/>
  <c r="C20" i="16"/>
  <c r="J2" i="11"/>
  <c r="C3" i="23"/>
  <c r="F3" i="23" s="1"/>
  <c r="F6" i="23"/>
  <c r="I6" i="23"/>
  <c r="L6" i="23"/>
  <c r="M26" i="11"/>
  <c r="C8" i="23"/>
  <c r="C4" i="23"/>
  <c r="D54" i="11"/>
  <c r="C2" i="8"/>
  <c r="C2" i="12"/>
  <c r="C2" i="7"/>
  <c r="J3" i="11"/>
  <c r="D55" i="7"/>
  <c r="C9" i="7"/>
  <c r="E9" i="7"/>
  <c r="D48" i="7"/>
  <c r="C19" i="7"/>
  <c r="E19" i="7"/>
  <c r="H15" i="12"/>
  <c r="I15" i="12" s="1"/>
  <c r="J15" i="12" s="1"/>
  <c r="K15" i="12" s="1"/>
  <c r="L15" i="12" s="1"/>
  <c r="M15" i="12" s="1"/>
  <c r="N15" i="12" s="1"/>
  <c r="H13" i="12"/>
  <c r="I13" i="12" s="1"/>
  <c r="J13" i="12"/>
  <c r="K13" i="12" s="1"/>
  <c r="L13" i="12" s="1"/>
  <c r="M13" i="12" s="1"/>
  <c r="N13" i="12" s="1"/>
  <c r="H8" i="12"/>
  <c r="I8" i="12" s="1"/>
  <c r="J8" i="12" s="1"/>
  <c r="K8" i="12" s="1"/>
  <c r="L8" i="12" s="1"/>
  <c r="M8" i="12" s="1"/>
  <c r="N8" i="12" s="1"/>
  <c r="H6" i="12"/>
  <c r="I6" i="12" s="1"/>
  <c r="J6" i="12" s="1"/>
  <c r="K6" i="12" s="1"/>
  <c r="L6" i="12" s="1"/>
  <c r="M6" i="12" s="1"/>
  <c r="N6" i="12" s="1"/>
  <c r="H43" i="12"/>
  <c r="I43" i="12" s="1"/>
  <c r="J43" i="12" s="1"/>
  <c r="K43" i="12" s="1"/>
  <c r="L43" i="12" s="1"/>
  <c r="M43" i="12" s="1"/>
  <c r="N43" i="12" s="1"/>
  <c r="H41" i="12"/>
  <c r="I41" i="12"/>
  <c r="J41" i="12" s="1"/>
  <c r="K41" i="12" s="1"/>
  <c r="L41" i="12" s="1"/>
  <c r="M41" i="12" s="1"/>
  <c r="N41" i="12" s="1"/>
  <c r="H36" i="12"/>
  <c r="I36" i="12" s="1"/>
  <c r="J36" i="12" s="1"/>
  <c r="K36" i="12" s="1"/>
  <c r="L36" i="12" s="1"/>
  <c r="M36" i="12" s="1"/>
  <c r="N36" i="12" s="1"/>
  <c r="H34" i="12"/>
  <c r="I34" i="12" s="1"/>
  <c r="J34" i="12"/>
  <c r="K34" i="12" s="1"/>
  <c r="L34" i="12" s="1"/>
  <c r="M34" i="12" s="1"/>
  <c r="N34" i="12" s="1"/>
  <c r="H29" i="12"/>
  <c r="I29" i="12" s="1"/>
  <c r="J29" i="12" s="1"/>
  <c r="K29" i="12" s="1"/>
  <c r="L29" i="12" s="1"/>
  <c r="M29" i="12" s="1"/>
  <c r="N29" i="12" s="1"/>
  <c r="H27" i="12"/>
  <c r="I27" i="12" s="1"/>
  <c r="J27" i="12" s="1"/>
  <c r="K27" i="12" s="1"/>
  <c r="L27" i="12" s="1"/>
  <c r="M27" i="12" s="1"/>
  <c r="N27" i="12"/>
  <c r="H22" i="12"/>
  <c r="I22" i="12"/>
  <c r="J22" i="12" s="1"/>
  <c r="K22" i="12" s="1"/>
  <c r="L22" i="12" s="1"/>
  <c r="M22" i="12" s="1"/>
  <c r="N22" i="12" s="1"/>
  <c r="H20" i="12"/>
  <c r="I20" i="12" s="1"/>
  <c r="J20" i="12" s="1"/>
  <c r="K20" i="12" s="1"/>
  <c r="L20" i="12" s="1"/>
  <c r="M20" i="12"/>
  <c r="N20" i="12" s="1"/>
  <c r="N26" i="7"/>
  <c r="O26" i="7"/>
  <c r="P26" i="7" s="1"/>
  <c r="Q26" i="7" s="1"/>
  <c r="R26" i="7" s="1"/>
  <c r="S26" i="7" s="1"/>
  <c r="T26" i="7" s="1"/>
  <c r="L11" i="14"/>
  <c r="L19" i="14" s="1"/>
  <c r="K11" i="14"/>
  <c r="N16" i="7"/>
  <c r="O16" i="7" s="1"/>
  <c r="P16" i="7" s="1"/>
  <c r="Q16" i="7" s="1"/>
  <c r="R16" i="7" s="1"/>
  <c r="S16" i="7" s="1"/>
  <c r="T16" i="7" s="1"/>
  <c r="B8" i="17"/>
  <c r="C18" i="15" s="1"/>
  <c r="C21" i="15" s="1"/>
  <c r="N43" i="14"/>
  <c r="I43" i="14"/>
  <c r="J43" i="14"/>
  <c r="K43" i="14"/>
  <c r="L43" i="14"/>
  <c r="M43" i="14"/>
  <c r="I44" i="14"/>
  <c r="J44" i="14"/>
  <c r="K44" i="14"/>
  <c r="L44" i="14"/>
  <c r="M44" i="14"/>
  <c r="N44" i="14"/>
  <c r="H44" i="14"/>
  <c r="H43" i="14"/>
  <c r="K9" i="14"/>
  <c r="L9" i="14"/>
  <c r="K10" i="14"/>
  <c r="L8" i="14"/>
  <c r="K8" i="14"/>
  <c r="F18" i="14"/>
  <c r="G18" i="14"/>
  <c r="H18" i="14"/>
  <c r="I18" i="14"/>
  <c r="J18" i="14"/>
  <c r="L18" i="14"/>
  <c r="M18" i="14"/>
  <c r="F19" i="14"/>
  <c r="G19" i="14"/>
  <c r="H19" i="14"/>
  <c r="I19" i="14"/>
  <c r="J19" i="14"/>
  <c r="M19" i="14"/>
  <c r="S26" i="11"/>
  <c r="L26" i="11"/>
  <c r="D14" i="8"/>
  <c r="E14" i="8"/>
  <c r="F14" i="8" s="1"/>
  <c r="G14" i="8" s="1"/>
  <c r="H14" i="8" s="1"/>
  <c r="I14" i="8" s="1"/>
  <c r="J14" i="8"/>
  <c r="K14" i="8" s="1"/>
  <c r="L14" i="8" s="1"/>
  <c r="M14" i="8" s="1"/>
  <c r="N14" i="8" s="1"/>
  <c r="O14" i="8" s="1"/>
  <c r="D6" i="8"/>
  <c r="E6" i="8" s="1"/>
  <c r="F6" i="8" s="1"/>
  <c r="G6" i="8" s="1"/>
  <c r="H6" i="8" s="1"/>
  <c r="I6" i="8"/>
  <c r="J6" i="8" s="1"/>
  <c r="K6" i="8" s="1"/>
  <c r="L6" i="8" s="1"/>
  <c r="M6" i="8" s="1"/>
  <c r="N6" i="8" s="1"/>
  <c r="O6" i="8" s="1"/>
  <c r="H7" i="8"/>
  <c r="L21" i="11"/>
  <c r="H9" i="8"/>
  <c r="H16" i="8"/>
  <c r="H18" i="8"/>
  <c r="H20" i="8"/>
  <c r="H22" i="8"/>
  <c r="H24" i="8"/>
  <c r="H26" i="8"/>
  <c r="H28" i="8"/>
  <c r="H32" i="8"/>
  <c r="H34" i="8"/>
  <c r="H35" i="8" s="1"/>
  <c r="H36" i="8"/>
  <c r="H38" i="8"/>
  <c r="N6" i="7"/>
  <c r="M10" i="7"/>
  <c r="M30" i="7" s="1"/>
  <c r="M15" i="7"/>
  <c r="M20" i="7"/>
  <c r="M21" i="7" s="1"/>
  <c r="M25" i="7"/>
  <c r="M34" i="7"/>
  <c r="M42" i="7"/>
  <c r="M69" i="7" s="1"/>
  <c r="M49" i="7"/>
  <c r="M70" i="7" s="1"/>
  <c r="M56" i="7"/>
  <c r="M71" i="7"/>
  <c r="M63" i="7"/>
  <c r="M72" i="7" s="1"/>
  <c r="M73" i="7"/>
  <c r="M80" i="7"/>
  <c r="H23" i="8" s="1"/>
  <c r="M100" i="7"/>
  <c r="M85" i="7"/>
  <c r="M101" i="7"/>
  <c r="M90" i="7"/>
  <c r="M102" i="7"/>
  <c r="M95" i="7"/>
  <c r="M7" i="7"/>
  <c r="M8" i="7" s="1"/>
  <c r="M9" i="7"/>
  <c r="M32" i="7"/>
  <c r="M55" i="7" s="1"/>
  <c r="M57" i="7" s="1"/>
  <c r="M58" i="7" s="1"/>
  <c r="M31" i="7"/>
  <c r="M48" i="7"/>
  <c r="M50" i="7" s="1"/>
  <c r="M51" i="7" s="1"/>
  <c r="H31" i="8"/>
  <c r="M103" i="7"/>
  <c r="M74" i="7"/>
  <c r="M62" i="7"/>
  <c r="M64" i="7" s="1"/>
  <c r="M65" i="7" s="1"/>
  <c r="M33" i="7"/>
  <c r="T34" i="7"/>
  <c r="T73" i="7"/>
  <c r="I99" i="7"/>
  <c r="J99" i="7" s="1"/>
  <c r="K99" i="7"/>
  <c r="L99" i="7" s="1"/>
  <c r="I94" i="7"/>
  <c r="J94" i="7" s="1"/>
  <c r="K94" i="7" s="1"/>
  <c r="L94" i="7" s="1"/>
  <c r="M94" i="7" s="1"/>
  <c r="N94" i="7" s="1"/>
  <c r="O94" i="7" s="1"/>
  <c r="P94" i="7" s="1"/>
  <c r="I89" i="7"/>
  <c r="J89" i="7" s="1"/>
  <c r="K89" i="7"/>
  <c r="L89" i="7" s="1"/>
  <c r="I84" i="7"/>
  <c r="J84" i="7" s="1"/>
  <c r="K84" i="7" s="1"/>
  <c r="L84" i="7" s="1"/>
  <c r="M84" i="7" s="1"/>
  <c r="N84" i="7" s="1"/>
  <c r="O84" i="7" s="1"/>
  <c r="P84" i="7" s="1"/>
  <c r="Q84" i="7" s="1"/>
  <c r="R84" i="7" s="1"/>
  <c r="S84" i="7" s="1"/>
  <c r="T84" i="7" s="1"/>
  <c r="I79" i="7"/>
  <c r="J79" i="7" s="1"/>
  <c r="K79" i="7"/>
  <c r="L79" i="7" s="1"/>
  <c r="I68" i="7"/>
  <c r="J68" i="7" s="1"/>
  <c r="K68" i="7" s="1"/>
  <c r="L68" i="7"/>
  <c r="M68" i="7" s="1"/>
  <c r="N68" i="7" s="1"/>
  <c r="O68" i="7" s="1"/>
  <c r="P68" i="7" s="1"/>
  <c r="Q68" i="7" s="1"/>
  <c r="R68" i="7" s="1"/>
  <c r="S68" i="7" s="1"/>
  <c r="T68" i="7" s="1"/>
  <c r="I61" i="7"/>
  <c r="J61" i="7" s="1"/>
  <c r="K61" i="7"/>
  <c r="L61" i="7" s="1"/>
  <c r="M61" i="7" s="1"/>
  <c r="N61" i="7" s="1"/>
  <c r="O61" i="7" s="1"/>
  <c r="P61" i="7" s="1"/>
  <c r="I54" i="7"/>
  <c r="J54" i="7" s="1"/>
  <c r="K54" i="7" s="1"/>
  <c r="L54" i="7" s="1"/>
  <c r="I47" i="7"/>
  <c r="J47" i="7" s="1"/>
  <c r="K47" i="7"/>
  <c r="L47" i="7" s="1"/>
  <c r="I40" i="7"/>
  <c r="J40" i="7" s="1"/>
  <c r="K40" i="7" s="1"/>
  <c r="L40" i="7" s="1"/>
  <c r="M40" i="7" s="1"/>
  <c r="I29" i="7"/>
  <c r="J29" i="7" s="1"/>
  <c r="K29" i="7"/>
  <c r="L29" i="7" s="1"/>
  <c r="I24" i="7"/>
  <c r="J24" i="7" s="1"/>
  <c r="K24" i="7" s="1"/>
  <c r="L24" i="7" s="1"/>
  <c r="M24" i="7" s="1"/>
  <c r="N24" i="7" s="1"/>
  <c r="O24" i="7" s="1"/>
  <c r="P24" i="7" s="1"/>
  <c r="I19" i="7"/>
  <c r="J19" i="7" s="1"/>
  <c r="K19" i="7"/>
  <c r="L19" i="7" s="1"/>
  <c r="M19" i="7" s="1"/>
  <c r="I14" i="7"/>
  <c r="J14" i="7" s="1"/>
  <c r="K14" i="7" s="1"/>
  <c r="L14" i="7" s="1"/>
  <c r="M14" i="7" s="1"/>
  <c r="N14" i="7" s="1"/>
  <c r="O14" i="7" s="1"/>
  <c r="P14" i="7" s="1"/>
  <c r="Q14" i="7" s="1"/>
  <c r="R14" i="7" s="1"/>
  <c r="S14" i="7" s="1"/>
  <c r="T14" i="7" s="1"/>
  <c r="I6" i="7"/>
  <c r="J6" i="7" s="1"/>
  <c r="K6" i="7"/>
  <c r="L6" i="7" s="1"/>
  <c r="O6" i="7"/>
  <c r="P6" i="7" s="1"/>
  <c r="Q6" i="7" s="1"/>
  <c r="R6" i="7" s="1"/>
  <c r="S6" i="7" s="1"/>
  <c r="T6" i="7" s="1"/>
  <c r="D31" i="11"/>
  <c r="D20" i="11"/>
  <c r="D9" i="11"/>
  <c r="C19" i="6"/>
  <c r="D15" i="6"/>
  <c r="E19" i="6" s="1"/>
  <c r="D52" i="11" s="1"/>
  <c r="E16" i="6"/>
  <c r="E15" i="6"/>
  <c r="E14" i="6"/>
  <c r="D51" i="11"/>
  <c r="D8" i="11" s="1"/>
  <c r="H26" i="11"/>
  <c r="I26" i="11"/>
  <c r="J26" i="11"/>
  <c r="K26" i="11"/>
  <c r="G26" i="11"/>
  <c r="N26" i="11"/>
  <c r="O26" i="11"/>
  <c r="P26" i="11"/>
  <c r="Q26" i="11"/>
  <c r="R26" i="11"/>
  <c r="H7" i="11"/>
  <c r="I7" i="11"/>
  <c r="J7" i="11" s="1"/>
  <c r="K7" i="11" s="1"/>
  <c r="L7" i="11" s="1"/>
  <c r="M7" i="11" s="1"/>
  <c r="N7" i="11" s="1"/>
  <c r="O7" i="11" s="1"/>
  <c r="P7" i="11" s="1"/>
  <c r="Q7" i="11" s="1"/>
  <c r="R7" i="11" s="1"/>
  <c r="S7" i="11" s="1"/>
  <c r="G68" i="11"/>
  <c r="G69" i="11" s="1"/>
  <c r="G70" i="11" s="1"/>
  <c r="G66" i="11"/>
  <c r="G65" i="11" s="1"/>
  <c r="G64" i="11"/>
  <c r="L63" i="11"/>
  <c r="M63" i="11"/>
  <c r="N63" i="11" s="1"/>
  <c r="J63" i="11"/>
  <c r="I63" i="11" s="1"/>
  <c r="H63" i="11" s="1"/>
  <c r="L50" i="11"/>
  <c r="M50" i="11" s="1"/>
  <c r="N50" i="11" s="1"/>
  <c r="J50" i="11"/>
  <c r="I50" i="11" s="1"/>
  <c r="H50" i="11"/>
  <c r="D25" i="11"/>
  <c r="D36" i="11"/>
  <c r="D53" i="11"/>
  <c r="N6" i="11"/>
  <c r="O6" i="11" s="1"/>
  <c r="P6" i="11" s="1"/>
  <c r="Q6" i="11" s="1"/>
  <c r="R6" i="11" s="1"/>
  <c r="D7" i="8"/>
  <c r="H21" i="11"/>
  <c r="E7" i="8"/>
  <c r="I21" i="11" s="1"/>
  <c r="F7" i="8"/>
  <c r="J21" i="11"/>
  <c r="G7" i="8"/>
  <c r="D9" i="8"/>
  <c r="E9" i="8"/>
  <c r="F9" i="8"/>
  <c r="G9" i="8"/>
  <c r="K32" i="11"/>
  <c r="C7" i="8"/>
  <c r="G21" i="11" s="1"/>
  <c r="D16" i="8"/>
  <c r="E16" i="8"/>
  <c r="F16" i="8"/>
  <c r="G16" i="8"/>
  <c r="D18" i="8"/>
  <c r="E18" i="8"/>
  <c r="F18" i="8"/>
  <c r="G18" i="8"/>
  <c r="D20" i="8"/>
  <c r="E20" i="8"/>
  <c r="F20" i="8"/>
  <c r="G20" i="8"/>
  <c r="D22" i="8"/>
  <c r="E22" i="8"/>
  <c r="F22" i="8"/>
  <c r="G22" i="8"/>
  <c r="D24" i="8"/>
  <c r="E24" i="8"/>
  <c r="F24" i="8"/>
  <c r="G24" i="8"/>
  <c r="D26" i="8"/>
  <c r="E26" i="8"/>
  <c r="F26" i="8"/>
  <c r="G26" i="8"/>
  <c r="D28" i="8"/>
  <c r="E28" i="8"/>
  <c r="F28" i="8"/>
  <c r="G28" i="8"/>
  <c r="D32" i="8"/>
  <c r="E32" i="8"/>
  <c r="F32" i="8"/>
  <c r="F31" i="8" s="1"/>
  <c r="F41" i="8" s="1"/>
  <c r="F42" i="8" s="1"/>
  <c r="G32" i="8"/>
  <c r="D34" i="8"/>
  <c r="E34" i="8"/>
  <c r="F34" i="8"/>
  <c r="F35" i="8" s="1"/>
  <c r="G34" i="8"/>
  <c r="D36" i="8"/>
  <c r="E36" i="8"/>
  <c r="F36" i="8"/>
  <c r="G36" i="8"/>
  <c r="D38" i="8"/>
  <c r="E38" i="8"/>
  <c r="F38" i="8"/>
  <c r="G38" i="8"/>
  <c r="C38" i="8"/>
  <c r="C36" i="8"/>
  <c r="C34" i="8"/>
  <c r="C32" i="8"/>
  <c r="C28" i="8"/>
  <c r="C26" i="8"/>
  <c r="C24" i="8"/>
  <c r="C22" i="8"/>
  <c r="C20" i="8"/>
  <c r="C18" i="8"/>
  <c r="C16" i="8"/>
  <c r="C9" i="8"/>
  <c r="C95" i="7"/>
  <c r="C90" i="7"/>
  <c r="O73" i="7"/>
  <c r="P73" i="7"/>
  <c r="Q73" i="7"/>
  <c r="R73" i="7"/>
  <c r="S73" i="7"/>
  <c r="N73" i="7"/>
  <c r="D41" i="7"/>
  <c r="N25" i="7"/>
  <c r="L8" i="7"/>
  <c r="D6" i="7" s="1"/>
  <c r="K8" i="7"/>
  <c r="J8" i="7"/>
  <c r="I8" i="7"/>
  <c r="I95" i="7"/>
  <c r="I103" i="7" s="1"/>
  <c r="J95" i="7"/>
  <c r="J103" i="7"/>
  <c r="K95" i="7"/>
  <c r="K103" i="7" s="1"/>
  <c r="L95" i="7"/>
  <c r="L90" i="7"/>
  <c r="K90" i="7"/>
  <c r="J90" i="7"/>
  <c r="J102" i="7" s="1"/>
  <c r="I90" i="7"/>
  <c r="I102" i="7" s="1"/>
  <c r="I85" i="7"/>
  <c r="I101" i="7" s="1"/>
  <c r="J85" i="7"/>
  <c r="K85" i="7"/>
  <c r="K101" i="7" s="1"/>
  <c r="L85" i="7"/>
  <c r="I80" i="7"/>
  <c r="J80" i="7"/>
  <c r="K80" i="7"/>
  <c r="L80" i="7"/>
  <c r="H95" i="7"/>
  <c r="H103" i="7"/>
  <c r="H90" i="7"/>
  <c r="H102" i="7" s="1"/>
  <c r="H85" i="7"/>
  <c r="H101" i="7" s="1"/>
  <c r="H104" i="7" s="1"/>
  <c r="H80" i="7"/>
  <c r="H100" i="7" s="1"/>
  <c r="I73" i="7"/>
  <c r="J73" i="7"/>
  <c r="K73" i="7"/>
  <c r="L73" i="7"/>
  <c r="H73" i="7"/>
  <c r="I63" i="7"/>
  <c r="I72" i="7" s="1"/>
  <c r="J63" i="7"/>
  <c r="J72" i="7"/>
  <c r="K63" i="7"/>
  <c r="K72" i="7" s="1"/>
  <c r="L63" i="7"/>
  <c r="L72" i="7"/>
  <c r="H63" i="7"/>
  <c r="H72" i="7" s="1"/>
  <c r="I56" i="7"/>
  <c r="I71" i="7"/>
  <c r="J56" i="7"/>
  <c r="J71" i="7" s="1"/>
  <c r="K56" i="7"/>
  <c r="K71" i="7"/>
  <c r="L56" i="7"/>
  <c r="L71" i="7" s="1"/>
  <c r="H56" i="7"/>
  <c r="H71" i="7"/>
  <c r="I49" i="7"/>
  <c r="I70" i="7" s="1"/>
  <c r="J49" i="7"/>
  <c r="J70" i="7"/>
  <c r="K49" i="7"/>
  <c r="K70" i="7" s="1"/>
  <c r="L49" i="7"/>
  <c r="L70" i="7"/>
  <c r="H49" i="7"/>
  <c r="H70" i="7" s="1"/>
  <c r="H74" i="7" s="1"/>
  <c r="I42" i="7"/>
  <c r="I69" i="7"/>
  <c r="J42" i="7"/>
  <c r="J69" i="7" s="1"/>
  <c r="K42" i="7"/>
  <c r="K69" i="7"/>
  <c r="L42" i="7"/>
  <c r="L69" i="7" s="1"/>
  <c r="H42" i="7"/>
  <c r="H69" i="7"/>
  <c r="I34" i="7"/>
  <c r="J34" i="7"/>
  <c r="K34" i="7"/>
  <c r="L34" i="7"/>
  <c r="N34" i="7"/>
  <c r="O34" i="7"/>
  <c r="P34" i="7"/>
  <c r="Q34" i="7"/>
  <c r="R34" i="7"/>
  <c r="S34" i="7"/>
  <c r="I25" i="7"/>
  <c r="I33" i="7"/>
  <c r="J25" i="7"/>
  <c r="J33" i="7" s="1"/>
  <c r="K25" i="7"/>
  <c r="K62" i="7"/>
  <c r="L25" i="7"/>
  <c r="M26" i="7" s="1"/>
  <c r="I20" i="7"/>
  <c r="J20" i="7"/>
  <c r="J32" i="7"/>
  <c r="J55" i="7" s="1"/>
  <c r="K20" i="7"/>
  <c r="K32" i="7"/>
  <c r="K55" i="7"/>
  <c r="K57" i="7" s="1"/>
  <c r="K58" i="7" s="1"/>
  <c r="L20" i="7"/>
  <c r="I15" i="7"/>
  <c r="I31" i="7" s="1"/>
  <c r="I48" i="7" s="1"/>
  <c r="I50" i="7" s="1"/>
  <c r="I51" i="7" s="1"/>
  <c r="J15" i="7"/>
  <c r="J31" i="7"/>
  <c r="J48" i="7" s="1"/>
  <c r="J50" i="7" s="1"/>
  <c r="K15" i="7"/>
  <c r="K31" i="7" s="1"/>
  <c r="K48" i="7" s="1"/>
  <c r="L15" i="7"/>
  <c r="M16" i="7" s="1"/>
  <c r="I10" i="7"/>
  <c r="I9" i="7"/>
  <c r="J10" i="7"/>
  <c r="J9" i="7" s="1"/>
  <c r="E8" i="7" s="1"/>
  <c r="K10" i="7"/>
  <c r="K9" i="7"/>
  <c r="L10" i="7"/>
  <c r="H34" i="7"/>
  <c r="H25" i="7"/>
  <c r="H33" i="7"/>
  <c r="H20" i="7"/>
  <c r="I21" i="7" s="1"/>
  <c r="H15" i="7"/>
  <c r="H31" i="7" s="1"/>
  <c r="H48" i="7"/>
  <c r="H10" i="7"/>
  <c r="H9" i="7"/>
  <c r="I32" i="11"/>
  <c r="C11" i="8"/>
  <c r="G32" i="11"/>
  <c r="D11" i="8"/>
  <c r="H32" i="11"/>
  <c r="J51" i="7"/>
  <c r="N19" i="7"/>
  <c r="O19" i="7" s="1"/>
  <c r="P19" i="7" s="1"/>
  <c r="Q19" i="7"/>
  <c r="R19" i="7" s="1"/>
  <c r="S19" i="7" s="1"/>
  <c r="T19" i="7" s="1"/>
  <c r="M79" i="7"/>
  <c r="N79" i="7" s="1"/>
  <c r="O79" i="7" s="1"/>
  <c r="P79" i="7" s="1"/>
  <c r="Q79" i="7"/>
  <c r="R79" i="7" s="1"/>
  <c r="S79" i="7" s="1"/>
  <c r="T79" i="7" s="1"/>
  <c r="Q24" i="7"/>
  <c r="R24" i="7" s="1"/>
  <c r="S24" i="7" s="1"/>
  <c r="T24" i="7" s="1"/>
  <c r="M29" i="7"/>
  <c r="N29" i="7" s="1"/>
  <c r="O29" i="7" s="1"/>
  <c r="P29" i="7" s="1"/>
  <c r="Q29" i="7"/>
  <c r="R29" i="7" s="1"/>
  <c r="S29" i="7" s="1"/>
  <c r="T29" i="7" s="1"/>
  <c r="M89" i="7"/>
  <c r="N89" i="7" s="1"/>
  <c r="O89" i="7" s="1"/>
  <c r="P89" i="7" s="1"/>
  <c r="Q89" i="7" s="1"/>
  <c r="R89" i="7" s="1"/>
  <c r="S89" i="7" s="1"/>
  <c r="T89" i="7" s="1"/>
  <c r="L30" i="7"/>
  <c r="L41" i="7"/>
  <c r="L43" i="7" s="1"/>
  <c r="L44" i="7" s="1"/>
  <c r="M11" i="7"/>
  <c r="N40" i="7"/>
  <c r="O40" i="7" s="1"/>
  <c r="P40" i="7" s="1"/>
  <c r="Q40" i="7" s="1"/>
  <c r="R40" i="7" s="1"/>
  <c r="S40" i="7" s="1"/>
  <c r="T40" i="7"/>
  <c r="Q94" i="7"/>
  <c r="R94" i="7" s="1"/>
  <c r="S94" i="7" s="1"/>
  <c r="T94" i="7" s="1"/>
  <c r="M47" i="7"/>
  <c r="N47" i="7"/>
  <c r="O47" i="7" s="1"/>
  <c r="P47" i="7" s="1"/>
  <c r="Q47" i="7" s="1"/>
  <c r="R47" i="7" s="1"/>
  <c r="S47" i="7" s="1"/>
  <c r="T47" i="7" s="1"/>
  <c r="M54" i="7"/>
  <c r="N54" i="7"/>
  <c r="O54" i="7" s="1"/>
  <c r="P54" i="7" s="1"/>
  <c r="Q54" i="7" s="1"/>
  <c r="R54" i="7" s="1"/>
  <c r="S54" i="7" s="1"/>
  <c r="T54" i="7" s="1"/>
  <c r="Q61" i="7"/>
  <c r="R61" i="7" s="1"/>
  <c r="S61" i="7" s="1"/>
  <c r="T61" i="7" s="1"/>
  <c r="K50" i="7"/>
  <c r="K51" i="7" s="1"/>
  <c r="D57" i="11"/>
  <c r="C31" i="8"/>
  <c r="M99" i="7"/>
  <c r="N99" i="7"/>
  <c r="O99" i="7" s="1"/>
  <c r="P99" i="7" s="1"/>
  <c r="Q99" i="7" s="1"/>
  <c r="R99" i="7"/>
  <c r="S99" i="7" s="1"/>
  <c r="T99" i="7" s="1"/>
  <c r="G31" i="8"/>
  <c r="I74" i="7"/>
  <c r="C15" i="8"/>
  <c r="C41" i="8" s="1"/>
  <c r="C23" i="8"/>
  <c r="G23" i="8"/>
  <c r="E15" i="8"/>
  <c r="I100" i="7"/>
  <c r="I104" i="7" s="1"/>
  <c r="H16" i="11"/>
  <c r="D35" i="8"/>
  <c r="C35" i="8"/>
  <c r="D31" i="8"/>
  <c r="F23" i="8"/>
  <c r="K21" i="7"/>
  <c r="J21" i="7"/>
  <c r="L100" i="7"/>
  <c r="G35" i="8"/>
  <c r="N33" i="7"/>
  <c r="N62" i="7" s="1"/>
  <c r="E35" i="8"/>
  <c r="D15" i="8"/>
  <c r="G15" i="8"/>
  <c r="G41" i="8" s="1"/>
  <c r="D14" i="6"/>
  <c r="E31" i="8"/>
  <c r="E41" i="8" s="1"/>
  <c r="D23" i="8"/>
  <c r="F15" i="8"/>
  <c r="D16" i="6"/>
  <c r="D33" i="11"/>
  <c r="J74" i="7"/>
  <c r="L74" i="7"/>
  <c r="K74" i="7"/>
  <c r="L21" i="7"/>
  <c r="J101" i="7"/>
  <c r="L16" i="7"/>
  <c r="L103" i="7"/>
  <c r="L102" i="7"/>
  <c r="L101" i="7"/>
  <c r="K102" i="7"/>
  <c r="K104" i="7" s="1"/>
  <c r="K100" i="7"/>
  <c r="L11" i="7"/>
  <c r="L9" i="7"/>
  <c r="C8" i="7"/>
  <c r="H32" i="7"/>
  <c r="H55" i="7" s="1"/>
  <c r="H57" i="7" s="1"/>
  <c r="H58" i="7" s="1"/>
  <c r="K33" i="7"/>
  <c r="K35" i="7" s="1"/>
  <c r="K30" i="7"/>
  <c r="K41" i="7"/>
  <c r="K43" i="7" s="1"/>
  <c r="K44" i="7" s="1"/>
  <c r="I11" i="7"/>
  <c r="K11" i="7"/>
  <c r="L31" i="7"/>
  <c r="J30" i="7"/>
  <c r="H62" i="7"/>
  <c r="H64" i="7" s="1"/>
  <c r="J62" i="7"/>
  <c r="J64" i="7" s="1"/>
  <c r="J11" i="7"/>
  <c r="H30" i="7"/>
  <c r="I32" i="7"/>
  <c r="I55" i="7" s="1"/>
  <c r="I57" i="7"/>
  <c r="I58" i="7" s="1"/>
  <c r="I30" i="7"/>
  <c r="I62" i="7"/>
  <c r="I64" i="7" s="1"/>
  <c r="L33" i="7"/>
  <c r="L32" i="7"/>
  <c r="L55" i="7"/>
  <c r="L57" i="7" s="1"/>
  <c r="L58" i="7" s="1"/>
  <c r="G55" i="11"/>
  <c r="G56" i="11" s="1"/>
  <c r="G57" i="11" s="1"/>
  <c r="N9" i="7"/>
  <c r="O9" i="7" s="1"/>
  <c r="P9" i="7" s="1"/>
  <c r="Q9" i="7" s="1"/>
  <c r="R9" i="7" s="1"/>
  <c r="S9" i="7" s="1"/>
  <c r="T9" i="7" s="1"/>
  <c r="D33" i="8"/>
  <c r="N65" i="7"/>
  <c r="N15" i="7"/>
  <c r="D41" i="8"/>
  <c r="D42" i="8" s="1"/>
  <c r="J16" i="11"/>
  <c r="E33" i="8"/>
  <c r="K11" i="11"/>
  <c r="L104" i="7"/>
  <c r="E21" i="8"/>
  <c r="O25" i="7"/>
  <c r="N21" i="7"/>
  <c r="O21" i="7" s="1"/>
  <c r="P21" i="7" s="1"/>
  <c r="Q21" i="7" s="1"/>
  <c r="R21" i="7" s="1"/>
  <c r="S21" i="7" s="1"/>
  <c r="T21" i="7"/>
  <c r="G53" i="11"/>
  <c r="G52" i="11"/>
  <c r="G51" i="11" s="1"/>
  <c r="F27" i="8"/>
  <c r="F29" i="8"/>
  <c r="K81" i="7"/>
  <c r="K91" i="7"/>
  <c r="K105" i="7"/>
  <c r="K75" i="7"/>
  <c r="K76" i="7" s="1"/>
  <c r="N31" i="7"/>
  <c r="N48" i="7" s="1"/>
  <c r="O15" i="7"/>
  <c r="N20" i="7" l="1"/>
  <c r="C21" i="8"/>
  <c r="C33" i="8"/>
  <c r="G11" i="11"/>
  <c r="I35" i="8"/>
  <c r="J35" i="8" s="1"/>
  <c r="G16" i="11"/>
  <c r="D50" i="11"/>
  <c r="D30" i="11"/>
  <c r="D19" i="11"/>
  <c r="J44" i="11"/>
  <c r="O65" i="7"/>
  <c r="N64" i="7"/>
  <c r="N63" i="7" s="1"/>
  <c r="N72" i="7" s="1"/>
  <c r="H41" i="7"/>
  <c r="H43" i="7" s="1"/>
  <c r="H44" i="7" s="1"/>
  <c r="H35" i="7"/>
  <c r="I41" i="7"/>
  <c r="I43" i="7" s="1"/>
  <c r="I44" i="7" s="1"/>
  <c r="I35" i="7"/>
  <c r="J41" i="7"/>
  <c r="J43" i="7" s="1"/>
  <c r="J44" i="7" s="1"/>
  <c r="J35" i="7"/>
  <c r="F21" i="8"/>
  <c r="J11" i="11"/>
  <c r="J43" i="11" s="1"/>
  <c r="E42" i="8"/>
  <c r="G33" i="8"/>
  <c r="G21" i="8"/>
  <c r="O31" i="7"/>
  <c r="O48" i="7" s="1"/>
  <c r="P15" i="7"/>
  <c r="P25" i="7"/>
  <c r="O33" i="7"/>
  <c r="O62" i="7" s="1"/>
  <c r="F8" i="8"/>
  <c r="F25" i="8"/>
  <c r="F39" i="8"/>
  <c r="K86" i="7"/>
  <c r="J8" i="11"/>
  <c r="F19" i="8"/>
  <c r="F17" i="8"/>
  <c r="F10" i="8"/>
  <c r="F37" i="8"/>
  <c r="K96" i="7"/>
  <c r="K16" i="11"/>
  <c r="L105" i="7"/>
  <c r="I11" i="11"/>
  <c r="J75" i="7"/>
  <c r="J76" i="7" s="1"/>
  <c r="H11" i="11"/>
  <c r="D21" i="8"/>
  <c r="J100" i="7"/>
  <c r="J104" i="7" s="1"/>
  <c r="E23" i="8"/>
  <c r="J32" i="11"/>
  <c r="J45" i="11" s="1"/>
  <c r="F11" i="8"/>
  <c r="L11" i="11"/>
  <c r="H33" i="8"/>
  <c r="L48" i="7"/>
  <c r="L50" i="7" s="1"/>
  <c r="L51" i="7" s="1"/>
  <c r="L35" i="7"/>
  <c r="G42" i="8"/>
  <c r="J16" i="7"/>
  <c r="I16" i="7"/>
  <c r="H50" i="7"/>
  <c r="H51" i="7" s="1"/>
  <c r="M104" i="7"/>
  <c r="M35" i="7"/>
  <c r="M41" i="7"/>
  <c r="M43" i="7" s="1"/>
  <c r="M44" i="7" s="1"/>
  <c r="H15" i="8"/>
  <c r="H41" i="8" s="1"/>
  <c r="H42" i="8" s="1"/>
  <c r="C6" i="7"/>
  <c r="E6" i="7"/>
  <c r="N8" i="7" s="1"/>
  <c r="D8" i="7"/>
  <c r="L26" i="7"/>
  <c r="L62" i="7"/>
  <c r="L64" i="7" s="1"/>
  <c r="L65" i="7" s="1"/>
  <c r="D61" i="7" s="1"/>
  <c r="K16" i="7"/>
  <c r="F33" i="8"/>
  <c r="D19" i="7"/>
  <c r="J57" i="7"/>
  <c r="J58" i="7" s="1"/>
  <c r="D54" i="7" s="1"/>
  <c r="E54" i="7" s="1"/>
  <c r="N58" i="7" s="1"/>
  <c r="K21" i="11"/>
  <c r="G11" i="8"/>
  <c r="K64" i="7"/>
  <c r="E11" i="8"/>
  <c r="L32" i="11"/>
  <c r="H11" i="8"/>
  <c r="C11" i="15"/>
  <c r="O3" i="23"/>
  <c r="O4" i="23"/>
  <c r="C27" i="16"/>
  <c r="C12" i="16"/>
  <c r="C3" i="21" s="1"/>
  <c r="C33" i="21" s="1"/>
  <c r="H21" i="8"/>
  <c r="K18" i="14"/>
  <c r="K19" i="14"/>
  <c r="D46" i="11" s="1"/>
  <c r="C7" i="21"/>
  <c r="L4" i="23"/>
  <c r="L3" i="23"/>
  <c r="I4" i="23"/>
  <c r="I3" i="23"/>
  <c r="I5" i="23" s="1"/>
  <c r="F4" i="23"/>
  <c r="F5" i="23" s="1"/>
  <c r="F8" i="16"/>
  <c r="N32" i="7" l="1"/>
  <c r="N55" i="7" s="1"/>
  <c r="O20" i="7"/>
  <c r="C28" i="16"/>
  <c r="C29" i="16" s="1"/>
  <c r="O58" i="7"/>
  <c r="N57" i="7"/>
  <c r="N56" i="7" s="1"/>
  <c r="N71" i="7" s="1"/>
  <c r="L16" i="11"/>
  <c r="M105" i="7"/>
  <c r="I23" i="8"/>
  <c r="J23" i="8"/>
  <c r="K23" i="8" s="1"/>
  <c r="Q25" i="7"/>
  <c r="P33" i="7"/>
  <c r="P62" i="7" s="1"/>
  <c r="E27" i="8"/>
  <c r="E39" i="8"/>
  <c r="J86" i="7"/>
  <c r="J96" i="7"/>
  <c r="E19" i="8"/>
  <c r="E17" i="8"/>
  <c r="I8" i="11"/>
  <c r="J9" i="11" s="1"/>
  <c r="E29" i="8"/>
  <c r="E25" i="8"/>
  <c r="E8" i="8"/>
  <c r="J36" i="7"/>
  <c r="J91" i="7"/>
  <c r="E10" i="8"/>
  <c r="J81" i="7"/>
  <c r="K36" i="7"/>
  <c r="E37" i="8"/>
  <c r="D40" i="7"/>
  <c r="E40" i="7" s="1"/>
  <c r="N44" i="7" s="1"/>
  <c r="C40" i="7"/>
  <c r="C12" i="21"/>
  <c r="C13" i="21" s="1"/>
  <c r="C14" i="21" s="1"/>
  <c r="C15" i="21" s="1"/>
  <c r="C12" i="15"/>
  <c r="D47" i="7"/>
  <c r="E47" i="7" s="1"/>
  <c r="N51" i="7" s="1"/>
  <c r="C47" i="7"/>
  <c r="G8" i="8"/>
  <c r="G25" i="8"/>
  <c r="L91" i="7"/>
  <c r="G10" i="8"/>
  <c r="G17" i="8"/>
  <c r="K8" i="11"/>
  <c r="G39" i="8"/>
  <c r="G27" i="8"/>
  <c r="L96" i="7"/>
  <c r="G29" i="8"/>
  <c r="L86" i="7"/>
  <c r="L75" i="7"/>
  <c r="L76" i="7" s="1"/>
  <c r="L36" i="7"/>
  <c r="L81" i="7"/>
  <c r="G37" i="8"/>
  <c r="G19" i="8"/>
  <c r="L43" i="11"/>
  <c r="J105" i="7"/>
  <c r="I16" i="11"/>
  <c r="I43" i="11"/>
  <c r="J13" i="11"/>
  <c r="Q15" i="7"/>
  <c r="P31" i="7"/>
  <c r="P48" i="7" s="1"/>
  <c r="C54" i="7"/>
  <c r="I33" i="8"/>
  <c r="J33" i="8" s="1"/>
  <c r="L45" i="11"/>
  <c r="D39" i="8"/>
  <c r="D25" i="8"/>
  <c r="D27" i="8"/>
  <c r="I86" i="7"/>
  <c r="D8" i="8"/>
  <c r="D29" i="8"/>
  <c r="D37" i="8"/>
  <c r="I91" i="7"/>
  <c r="D17" i="8"/>
  <c r="I75" i="7"/>
  <c r="I76" i="7" s="1"/>
  <c r="H8" i="11"/>
  <c r="H43" i="11" s="1"/>
  <c r="I105" i="7"/>
  <c r="I36" i="7"/>
  <c r="D10" i="8"/>
  <c r="I81" i="7"/>
  <c r="I96" i="7"/>
  <c r="D19" i="8"/>
  <c r="P65" i="7"/>
  <c r="O64" i="7"/>
  <c r="O63" i="7" s="1"/>
  <c r="O72" i="7" s="1"/>
  <c r="I21" i="8"/>
  <c r="O8" i="7"/>
  <c r="P8" i="7" s="1"/>
  <c r="Q8" i="7" s="1"/>
  <c r="R8" i="7" s="1"/>
  <c r="S8" i="7" s="1"/>
  <c r="T8" i="7" s="1"/>
  <c r="N7" i="7"/>
  <c r="M96" i="7"/>
  <c r="C94" i="7" s="1"/>
  <c r="N96" i="7" s="1"/>
  <c r="L8" i="11"/>
  <c r="H10" i="8"/>
  <c r="H39" i="8"/>
  <c r="M86" i="7"/>
  <c r="C84" i="7" s="1"/>
  <c r="N86" i="7" s="1"/>
  <c r="H27" i="8"/>
  <c r="H29" i="8"/>
  <c r="H19" i="8"/>
  <c r="M91" i="7"/>
  <c r="C89" i="7" s="1"/>
  <c r="N91" i="7" s="1"/>
  <c r="M81" i="7"/>
  <c r="C79" i="7" s="1"/>
  <c r="N81" i="7" s="1"/>
  <c r="H17" i="8"/>
  <c r="H8" i="8"/>
  <c r="H37" i="8"/>
  <c r="M36" i="7"/>
  <c r="H25" i="8"/>
  <c r="M75" i="7"/>
  <c r="M76" i="7" s="1"/>
  <c r="K17" i="11"/>
  <c r="K44" i="11"/>
  <c r="G8" i="11"/>
  <c r="G17" i="11" s="1"/>
  <c r="C17" i="8"/>
  <c r="C8" i="8"/>
  <c r="H91" i="7"/>
  <c r="H86" i="7"/>
  <c r="C39" i="8"/>
  <c r="I39" i="8" s="1"/>
  <c r="C27" i="8"/>
  <c r="H96" i="7"/>
  <c r="C25" i="8"/>
  <c r="I25" i="8" s="1"/>
  <c r="C37" i="8"/>
  <c r="C10" i="8"/>
  <c r="C19" i="8"/>
  <c r="I19" i="8" s="1"/>
  <c r="H81" i="7"/>
  <c r="C29" i="8"/>
  <c r="J17" i="11"/>
  <c r="H105" i="7"/>
  <c r="K35" i="8"/>
  <c r="L35" i="8" s="1"/>
  <c r="H75" i="7"/>
  <c r="H76" i="7" s="1"/>
  <c r="L5" i="23"/>
  <c r="L7" i="23" s="1"/>
  <c r="C15" i="23"/>
  <c r="C16" i="23" s="1"/>
  <c r="F7" i="23"/>
  <c r="C13" i="23"/>
  <c r="C14" i="23" s="1"/>
  <c r="I7" i="23"/>
  <c r="F9" i="16"/>
  <c r="O32" i="7" l="1"/>
  <c r="O55" i="7" s="1"/>
  <c r="P20" i="7"/>
  <c r="K33" i="8"/>
  <c r="M33" i="8"/>
  <c r="M35" i="8"/>
  <c r="I27" i="8"/>
  <c r="I8" i="8"/>
  <c r="O81" i="7"/>
  <c r="D29" i="11"/>
  <c r="D32" i="11" s="1"/>
  <c r="D34" i="11" s="1"/>
  <c r="D37" i="11" s="1"/>
  <c r="L13" i="11"/>
  <c r="L9" i="11"/>
  <c r="Q65" i="7"/>
  <c r="P64" i="7"/>
  <c r="P63" i="7" s="1"/>
  <c r="P72" i="7" s="1"/>
  <c r="J25" i="8"/>
  <c r="J21" i="8"/>
  <c r="I17" i="11"/>
  <c r="I44" i="11"/>
  <c r="O51" i="7"/>
  <c r="N50" i="7"/>
  <c r="N49" i="7" s="1"/>
  <c r="N70" i="7" s="1"/>
  <c r="G43" i="11"/>
  <c r="O44" i="7"/>
  <c r="K39" i="8"/>
  <c r="Q33" i="7"/>
  <c r="Q62" i="7" s="1"/>
  <c r="R25" i="7"/>
  <c r="J27" i="8"/>
  <c r="I10" i="8"/>
  <c r="I29" i="8"/>
  <c r="I37" i="8"/>
  <c r="I17" i="8"/>
  <c r="O91" i="7"/>
  <c r="O86" i="7"/>
  <c r="O96" i="7"/>
  <c r="J19" i="8"/>
  <c r="J17" i="8"/>
  <c r="J8" i="8"/>
  <c r="K8" i="8" s="1"/>
  <c r="J39" i="8"/>
  <c r="L39" i="8" s="1"/>
  <c r="L33" i="8"/>
  <c r="J23" i="11"/>
  <c r="J14" i="11"/>
  <c r="K13" i="11"/>
  <c r="K43" i="11"/>
  <c r="K45" i="11"/>
  <c r="K9" i="11"/>
  <c r="C13" i="16"/>
  <c r="C28" i="15"/>
  <c r="C22" i="15"/>
  <c r="C27" i="15"/>
  <c r="K25" i="8"/>
  <c r="K19" i="8"/>
  <c r="K27" i="8"/>
  <c r="M23" i="8"/>
  <c r="N23" i="8"/>
  <c r="L23" i="8"/>
  <c r="P58" i="7"/>
  <c r="O57" i="7"/>
  <c r="O56" i="7" s="1"/>
  <c r="O71" i="7" s="1"/>
  <c r="G13" i="11"/>
  <c r="G45" i="11"/>
  <c r="O7" i="7"/>
  <c r="N10" i="7"/>
  <c r="R15" i="7"/>
  <c r="Q31" i="7"/>
  <c r="Q48" i="7" s="1"/>
  <c r="G44" i="11"/>
  <c r="H9" i="11"/>
  <c r="H45" i="11"/>
  <c r="H13" i="11"/>
  <c r="H17" i="11"/>
  <c r="H44" i="11"/>
  <c r="I45" i="11"/>
  <c r="I13" i="11"/>
  <c r="I9" i="11"/>
  <c r="O23" i="8"/>
  <c r="L44" i="11"/>
  <c r="L17" i="11"/>
  <c r="F10" i="16"/>
  <c r="P32" i="7" l="1"/>
  <c r="P55" i="7" s="1"/>
  <c r="Q20" i="7"/>
  <c r="L8" i="8"/>
  <c r="K23" i="11"/>
  <c r="K14" i="11"/>
  <c r="M39" i="8"/>
  <c r="C29" i="15"/>
  <c r="C23" i="15"/>
  <c r="P86" i="7"/>
  <c r="N39" i="8"/>
  <c r="K17" i="8"/>
  <c r="R65" i="7"/>
  <c r="Q64" i="7"/>
  <c r="Q63" i="7" s="1"/>
  <c r="Q72" i="7" s="1"/>
  <c r="L14" i="11"/>
  <c r="L23" i="11"/>
  <c r="P7" i="7"/>
  <c r="O10" i="7"/>
  <c r="J24" i="11"/>
  <c r="J19" i="11"/>
  <c r="J20" i="11" s="1"/>
  <c r="O39" i="8"/>
  <c r="P91" i="7"/>
  <c r="R33" i="7"/>
  <c r="R62" i="7" s="1"/>
  <c r="S25" i="7"/>
  <c r="J29" i="8"/>
  <c r="L19" i="8"/>
  <c r="P44" i="7"/>
  <c r="K21" i="8"/>
  <c r="L27" i="8"/>
  <c r="N27" i="8" s="1"/>
  <c r="S15" i="7"/>
  <c r="R31" i="7"/>
  <c r="R48" i="7" s="1"/>
  <c r="G14" i="11"/>
  <c r="G23" i="11"/>
  <c r="Q58" i="7"/>
  <c r="P57" i="7"/>
  <c r="P56" i="7" s="1"/>
  <c r="P71" i="7" s="1"/>
  <c r="I23" i="11"/>
  <c r="I14" i="11"/>
  <c r="M27" i="8"/>
  <c r="N33" i="8"/>
  <c r="H23" i="11"/>
  <c r="H14" i="11"/>
  <c r="N11" i="7"/>
  <c r="N30" i="7"/>
  <c r="L25" i="8"/>
  <c r="P96" i="7"/>
  <c r="P51" i="7"/>
  <c r="O50" i="7"/>
  <c r="O49" i="7" s="1"/>
  <c r="O70" i="7" s="1"/>
  <c r="J10" i="8"/>
  <c r="P81" i="7"/>
  <c r="J37" i="8"/>
  <c r="N35" i="8"/>
  <c r="O33" i="8"/>
  <c r="R20" i="7" l="1"/>
  <c r="Q32" i="7"/>
  <c r="Q55" i="7" s="1"/>
  <c r="Q57" i="7" s="1"/>
  <c r="Q56" i="7" s="1"/>
  <c r="Q71" i="7" s="1"/>
  <c r="Q51" i="7"/>
  <c r="P50" i="7"/>
  <c r="P49" i="7" s="1"/>
  <c r="P70" i="7" s="1"/>
  <c r="Q96" i="7"/>
  <c r="M25" i="8"/>
  <c r="N25" i="8"/>
  <c r="R58" i="7"/>
  <c r="S31" i="7"/>
  <c r="S48" i="7" s="1"/>
  <c r="T15" i="7"/>
  <c r="T31" i="7" s="1"/>
  <c r="T48" i="7" s="1"/>
  <c r="Q44" i="7"/>
  <c r="M19" i="8"/>
  <c r="S33" i="7"/>
  <c r="S62" i="7" s="1"/>
  <c r="T25" i="7"/>
  <c r="T33" i="7" s="1"/>
  <c r="T62" i="7" s="1"/>
  <c r="Q86" i="7"/>
  <c r="M8" i="8"/>
  <c r="L24" i="11"/>
  <c r="L19" i="11"/>
  <c r="L20" i="11" s="1"/>
  <c r="O35" i="8"/>
  <c r="H19" i="11"/>
  <c r="H20" i="11" s="1"/>
  <c r="H24" i="11"/>
  <c r="I24" i="11"/>
  <c r="I19" i="11"/>
  <c r="I20" i="11" s="1"/>
  <c r="G19" i="11"/>
  <c r="G20" i="11" s="1"/>
  <c r="G24" i="11"/>
  <c r="Q91" i="7"/>
  <c r="O11" i="7"/>
  <c r="O30" i="7"/>
  <c r="C16" i="21"/>
  <c r="C22" i="21" s="1"/>
  <c r="C24" i="15"/>
  <c r="C17" i="21" s="1"/>
  <c r="L17" i="8"/>
  <c r="K24" i="11"/>
  <c r="K19" i="11"/>
  <c r="K20" i="11" s="1"/>
  <c r="Q81" i="7"/>
  <c r="N8" i="8"/>
  <c r="K37" i="8"/>
  <c r="K10" i="8"/>
  <c r="L10" i="8"/>
  <c r="O27" i="8"/>
  <c r="N41" i="7"/>
  <c r="N43" i="7" s="1"/>
  <c r="N42" i="7" s="1"/>
  <c r="N69" i="7" s="1"/>
  <c r="N74" i="7" s="1"/>
  <c r="N35" i="7"/>
  <c r="L21" i="8"/>
  <c r="K29" i="8"/>
  <c r="L29" i="8" s="1"/>
  <c r="P10" i="7"/>
  <c r="Q7" i="7"/>
  <c r="S65" i="7"/>
  <c r="R64" i="7"/>
  <c r="R63" i="7" s="1"/>
  <c r="R72" i="7" s="1"/>
  <c r="N19" i="8"/>
  <c r="R32" i="7" l="1"/>
  <c r="R55" i="7" s="1"/>
  <c r="S20" i="7"/>
  <c r="M29" i="8"/>
  <c r="T65" i="7"/>
  <c r="T64" i="7" s="1"/>
  <c r="T63" i="7" s="1"/>
  <c r="T72" i="7" s="1"/>
  <c r="S64" i="7"/>
  <c r="S63" i="7" s="1"/>
  <c r="S72" i="7" s="1"/>
  <c r="H7" i="12"/>
  <c r="H9" i="12" s="1"/>
  <c r="N36" i="7"/>
  <c r="N90" i="7"/>
  <c r="N102" i="7" s="1"/>
  <c r="H35" i="12" s="1"/>
  <c r="H37" i="12" s="1"/>
  <c r="N95" i="7"/>
  <c r="N103" i="7" s="1"/>
  <c r="H42" i="12" s="1"/>
  <c r="H44" i="12" s="1"/>
  <c r="N80" i="7"/>
  <c r="N100" i="7" s="1"/>
  <c r="N85" i="7"/>
  <c r="N101" i="7" s="1"/>
  <c r="H28" i="12" s="1"/>
  <c r="H30" i="12" s="1"/>
  <c r="R44" i="7"/>
  <c r="Q10" i="7"/>
  <c r="R7" i="7"/>
  <c r="H14" i="12"/>
  <c r="H16" i="12" s="1"/>
  <c r="N75" i="7"/>
  <c r="N76" i="7" s="1"/>
  <c r="L37" i="8"/>
  <c r="M17" i="8"/>
  <c r="O41" i="7"/>
  <c r="O43" i="7" s="1"/>
  <c r="O42" i="7" s="1"/>
  <c r="O69" i="7" s="1"/>
  <c r="O74" i="7" s="1"/>
  <c r="O35" i="7"/>
  <c r="R86" i="7"/>
  <c r="O19" i="8"/>
  <c r="S58" i="7"/>
  <c r="R57" i="7"/>
  <c r="R56" i="7" s="1"/>
  <c r="R71" i="7" s="1"/>
  <c r="Q50" i="7"/>
  <c r="Q49" i="7" s="1"/>
  <c r="Q70" i="7" s="1"/>
  <c r="R51" i="7"/>
  <c r="P11" i="7"/>
  <c r="P30" i="7"/>
  <c r="M21" i="8"/>
  <c r="R81" i="7"/>
  <c r="R96" i="7"/>
  <c r="R91" i="7"/>
  <c r="M10" i="8"/>
  <c r="N10" i="8" s="1"/>
  <c r="C36" i="21"/>
  <c r="D36" i="21" s="1"/>
  <c r="E36" i="21" s="1"/>
  <c r="O8" i="8"/>
  <c r="O25" i="8"/>
  <c r="N29" i="8"/>
  <c r="T20" i="7" l="1"/>
  <c r="T32" i="7" s="1"/>
  <c r="T55" i="7" s="1"/>
  <c r="S32" i="7"/>
  <c r="S55" i="7" s="1"/>
  <c r="S57" i="7" s="1"/>
  <c r="S56" i="7" s="1"/>
  <c r="S71" i="7" s="1"/>
  <c r="N21" i="8"/>
  <c r="O21" i="8" s="1"/>
  <c r="N17" i="8"/>
  <c r="S7" i="7"/>
  <c r="R10" i="7"/>
  <c r="H31" i="12"/>
  <c r="H50" i="12"/>
  <c r="O10" i="8"/>
  <c r="S81" i="7"/>
  <c r="M37" i="8"/>
  <c r="N37" i="8" s="1"/>
  <c r="H38" i="12"/>
  <c r="H51" i="12"/>
  <c r="T58" i="7"/>
  <c r="T57" i="7" s="1"/>
  <c r="T56" i="7" s="1"/>
  <c r="T71" i="7" s="1"/>
  <c r="Q30" i="7"/>
  <c r="Q11" i="7"/>
  <c r="M8" i="11"/>
  <c r="H10" i="12"/>
  <c r="I24" i="8"/>
  <c r="I18" i="8"/>
  <c r="I38" i="8"/>
  <c r="I7" i="8"/>
  <c r="M21" i="11" s="1"/>
  <c r="M30" i="11" s="1"/>
  <c r="I28" i="8"/>
  <c r="I26" i="8"/>
  <c r="I36" i="8"/>
  <c r="I9" i="8"/>
  <c r="I16" i="8"/>
  <c r="I14" i="12"/>
  <c r="I16" i="12" s="1"/>
  <c r="O75" i="7"/>
  <c r="O76" i="7" s="1"/>
  <c r="H17" i="12"/>
  <c r="M11" i="11"/>
  <c r="I32" i="8"/>
  <c r="I20" i="8"/>
  <c r="S44" i="7"/>
  <c r="S96" i="7"/>
  <c r="S51" i="7"/>
  <c r="R50" i="7"/>
  <c r="R49" i="7" s="1"/>
  <c r="R70" i="7" s="1"/>
  <c r="S86" i="7"/>
  <c r="H21" i="12"/>
  <c r="H23" i="12" s="1"/>
  <c r="N104" i="7"/>
  <c r="N105" i="7" s="1"/>
  <c r="O29" i="8"/>
  <c r="S91" i="7"/>
  <c r="P35" i="7"/>
  <c r="P41" i="7"/>
  <c r="P43" i="7" s="1"/>
  <c r="P42" i="7" s="1"/>
  <c r="P69" i="7" s="1"/>
  <c r="P74" i="7" s="1"/>
  <c r="O36" i="7"/>
  <c r="I7" i="12"/>
  <c r="I9" i="12" s="1"/>
  <c r="O95" i="7"/>
  <c r="O103" i="7" s="1"/>
  <c r="I42" i="12" s="1"/>
  <c r="I44" i="12" s="1"/>
  <c r="O85" i="7"/>
  <c r="O101" i="7" s="1"/>
  <c r="I28" i="12" s="1"/>
  <c r="I30" i="12" s="1"/>
  <c r="O90" i="7"/>
  <c r="O102" i="7" s="1"/>
  <c r="I35" i="12" s="1"/>
  <c r="I37" i="12" s="1"/>
  <c r="O80" i="7"/>
  <c r="O100" i="7" s="1"/>
  <c r="J9" i="8"/>
  <c r="H45" i="12"/>
  <c r="H52" i="12"/>
  <c r="M43" i="11" l="1"/>
  <c r="P36" i="7"/>
  <c r="J7" i="12"/>
  <c r="J9" i="12" s="1"/>
  <c r="P90" i="7"/>
  <c r="P102" i="7" s="1"/>
  <c r="J35" i="12" s="1"/>
  <c r="J37" i="12" s="1"/>
  <c r="P95" i="7"/>
  <c r="P103" i="7" s="1"/>
  <c r="J42" i="12" s="1"/>
  <c r="J44" i="12" s="1"/>
  <c r="P80" i="7"/>
  <c r="P100" i="7" s="1"/>
  <c r="P85" i="7"/>
  <c r="P101" i="7" s="1"/>
  <c r="J28" i="12" s="1"/>
  <c r="J30" i="12" s="1"/>
  <c r="K9" i="8"/>
  <c r="O32" i="11" s="1"/>
  <c r="I11" i="8"/>
  <c r="M32" i="11"/>
  <c r="M45" i="11" s="1"/>
  <c r="I51" i="12"/>
  <c r="I38" i="12"/>
  <c r="T91" i="7"/>
  <c r="M9" i="11"/>
  <c r="M13" i="11"/>
  <c r="T7" i="7"/>
  <c r="T10" i="7" s="1"/>
  <c r="S10" i="7"/>
  <c r="N8" i="11"/>
  <c r="I10" i="12"/>
  <c r="J18" i="8"/>
  <c r="J38" i="8"/>
  <c r="J7" i="8"/>
  <c r="N21" i="11" s="1"/>
  <c r="N30" i="11" s="1"/>
  <c r="J16" i="8"/>
  <c r="J26" i="8"/>
  <c r="J24" i="8"/>
  <c r="J36" i="8"/>
  <c r="J28" i="8"/>
  <c r="Q41" i="7"/>
  <c r="Q43" i="7" s="1"/>
  <c r="Q42" i="7" s="1"/>
  <c r="Q69" i="7" s="1"/>
  <c r="Q74" i="7" s="1"/>
  <c r="Q35" i="7"/>
  <c r="R11" i="7"/>
  <c r="R30" i="7"/>
  <c r="I50" i="12"/>
  <c r="I31" i="12"/>
  <c r="H24" i="12"/>
  <c r="H49" i="12"/>
  <c r="T51" i="7"/>
  <c r="T50" i="7" s="1"/>
  <c r="T49" i="7" s="1"/>
  <c r="T70" i="7" s="1"/>
  <c r="S50" i="7"/>
  <c r="S49" i="7" s="1"/>
  <c r="S70" i="7" s="1"/>
  <c r="T44" i="7"/>
  <c r="T81" i="7"/>
  <c r="O17" i="8"/>
  <c r="I21" i="12"/>
  <c r="I23" i="12" s="1"/>
  <c r="O104" i="7"/>
  <c r="O105" i="7" s="1"/>
  <c r="I17" i="12"/>
  <c r="N11" i="11"/>
  <c r="N43" i="11" s="1"/>
  <c r="J32" i="8"/>
  <c r="J20" i="8"/>
  <c r="N32" i="11"/>
  <c r="N45" i="11" s="1"/>
  <c r="I52" i="12"/>
  <c r="I45" i="12"/>
  <c r="P75" i="7"/>
  <c r="P76" i="7" s="1"/>
  <c r="J14" i="12"/>
  <c r="J16" i="12" s="1"/>
  <c r="T86" i="7"/>
  <c r="T96" i="7"/>
  <c r="O37" i="8"/>
  <c r="Q75" i="7" l="1"/>
  <c r="Q76" i="7" s="1"/>
  <c r="K14" i="12"/>
  <c r="K16" i="12" s="1"/>
  <c r="S11" i="7"/>
  <c r="S30" i="7"/>
  <c r="J50" i="12"/>
  <c r="J31" i="12"/>
  <c r="O8" i="11"/>
  <c r="J10" i="12"/>
  <c r="K24" i="8"/>
  <c r="K7" i="8"/>
  <c r="K18" i="8"/>
  <c r="K26" i="8"/>
  <c r="K38" i="8"/>
  <c r="K16" i="8"/>
  <c r="K36" i="8"/>
  <c r="K28" i="8"/>
  <c r="H53" i="12"/>
  <c r="I34" i="8"/>
  <c r="I31" i="8" s="1"/>
  <c r="I41" i="8" s="1"/>
  <c r="I42" i="8" s="1"/>
  <c r="M31" i="11" s="1"/>
  <c r="I22" i="8"/>
  <c r="I15" i="8" s="1"/>
  <c r="R41" i="7"/>
  <c r="R43" i="7" s="1"/>
  <c r="R42" i="7" s="1"/>
  <c r="R69" i="7" s="1"/>
  <c r="R74" i="7" s="1"/>
  <c r="R35" i="7"/>
  <c r="T30" i="7"/>
  <c r="T11" i="7"/>
  <c r="J21" i="12"/>
  <c r="J23" i="12" s="1"/>
  <c r="P104" i="7"/>
  <c r="P105" i="7" s="1"/>
  <c r="J52" i="12"/>
  <c r="J45" i="12"/>
  <c r="N9" i="11"/>
  <c r="N13" i="11"/>
  <c r="M14" i="11"/>
  <c r="J17" i="12"/>
  <c r="O11" i="11"/>
  <c r="O43" i="11" s="1"/>
  <c r="K32" i="8"/>
  <c r="K20" i="8"/>
  <c r="J11" i="8"/>
  <c r="I24" i="12"/>
  <c r="I49" i="12"/>
  <c r="K7" i="12"/>
  <c r="K9" i="12" s="1"/>
  <c r="Q36" i="7"/>
  <c r="Q90" i="7"/>
  <c r="Q102" i="7" s="1"/>
  <c r="K35" i="12" s="1"/>
  <c r="K37" i="12" s="1"/>
  <c r="L9" i="8"/>
  <c r="P32" i="11" s="1"/>
  <c r="Q85" i="7"/>
  <c r="Q101" i="7" s="1"/>
  <c r="K28" i="12" s="1"/>
  <c r="K30" i="12" s="1"/>
  <c r="Q80" i="7"/>
  <c r="Q100" i="7" s="1"/>
  <c r="Q95" i="7"/>
  <c r="Q103" i="7" s="1"/>
  <c r="K42" i="12" s="1"/>
  <c r="K44" i="12" s="1"/>
  <c r="O45" i="11"/>
  <c r="J38" i="12"/>
  <c r="J51" i="12"/>
  <c r="K17" i="12" l="1"/>
  <c r="P11" i="11"/>
  <c r="L32" i="8"/>
  <c r="L20" i="8"/>
  <c r="K52" i="12"/>
  <c r="K45" i="12"/>
  <c r="K38" i="12"/>
  <c r="K51" i="12"/>
  <c r="I53" i="12"/>
  <c r="J34" i="8"/>
  <c r="J31" i="8" s="1"/>
  <c r="J22" i="8"/>
  <c r="J15" i="8" s="1"/>
  <c r="T41" i="7"/>
  <c r="T43" i="7" s="1"/>
  <c r="T42" i="7" s="1"/>
  <c r="T69" i="7" s="1"/>
  <c r="T74" i="7" s="1"/>
  <c r="T35" i="7"/>
  <c r="O13" i="11"/>
  <c r="O9" i="11"/>
  <c r="L14" i="12"/>
  <c r="L16" i="12" s="1"/>
  <c r="R75" i="7"/>
  <c r="R76" i="7" s="1"/>
  <c r="K21" i="12"/>
  <c r="K23" i="12" s="1"/>
  <c r="Q104" i="7"/>
  <c r="Q105" i="7" s="1"/>
  <c r="K11" i="8"/>
  <c r="O21" i="11"/>
  <c r="O30" i="11" s="1"/>
  <c r="S41" i="7"/>
  <c r="S43" i="7" s="1"/>
  <c r="S42" i="7" s="1"/>
  <c r="S69" i="7" s="1"/>
  <c r="S74" i="7" s="1"/>
  <c r="S35" i="7"/>
  <c r="N14" i="11"/>
  <c r="K31" i="12"/>
  <c r="K50" i="12"/>
  <c r="P8" i="11"/>
  <c r="P45" i="11" s="1"/>
  <c r="K10" i="12"/>
  <c r="L38" i="8"/>
  <c r="L7" i="8"/>
  <c r="L18" i="8"/>
  <c r="L26" i="8"/>
  <c r="L24" i="8"/>
  <c r="L28" i="8"/>
  <c r="L16" i="8"/>
  <c r="L36" i="8"/>
  <c r="J24" i="12"/>
  <c r="J49" i="12"/>
  <c r="R36" i="7"/>
  <c r="L7" i="12"/>
  <c r="L9" i="12" s="1"/>
  <c r="R95" i="7"/>
  <c r="R103" i="7" s="1"/>
  <c r="L42" i="12" s="1"/>
  <c r="L44" i="12" s="1"/>
  <c r="R90" i="7"/>
  <c r="R102" i="7" s="1"/>
  <c r="L35" i="12" s="1"/>
  <c r="L37" i="12" s="1"/>
  <c r="M9" i="8"/>
  <c r="Q32" i="11" s="1"/>
  <c r="R85" i="7"/>
  <c r="R101" i="7" s="1"/>
  <c r="L28" i="12" s="1"/>
  <c r="L30" i="12" s="1"/>
  <c r="R80" i="7"/>
  <c r="R100" i="7" s="1"/>
  <c r="H54" i="12"/>
  <c r="M16" i="11"/>
  <c r="C11" i="16"/>
  <c r="Q8" i="11" l="1"/>
  <c r="Q45" i="11" s="1"/>
  <c r="L10" i="12"/>
  <c r="M38" i="8"/>
  <c r="M26" i="8"/>
  <c r="M7" i="8"/>
  <c r="M18" i="8"/>
  <c r="M24" i="8"/>
  <c r="M16" i="8"/>
  <c r="M28" i="8"/>
  <c r="M36" i="8"/>
  <c r="M44" i="11"/>
  <c r="M17" i="11"/>
  <c r="M23" i="11"/>
  <c r="P9" i="11"/>
  <c r="P13" i="11"/>
  <c r="K24" i="12"/>
  <c r="K49" i="12"/>
  <c r="J41" i="8"/>
  <c r="J42" i="8" s="1"/>
  <c r="N31" i="11" s="1"/>
  <c r="L50" i="12"/>
  <c r="L31" i="12"/>
  <c r="L51" i="12"/>
  <c r="L38" i="12"/>
  <c r="J53" i="12"/>
  <c r="K22" i="8"/>
  <c r="K15" i="8" s="1"/>
  <c r="K34" i="8"/>
  <c r="K31" i="8" s="1"/>
  <c r="L11" i="8"/>
  <c r="P21" i="11"/>
  <c r="P30" i="11" s="1"/>
  <c r="S36" i="7"/>
  <c r="M7" i="12"/>
  <c r="M9" i="12" s="1"/>
  <c r="N9" i="8"/>
  <c r="S80" i="7"/>
  <c r="S100" i="7" s="1"/>
  <c r="S95" i="7"/>
  <c r="S103" i="7" s="1"/>
  <c r="M42" i="12" s="1"/>
  <c r="M44" i="12" s="1"/>
  <c r="S90" i="7"/>
  <c r="S102" i="7" s="1"/>
  <c r="M35" i="12" s="1"/>
  <c r="M37" i="12" s="1"/>
  <c r="S85" i="7"/>
  <c r="S101" i="7" s="1"/>
  <c r="M28" i="12" s="1"/>
  <c r="M30" i="12" s="1"/>
  <c r="O14" i="11"/>
  <c r="P43" i="11"/>
  <c r="D3" i="21"/>
  <c r="C15" i="16"/>
  <c r="N14" i="12"/>
  <c r="N16" i="12" s="1"/>
  <c r="T75" i="7"/>
  <c r="T76" i="7" s="1"/>
  <c r="R104" i="7"/>
  <c r="R105" i="7" s="1"/>
  <c r="L21" i="12"/>
  <c r="L23" i="12" s="1"/>
  <c r="L52" i="12"/>
  <c r="L45" i="12"/>
  <c r="M14" i="12"/>
  <c r="M16" i="12" s="1"/>
  <c r="S75" i="7"/>
  <c r="S76" i="7" s="1"/>
  <c r="L17" i="12"/>
  <c r="Q11" i="11"/>
  <c r="Q43" i="11" s="1"/>
  <c r="M32" i="8"/>
  <c r="M20" i="8"/>
  <c r="N7" i="12"/>
  <c r="N9" i="12" s="1"/>
  <c r="T36" i="7"/>
  <c r="O9" i="8"/>
  <c r="T90" i="7"/>
  <c r="T102" i="7" s="1"/>
  <c r="N35" i="12" s="1"/>
  <c r="N37" i="12" s="1"/>
  <c r="T85" i="7"/>
  <c r="T101" i="7" s="1"/>
  <c r="N28" i="12" s="1"/>
  <c r="N30" i="12" s="1"/>
  <c r="T95" i="7"/>
  <c r="T103" i="7" s="1"/>
  <c r="N42" i="12" s="1"/>
  <c r="N44" i="12" s="1"/>
  <c r="T80" i="7"/>
  <c r="T100" i="7" s="1"/>
  <c r="I54" i="12"/>
  <c r="N16" i="11"/>
  <c r="D34" i="21"/>
  <c r="D35" i="21" s="1"/>
  <c r="D37" i="21" s="1"/>
  <c r="D38" i="21" s="1"/>
  <c r="C23" i="16" l="1"/>
  <c r="H7" i="16"/>
  <c r="H4" i="16"/>
  <c r="G5" i="16"/>
  <c r="C24" i="16"/>
  <c r="G8" i="16"/>
  <c r="G4" i="16"/>
  <c r="H5" i="16"/>
  <c r="H8" i="16"/>
  <c r="H6" i="16"/>
  <c r="G6" i="16"/>
  <c r="G7" i="16"/>
  <c r="G9" i="16"/>
  <c r="H9" i="16"/>
  <c r="H10" i="16"/>
  <c r="G10" i="16"/>
  <c r="N52" i="12"/>
  <c r="N45" i="12"/>
  <c r="M51" i="12"/>
  <c r="M38" i="12"/>
  <c r="M10" i="12"/>
  <c r="R8" i="11"/>
  <c r="N26" i="8"/>
  <c r="N38" i="8"/>
  <c r="N24" i="8"/>
  <c r="N7" i="8"/>
  <c r="R21" i="11" s="1"/>
  <c r="R30" i="11" s="1"/>
  <c r="N18" i="8"/>
  <c r="N28" i="8"/>
  <c r="N36" i="8"/>
  <c r="N16" i="8"/>
  <c r="L49" i="12"/>
  <c r="L24" i="12"/>
  <c r="J54" i="12"/>
  <c r="O16" i="11"/>
  <c r="E34" i="21"/>
  <c r="E35" i="21" s="1"/>
  <c r="E37" i="21" s="1"/>
  <c r="E38" i="21" s="1"/>
  <c r="N44" i="11"/>
  <c r="N17" i="11"/>
  <c r="N23" i="11"/>
  <c r="N31" i="12"/>
  <c r="N50" i="12"/>
  <c r="S8" i="11"/>
  <c r="N10" i="12"/>
  <c r="O38" i="8"/>
  <c r="O26" i="8"/>
  <c r="O7" i="8"/>
  <c r="S21" i="11" s="1"/>
  <c r="S30" i="11" s="1"/>
  <c r="O18" i="8"/>
  <c r="O24" i="8"/>
  <c r="O28" i="8"/>
  <c r="O36" i="8"/>
  <c r="O16" i="8"/>
  <c r="S11" i="11"/>
  <c r="S43" i="11" s="1"/>
  <c r="N17" i="12"/>
  <c r="O32" i="8"/>
  <c r="O20" i="8"/>
  <c r="M52" i="12"/>
  <c r="M45" i="12"/>
  <c r="K41" i="8"/>
  <c r="K42" i="8" s="1"/>
  <c r="O31" i="11" s="1"/>
  <c r="K53" i="12"/>
  <c r="L34" i="8"/>
  <c r="L31" i="8" s="1"/>
  <c r="L22" i="8"/>
  <c r="L15" i="8" s="1"/>
  <c r="L41" i="8" s="1"/>
  <c r="L42" i="8" s="1"/>
  <c r="P31" i="11" s="1"/>
  <c r="N51" i="12"/>
  <c r="N38" i="12"/>
  <c r="S104" i="7"/>
  <c r="S105" i="7" s="1"/>
  <c r="M21" i="12"/>
  <c r="M23" i="12" s="1"/>
  <c r="N21" i="12"/>
  <c r="N23" i="12" s="1"/>
  <c r="T104" i="7"/>
  <c r="T105" i="7" s="1"/>
  <c r="S32" i="11"/>
  <c r="O11" i="8"/>
  <c r="R11" i="11"/>
  <c r="R43" i="11" s="1"/>
  <c r="M17" i="12"/>
  <c r="N32" i="8"/>
  <c r="N20" i="8"/>
  <c r="C34" i="21"/>
  <c r="C35" i="21" s="1"/>
  <c r="C37" i="21" s="1"/>
  <c r="C38" i="21" s="1"/>
  <c r="I12" i="21"/>
  <c r="C21" i="21"/>
  <c r="C23" i="21" s="1"/>
  <c r="C27" i="21" s="1"/>
  <c r="C28" i="21" s="1"/>
  <c r="D7" i="21"/>
  <c r="M50" i="12"/>
  <c r="M31" i="12"/>
  <c r="R32" i="11"/>
  <c r="R45" i="11" s="1"/>
  <c r="N11" i="8"/>
  <c r="P14" i="11"/>
  <c r="M29" i="11"/>
  <c r="M34" i="11" s="1"/>
  <c r="M36" i="11" s="1"/>
  <c r="M24" i="11"/>
  <c r="M19" i="11"/>
  <c r="M20" i="11" s="1"/>
  <c r="M11" i="8"/>
  <c r="Q21" i="11"/>
  <c r="Q30" i="11" s="1"/>
  <c r="Q13" i="11"/>
  <c r="Q9" i="11"/>
  <c r="M49" i="12" l="1"/>
  <c r="M24" i="12"/>
  <c r="K54" i="12"/>
  <c r="P16" i="11"/>
  <c r="N24" i="11"/>
  <c r="N29" i="11"/>
  <c r="N34" i="11" s="1"/>
  <c r="N36" i="11" s="1"/>
  <c r="N19" i="11"/>
  <c r="N20" i="11" s="1"/>
  <c r="O17" i="11"/>
  <c r="O44" i="11"/>
  <c r="O23" i="11"/>
  <c r="I11" i="21"/>
  <c r="I13" i="21"/>
  <c r="L12" i="21"/>
  <c r="N12" i="21"/>
  <c r="J12" i="21"/>
  <c r="K12" i="21"/>
  <c r="M12" i="21"/>
  <c r="L53" i="12"/>
  <c r="M22" i="8"/>
  <c r="M15" i="8" s="1"/>
  <c r="M34" i="8"/>
  <c r="M31" i="8" s="1"/>
  <c r="Q14" i="11"/>
  <c r="N24" i="12"/>
  <c r="N49" i="12"/>
  <c r="S45" i="11"/>
  <c r="S13" i="11"/>
  <c r="S9" i="11"/>
  <c r="R9" i="11"/>
  <c r="R13" i="11"/>
  <c r="Q16" i="11" l="1"/>
  <c r="L54" i="12"/>
  <c r="O24" i="11"/>
  <c r="O29" i="11"/>
  <c r="O34" i="11" s="1"/>
  <c r="O36" i="11" s="1"/>
  <c r="O19" i="11"/>
  <c r="O20" i="11" s="1"/>
  <c r="I14" i="21"/>
  <c r="J13" i="21"/>
  <c r="M13" i="21"/>
  <c r="L13" i="21"/>
  <c r="K13" i="21"/>
  <c r="N13" i="21"/>
  <c r="M53" i="12"/>
  <c r="N22" i="8"/>
  <c r="N15" i="8" s="1"/>
  <c r="N34" i="8"/>
  <c r="N31" i="8" s="1"/>
  <c r="N53" i="12"/>
  <c r="O22" i="8"/>
  <c r="O15" i="8" s="1"/>
  <c r="O41" i="8" s="1"/>
  <c r="O34" i="8"/>
  <c r="O31" i="8" s="1"/>
  <c r="R14" i="11"/>
  <c r="S14" i="11"/>
  <c r="M41" i="8"/>
  <c r="M42" i="8" s="1"/>
  <c r="Q31" i="11" s="1"/>
  <c r="I10" i="21"/>
  <c r="J11" i="21"/>
  <c r="K11" i="21"/>
  <c r="N11" i="21"/>
  <c r="L11" i="21"/>
  <c r="M11" i="21"/>
  <c r="P44" i="11"/>
  <c r="P17" i="11"/>
  <c r="P23" i="11"/>
  <c r="N41" i="8" l="1"/>
  <c r="N42" i="8" s="1"/>
  <c r="R31" i="11" s="1"/>
  <c r="M54" i="12"/>
  <c r="R16" i="11"/>
  <c r="P24" i="11"/>
  <c r="P19" i="11"/>
  <c r="P20" i="11" s="1"/>
  <c r="P29" i="11"/>
  <c r="P34" i="11" s="1"/>
  <c r="P36" i="11" s="1"/>
  <c r="L10" i="21"/>
  <c r="M10" i="21"/>
  <c r="K10" i="21"/>
  <c r="J10" i="21"/>
  <c r="N10" i="21"/>
  <c r="N54" i="12"/>
  <c r="S16" i="11"/>
  <c r="K14" i="21"/>
  <c r="L14" i="21"/>
  <c r="M14" i="21"/>
  <c r="N14" i="21"/>
  <c r="J14" i="21"/>
  <c r="Q44" i="11"/>
  <c r="Q17" i="11"/>
  <c r="Q23" i="11"/>
  <c r="O42" i="8" l="1"/>
  <c r="S31" i="11" s="1"/>
  <c r="S44" i="11"/>
  <c r="S17" i="11"/>
  <c r="S23" i="11"/>
  <c r="R17" i="11"/>
  <c r="R44" i="11"/>
  <c r="R23" i="11"/>
  <c r="Q29" i="11"/>
  <c r="Q34" i="11" s="1"/>
  <c r="Q36" i="11" s="1"/>
  <c r="Q19" i="11"/>
  <c r="Q20" i="11" s="1"/>
  <c r="Q24" i="11"/>
  <c r="S24" i="11" l="1"/>
  <c r="S19" i="11"/>
  <c r="S29" i="11"/>
  <c r="S34" i="11" s="1"/>
  <c r="R29" i="11"/>
  <c r="R34" i="11" s="1"/>
  <c r="R36" i="11" s="1"/>
  <c r="R19" i="11"/>
  <c r="R20" i="11" s="1"/>
  <c r="R24" i="11"/>
  <c r="S36" i="11" l="1"/>
  <c r="S39" i="11"/>
  <c r="S20" i="11"/>
  <c r="S37" i="11"/>
  <c r="S40" i="11" l="1"/>
  <c r="D44" i="11"/>
  <c r="S38" i="11"/>
  <c r="D41" i="11"/>
  <c r="D7" i="11" l="1"/>
  <c r="D10" i="11" s="1"/>
  <c r="D12" i="11" s="1"/>
  <c r="D18" i="11"/>
  <c r="D21" i="11" s="1"/>
  <c r="D23" i="11" s="1"/>
  <c r="D42" i="11" l="1"/>
  <c r="D26" i="11"/>
  <c r="G63" i="11" s="1"/>
  <c r="C6" i="23"/>
  <c r="D45" i="11"/>
  <c r="D15" i="11"/>
  <c r="G50" i="11" s="1"/>
  <c r="C5" i="23"/>
  <c r="C7" i="23" l="1"/>
  <c r="C9" i="2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tc={E2D7D7A9-519C-0C45-B1D5-AC17C3680FC1}</author>
    <author>tc={8F12BC31-F8D1-FA40-BEDB-B8B5636B9AF2}</author>
    <author>tc={2CBB30EF-FDB6-1B48-9754-2DB3CCA61D76}</author>
    <author>tc={E234387F-180C-104F-A76F-352F31418CDF}</author>
    <author>tc={F9E58790-D71A-A845-B9F2-26F936208739}</author>
  </authors>
  <commentList>
    <comment ref="C3" authorId="0" shapeId="0" xr:uid="{E2D7D7A9-519C-0C45-B1D5-AC17C3680FC1}">
      <text>
        <t>[Threaded comment]
Your version of Excel allows you to read this threaded comment; however, any edits to it will get removed if the file is opened in a newer version of Excel. Learn more: https://go.microsoft.com/fwlink/?linkid=870924
Comment:
    Scenario toggle in DCF Main sheet</t>
      </text>
    </comment>
    <comment ref="N3" authorId="1" shapeId="0" xr:uid="{8F12BC31-F8D1-FA40-BEDB-B8B5636B9AF2}">
      <text>
        <t>[Threaded comment]
Your version of Excel allows you to read this threaded comment; however, any edits to it will get removed if the file is opened in a newer version of Excel. Learn more: https://go.microsoft.com/fwlink/?linkid=870924
Comment:
    Calculated based on Stand-Alone DCF of relevant methods, under base case.</t>
      </text>
    </comment>
    <comment ref="N4" authorId="2" shapeId="0" xr:uid="{2CBB30EF-FDB6-1B48-9754-2DB3CCA61D76}">
      <text>
        <t>[Threaded comment]
Your version of Excel allows you to read this threaded comment; however, any edits to it will get removed if the file is opened in a newer version of Excel. Learn more: https://go.microsoft.com/fwlink/?linkid=870924
Comment:
    Calculated based on Stand-Alone DCF of relevant methods, under base case.</t>
      </text>
    </comment>
    <comment ref="N13" authorId="3" shapeId="0" xr:uid="{E234387F-180C-104F-A76F-352F31418CDF}">
      <text>
        <t>[Threaded comment]
Your version of Excel allows you to read this threaded comment; however, any edits to it will get removed if the file is opened in a newer version of Excel. Learn more: https://go.microsoft.com/fwlink/?linkid=870924
Comment:
    Applying a pure EV/Sales multiple to current revenues yields a implied EV that is almost equal to Peleton’s current EV reflecting a fair valuation: However this approach fails to reflect Peleton’s growth prospects which constitute a significant component of its valuation</t>
      </text>
    </comment>
    <comment ref="B15" authorId="4" shapeId="0" xr:uid="{F9E58790-D71A-A845-B9F2-26F936208739}">
      <text>
        <t>[Threaded comment]
Your version of Excel allows you to read this threaded comment; however, any edits to it will get removed if the file is opened in a newer version of Excel. Learn more: https://go.microsoft.com/fwlink/?linkid=870924
Comment:
    The scenario average target price as computed by equally weighting each outcome (bull, bear and base) and determining an average target price between the three scenarios. The fact that it is close to the base case price target is reassuring.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tc={B4B8BD4E-AEC1-224F-8DD1-B17AE05596E6}</author>
    <author>tc={975A0FFD-4474-4944-8161-AC62BF579052}</author>
    <author>tc={C5016EC4-5E3E-C747-85FA-F4FC2056949F}</author>
    <author>tc={25AFC6A0-4643-1047-9A4A-FD589D3831E2}</author>
    <author>tc={3D247737-4C8E-474F-B7B9-64D210B8A929}</author>
    <author>tc={F58608D6-75E2-1643-BA33-B44A445FF919}</author>
  </authors>
  <commentList>
    <comment ref="M9" authorId="0" shapeId="0" xr:uid="{B4B8BD4E-AEC1-224F-8DD1-B17AE05596E6}">
      <text>
        <t xml:space="preserve">[Threaded comment]
Your version of Excel allows you to read this threaded comment; however, any edits to it will get removed if the file is opened in a newer version of Excel. Learn more: https://go.microsoft.com/fwlink/?linkid=870924
Comment:
    Note about anomalous revenue increase: this may look large but it is driven mainly by a surge in Bitcoin revenues, which are very low margin (2%), so this revenue boost isn’t what it looks like.
The reason for this is that Square records the notional value of Bitcoin sales as revenue rather than their commission, or spread on the sale. </t>
      </text>
    </comment>
    <comment ref="D11" authorId="1" shapeId="0" xr:uid="{975A0FFD-4474-4944-8161-AC62BF579052}">
      <text>
        <t>[Threaded comment]
Your version of Excel allows you to read this threaded comment; however, any edits to it will get removed if the file is opened in a newer version of Excel. Learn more: https://go.microsoft.com/fwlink/?linkid=870924
Comment:
    CapIQ as of today</t>
      </text>
    </comment>
    <comment ref="D47" authorId="2" shapeId="0" xr:uid="{C5016EC4-5E3E-C747-85FA-F4FC2056949F}">
      <text>
        <t>[Threaded comment]
Your version of Excel allows you to read this threaded comment; however, any edits to it will get removed if the file is opened in a newer version of Excel. Learn more: https://go.microsoft.com/fwlink/?linkid=870924
Comment:
    We set Corporate Tax Rate (Tc) as equal to Effective Tax Rate because…</t>
      </text>
    </comment>
    <comment ref="D52" authorId="3" shapeId="0" xr:uid="{25AFC6A0-4643-1047-9A4A-FD589D3831E2}">
      <text>
        <t xml:space="preserve">[Threaded comment]
Your version of Excel allows you to read this threaded comment; however, any edits to it will get removed if the file is opened in a newer version of Excel. Learn more: https://go.microsoft.com/fwlink/?linkid=870924
Comment:
    Weighted average interest rate on outstanding interest-bearing liabilities </t>
      </text>
    </comment>
    <comment ref="D54" authorId="4" shapeId="0" xr:uid="{3D247737-4C8E-474F-B7B9-64D210B8A929}">
      <text>
        <t>[Threaded comment]
Your version of Excel allows you to read this threaded comment; however, any edits to it will get removed if the file is opened in a newer version of Excel. Learn more: https://go.microsoft.com/fwlink/?linkid=870924
Comment:
    We obtained the raw CapIQ beta of 2.68 and and performed the Bloomberg “2/3, 1/3” adjustment to adjust the beta as it will tend to 1 as the company matures. We performed the adjustment as we believe that Square’s business risk will resemble PayPal’s more closely post-acquisition — PayPal’s beta is 1.09.</t>
      </text>
    </comment>
    <comment ref="D56" authorId="5" shapeId="0" xr:uid="{F58608D6-75E2-1643-BA33-B44A445FF919}">
      <text>
        <t>[Threaded comment]
Your version of Excel allows you to read this threaded comment; however, any edits to it will get removed if the file is opened in a newer version of Excel. Learn more: https://go.microsoft.com/fwlink/?linkid=870924
Comment:
    10-Year Treasury Yield as of November 25, 2020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tc={10BAB29A-3E5A-AA4D-9D2A-4B3372A9FCAF}</author>
    <author>tc={9D212F91-3405-2A41-B889-366A397BDC4A}</author>
    <author>tc={FB59A63D-4364-7846-A585-EE9E8AEFF775}</author>
    <author>tc={F962071F-5972-D14B-B45E-31A71B3C53F1}</author>
    <author>tc={2300FCF5-BF0F-9847-87C1-7235E61097F2}</author>
    <author>tc={EFCE055D-C0BF-3C49-B2AD-E24C6F1FF33D}</author>
    <author>tc={90026BBD-41E0-4E41-B41A-69EAA4E987B9}</author>
    <author>tc={F86D519E-C3C6-F546-8066-3EC696093264}</author>
  </authors>
  <commentList>
    <comment ref="B5" authorId="0" shapeId="0" xr:uid="{10BAB29A-3E5A-AA4D-9D2A-4B3372A9FCAF}">
      <text>
        <t>[Threaded comment]
Your version of Excel allows you to read this threaded comment; however, any edits to it will get removed if the file is opened in a newer version of Excel. Learn more: https://go.microsoft.com/fwlink/?linkid=870924
Comment:
    Base Case: We project that modest revenue synergies kick in within year one and grow conservatively to reach 4% by the end of the projection period
Bull Case: We project strong synergies kicking in within year one, and grow to reach 4.5% by the end of projection period.
Bear Case: We assume no synergies are immediately recognized and minor synergies slowly manifest by the end of the projection period if PayPal fails to fully integrate Square’s potential.
Justification: Square and PayPal have incredibly similar business models, making for easy integration. The merging of both of their ecosystems will create large cross-selling opportunities, and an increase in consolidated revenues.</t>
      </text>
    </comment>
    <comment ref="C12" authorId="1" shapeId="0" xr:uid="{9D212F91-3405-2A41-B889-366A397BDC4A}">
      <text>
        <t>[Threaded comment]
Your version of Excel allows you to read this threaded comment; however, any edits to it will get removed if the file is opened in a newer version of Excel. Learn more: https://go.microsoft.com/fwlink/?linkid=870924
Comment:
    1 standard deviation above the base case is 53.97% Gross Margin.</t>
      </text>
    </comment>
    <comment ref="D12" authorId="2" shapeId="0" xr:uid="{FB59A63D-4364-7846-A585-EE9E8AEFF775}">
      <text>
        <t>[Threaded comment]
Your version of Excel allows you to read this threaded comment; however, any edits to it will get removed if the file is opened in a newer version of Excel. Learn more: https://go.microsoft.com/fwlink/?linkid=870924
Comment:
    According to Capital IQ, PayPal’s Gross Margin is estimated to slightly decline, hovering slightly above 50% (2022E as 50.80%). As a rate of electronic transactions fee decreases as volume increases (major portion of COGS), we believe that COGS can converge to PayPal’s stand-alone projection levels. Therefore, we are selecting 2022E Gross Margin% as a base, with 1 standard deviations differences for bull and bear cases (reaching by end of 2027).
Reply:
    Rationale: It is also important to note that PayPal acts as both payment aggregator and payment processor when both consumers and merchants use PayPal accounts. Since Square only acts as a payment service provider, inclusion of Square’s service to PayPal network would allow a reduction in Square’s COGS (payment processing fees incurred in transactions).</t>
      </text>
    </comment>
    <comment ref="E12" authorId="3" shapeId="0" xr:uid="{F962071F-5972-D14B-B45E-31A71B3C53F1}">
      <text>
        <t>[Threaded comment]
Your version of Excel allows you to read this threaded comment; however, any edits to it will get removed if the file is opened in a newer version of Excel. Learn more: https://go.microsoft.com/fwlink/?linkid=870924
Comment:
    1 standard deviations lower than the base case is 47.63% Gross Margin.</t>
      </text>
    </comment>
    <comment ref="B19" authorId="4" shapeId="0" xr:uid="{2300FCF5-BF0F-9847-87C1-7235E61097F2}">
      <text>
        <t>[Threaded comment]
Your version of Excel allows you to read this threaded comment; however, any edits to it will get removed if the file is opened in a newer version of Excel. Learn more: https://go.microsoft.com/fwlink/?linkid=870924
Comment:
    Base Case: We project that a large portion of SG&amp;A cost synergies kick in within a year and gradually grow until it reaches 35% reduction at the end of 2027.
Bull Case: We project that a large portion of SG&amp;A cost synergies kick in within a year and gradually grow until it reaches 30% reduction at the end of 2027.
Bear Case: We project that a large portion of SG&amp;A cost synergies kick in within a year and gradually grow until it reaches 25% reduction at the end of 2027.
Justification: Due to redundant back office operations as well as PayPal’s existing strong operations support, Square can significantly reduce its SG&amp;A expenses while maintaining same level of operability.</t>
      </text>
    </comment>
    <comment ref="B26" authorId="5" shapeId="0" xr:uid="{EFCE055D-C0BF-3C49-B2AD-E24C6F1FF33D}">
      <text>
        <t>[Threaded comment]
Your version of Excel allows you to read this threaded comment; however, any edits to it will get removed if the file is opened in a newer version of Excel. Learn more: https://go.microsoft.com/fwlink/?linkid=870924
Comment:
    Base Case: We project that a large portion of R&amp;D cost synergies kick in within a year and gradually grow until it reaches 20% reduction at the end of 2027.
Bull Case: We project that a large portion of R&amp;D cost synergies kick in within a year and gradually grow until it reaches 15% reduction at the end of 2027.
Bear Case: We project that a large portion of R&amp;D cost synergies kick in within a year and gradually grow until it reaches 10% reduction at the end of 2027.
Justification: As Square can take a benefit of PayPal’s existing R&amp;D infrastructure and resources, Square can take advantage of PayPal’s economies of scale in R&amp;D.</t>
      </text>
    </comment>
    <comment ref="B33" authorId="6" shapeId="0" xr:uid="{90026BBD-41E0-4E41-B41A-69EAA4E987B9}">
      <text>
        <t>[Threaded comment]
Your version of Excel allows you to read this threaded comment; however, any edits to it will get removed if the file is opened in a newer version of Excel. Learn more: https://go.microsoft.com/fwlink/?linkid=870924
Comment:
    We do not assume any synergies arising from amortization charges</t>
      </text>
    </comment>
    <comment ref="B40" authorId="7" shapeId="0" xr:uid="{F86D519E-C3C6-F546-8066-3EC696093264}">
      <text>
        <t>[Threaded comment]
Your version of Excel allows you to read this threaded comment; however, any edits to it will get removed if the file is opened in a newer version of Excel. Learn more: https://go.microsoft.com/fwlink/?linkid=870924
Comment:
    Base Case: We project that modest revenue synergies kick in within year one and grow conservatively to reach 6% by the end of the projection period
Bull Case: We project strong synergies kicking in within year one, and grow to reach 7% by the end of projection period.
Bear Case: We project strong synergies kicking in within year one, and grow to reach 3.5% by the end of projection period.
Justification: As an integration of Square leads to general reduction in costs as every aspect of operations will be at least partially consolidated, there will be a moderate decrease in miscellaneous expenses in Operating Expenses.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tc={43DBCDFB-A5F9-BA4F-8CBC-2E5E798B98DD}</author>
    <author>tc={22D52885-6326-2149-A2C3-5218F683FA85}</author>
    <author>tc={FB7A0949-22DA-BD4B-9932-0065837B3FEC}</author>
    <author>tc={3C72A322-24D9-D947-9A3C-4BFD766E7530}</author>
    <author>tc={252D30B2-96EE-C141-82A0-E00520EE55C6}</author>
    <author>tc={3258CF71-690E-454D-A254-CC288E210335}</author>
    <author>tc={F7978609-8FB1-B448-B163-BB5278882879}</author>
    <author>tc={98F80C8D-7632-B744-BF85-9D5634B15A85}</author>
    <author>tc={53AB31AB-EC8C-9948-BD46-2B4A23FFE483}</author>
    <author>tc={CF0D3838-F87C-B144-AE58-E50231E60FF0}</author>
    <author>tc={DA90C7DB-3CA9-7F42-947D-AC96D4B2530D}</author>
    <author>tc={56FE5F1A-63FA-A547-9DDB-89F74708BB76}</author>
    <author>tc={F71186AB-00E3-6E47-AA8A-81482AB4B4B5}</author>
    <author>tc={8A997EED-FB7A-DF40-A1F6-1E04C1839F56}</author>
    <author>tc={BB0D8079-2C1C-494B-ADBB-1E9FF0282D9B}</author>
    <author>tc={490109E1-A761-554E-84CE-EFF65DC30E2B}</author>
  </authors>
  <commentList>
    <comment ref="G5" authorId="0" shapeId="0" xr:uid="{43DBCDFB-A5F9-BA4F-8CBC-2E5E798B98DD}">
      <text>
        <t>[Threaded comment]
Your version of Excel allows you to read this threaded comment; however, any edits to it will get removed if the file is opened in a newer version of Excel. Learn more: https://go.microsoft.com/fwlink/?linkid=870924
Comment:
    Square defines GPV as “the total dollar amount of all card payments processed by sellers using Square, net of refunds.” GPV is directly tied to and drives transaction revenues.</t>
      </text>
    </comment>
    <comment ref="B6" authorId="1" shapeId="0" xr:uid="{22D52885-6326-2149-A2C3-5218F683FA85}">
      <text>
        <t>[Threaded comment]
Your version of Excel allows you to read this threaded comment; however, any edits to it will get removed if the file is opened in a newer version of Excel. Learn more: https://go.microsoft.com/fwlink/?linkid=870924
Comment:
    Base case for Gross Payment Volume is an average of past 5 years growth. Hence, we added and subtracted 1 standard deviation for bull and bear case scenarios.</t>
      </text>
    </comment>
    <comment ref="G7" authorId="2" shapeId="0" xr:uid="{FB7A0949-22DA-BD4B-9932-0065837B3FEC}">
      <text>
        <t>[Threaded comment]
Your version of Excel allows you to read this threaded comment; however, any edits to it will get removed if the file is opened in a newer version of Excel. Learn more: https://go.microsoft.com/fwlink/?linkid=870924
Comment:
    Source: 2019 10-K</t>
      </text>
    </comment>
    <comment ref="B8" authorId="3" shapeId="0" xr:uid="{3C72A322-24D9-D947-9A3C-4BFD766E7530}">
      <text>
        <t>[Threaded comment]
Your version of Excel allows you to read this threaded comment; however, any edits to it will get removed if the file is opened in a newer version of Excel. Learn more: https://go.microsoft.com/fwlink/?linkid=870924
Comment:
    According to PayPal’s 2019 10-K, its Total payment Volume was $712 billion in 2019. Hence, it generated transaction revenue of $16.099 million, which suggests that effective transaction fee was approx. 2.26%. As Square becomes larger and attain greater coverage, it will be able to reach the above level to stay profitable. Since a high transaction fee is one of primary reasons for consumers to switch, we will assume that Square will decrease its commission rate eventually but we assume it will retain its ability to price higher than PayPal due to brand value.</t>
      </text>
    </comment>
    <comment ref="G13" authorId="4" shapeId="0" xr:uid="{252D30B2-96EE-C141-82A0-E00520EE55C6}">
      <text>
        <t>[Threaded comment]
Your version of Excel allows you to read this threaded comment; however, any edits to it will get removed if the file is opened in a newer version of Excel. Learn more: https://go.microsoft.com/fwlink/?linkid=870924
Comment:
    Subscription and service revenue is Cash App, Square Capital and Instant Transfer services.</t>
      </text>
    </comment>
    <comment ref="B14" authorId="5" shapeId="0" xr:uid="{3258CF71-690E-454D-A254-CC288E210335}">
      <text>
        <t>[Threaded comment]
Your version of Excel allows you to read this threaded comment; however, any edits to it will get removed if the file is opened in a newer version of Excel. Learn more: https://go.microsoft.com/fwlink/?linkid=870924
Comment:
    According to Statista, POS terminal market for service and software segments will increase from $8.09 billion in 2019 to $13.03 billion in 2025. Hence, we will be assuming a similar trend as a basic assumption for the S&amp;S growth. However, we also need to note outperformance of Square’s S&amp;S products in the market. By comparing revenue growth of the product with the industry growth, we found that Square outperformed the industry in a range of x1.57 to x2.12 in 2016-2019 periods. Therefore, we will be using max and min values of the outperformance as bull and base cases, with mean of the outperformance as our base case. Furthermore, the above rates were recalculated as CAGR for the input.</t>
      </text>
    </comment>
    <comment ref="B19" authorId="6" shapeId="0" xr:uid="{F7978609-8FB1-B448-B163-BB5278882879}">
      <text>
        <t>[Threaded comment]
Your version of Excel allows you to read this threaded comment; however, any edits to it will get removed if the file is opened in a newer version of Excel. Learn more: https://go.microsoft.com/fwlink/?linkid=870924
Comment:
    According to Statista, POS terminal market for hardware segment will increase from $8.12 billion in 2019 to $9.54 billion in 2025. Hence, we will be assuming a similar trend as a basic assumption for the hardware growth. However, we also need to note outperformance of Square’s hardware products in the market. By comparing revenue growth of the product with the industry growth, we found that Square outperformed the industry in a range of x0.87 to x2.49 in 2016-2019 periods. Therefore, we used mean+0.5 s.d. and mean-0.5 s.d. values of the outperformance as bull and bear cases, with mean of the outperformance as our base case. Furthermore, the above rates were recalculated as CAGR for the input.</t>
      </text>
    </comment>
    <comment ref="B23" authorId="7" shapeId="0" xr:uid="{98F80C8D-7632-B744-BF85-9D5634B15A85}">
      <text>
        <t>[Threaded comment]
Your version of Excel allows you to read this threaded comment; however, any edits to it will get removed if the file is opened in a newer version of Excel. Learn more: https://go.microsoft.com/fwlink/?linkid=870924
Comment:
    We project accelerated Bitcoin revenue growth due to fast initial adoption, but rapidly decrease growth rates as the Bitcoin broker market becomes more saturated.</t>
      </text>
    </comment>
    <comment ref="G34" authorId="8" shapeId="0" xr:uid="{53AB31AB-EC8C-9948-BD46-2B4A23FFE483}">
      <text>
        <t>[Threaded comment]
Your version of Excel allows you to read this threaded comment; however, any edits to it will get removed if the file is opened in a newer version of Excel. Learn more: https://go.microsoft.com/fwlink/?linkid=870924
Comment:
    Discontinued payment processing agreement with Starbucks.</t>
      </text>
    </comment>
    <comment ref="B39" authorId="9" shapeId="0" xr:uid="{CF0D3838-F87C-B144-AE58-E50231E60FF0}">
      <text>
        <t>[Threaded comment]
Your version of Excel allows you to read this threaded comment; however, any edits to it will get removed if the file is opened in a newer version of Excel. Learn more: https://go.microsoft.com/fwlink/?linkid=870924
Comment:
    We assume in the base case that  Square is able to maintain an average of historical margins, one standard deviation above the mean for the bull case, and one standard deviation below for the bear case to incorporate historical trends into our projections.</t>
      </text>
    </comment>
    <comment ref="B46" authorId="10" shapeId="0" xr:uid="{DA90C7DB-3CA9-7F42-947D-AC96D4B2530D}">
      <text>
        <t>[Threaded comment]
Your version of Excel allows you to read this threaded comment; however, any edits to it will get removed if the file is opened in a newer version of Excel. Learn more: https://go.microsoft.com/fwlink/?linkid=870924
Comment:
    We assume in the base case that  Square is able to maintain an average of historical margins, one standard deviation above the mean for the bull case, and one standard deviation below for the bear case to incorporate historical trends into our projections.</t>
      </text>
    </comment>
    <comment ref="B53" authorId="11" shapeId="0" xr:uid="{56FE5F1A-63FA-A547-9DDB-89F74708BB76}">
      <text>
        <t>[Threaded comment]
Your version of Excel allows you to read this threaded comment; however, any edits to it will get removed if the file is opened in a newer version of Excel. Learn more: https://go.microsoft.com/fwlink/?linkid=870924
Comment:
    We assume in the base case that  Square is able to maintain an average of historical margins, one standard deviation above the mean for the bull case, and one standard deviation below for the bear case to incorporate historical trends into our projections.</t>
      </text>
    </comment>
    <comment ref="B60" authorId="12" shapeId="0" xr:uid="{F71186AB-00E3-6E47-AA8A-81482AB4B4B5}">
      <text>
        <t>[Threaded comment]
Your version of Excel allows you to read this threaded comment; however, any edits to it will get removed if the file is opened in a newer version of Excel. Learn more: https://go.microsoft.com/fwlink/?linkid=870924
Comment:
    We assume the Square is gradually able to increase its pricing on Bitcoin-related services in all cases as they gain market share and increased pricing power. The rate of increase varies depending on the case scenario.</t>
      </text>
    </comment>
    <comment ref="G73" authorId="13" shapeId="0" xr:uid="{8A997EED-FB7A-DF40-A1F6-1E04C1839F56}">
      <text>
        <t>[Threaded comment]
Your version of Excel allows you to read this threaded comment; however, any edits to it will get removed if the file is opened in a newer version of Excel. Learn more: https://go.microsoft.com/fwlink/?linkid=870924
Comment:
    Discontinued payment processing agreement with Starbucks.</t>
      </text>
    </comment>
    <comment ref="B78" authorId="14" shapeId="0" xr:uid="{BB0D8079-2C1C-494B-ADBB-1E9FF0282D9B}">
      <text>
        <t>[Threaded comment]
Your version of Excel allows you to read this threaded comment; however, any edits to it will get removed if the file is opened in a newer version of Excel. Learn more: https://go.microsoft.com/fwlink/?linkid=870924
Comment:
    Our OpEx assumptions are based on FY2020 OpEx margins. We did this as we feel that older OpEx margins won’t represent the the future moving forward as Bitcoin revenues (which have very low gross margins) become a larger part of their revenue, ‘inflating’ it in a sense. 
Furthermore, their business model fundamentally shifts to a more subscription and serviced based one, and they are able to spread their OpEx over more greater revenues and improve fixed-cost leverage.</t>
      </text>
    </comment>
    <comment ref="B83" authorId="15" shapeId="0" xr:uid="{490109E1-A761-554E-84CE-EFF65DC30E2B}">
      <text>
        <t>[Threaded comment]
Your version of Excel allows you to read this threaded comment; however, any edits to it will get removed if the file is opened in a newer version of Excel. Learn more: https://go.microsoft.com/fwlink/?linkid=870924
Comment:
    We model R&amp;D expense declining as a percent of revenues as Square matures as a company.</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tc={EDB129AF-1EFE-8743-8B26-87E1AA8EA37A}</author>
    <author>tc={666FAB00-C0A1-EB4D-A90A-A10CD01C8C61}</author>
    <author>tc={902DD481-50CA-434D-82CF-13A17D83E04C}</author>
  </authors>
  <commentList>
    <comment ref="E4" authorId="0" shapeId="0" xr:uid="{EDB129AF-1EFE-8743-8B26-87E1AA8EA37A}">
      <text>
        <t>[Threaded comment]
Your version of Excel allows you to read this threaded comment; however, any edits to it will get removed if the file is opened in a newer version of Excel. Learn more: https://go.microsoft.com/fwlink/?linkid=870924
Comment:
    Source: Capital IQ</t>
      </text>
    </comment>
    <comment ref="H8" authorId="1" shapeId="0" xr:uid="{666FAB00-C0A1-EB4D-A90A-A10CD01C8C61}">
      <text>
        <t>[Threaded comment]
Your version of Excel allows you to read this threaded comment; however, any edits to it will get removed if the file is opened in a newer version of Excel. Learn more: https://go.microsoft.com/fwlink/?linkid=870924
Comment:
    LTM 12 months Sep-30-2020</t>
      </text>
    </comment>
    <comment ref="E28" authorId="2" shapeId="0" xr:uid="{902DD481-50CA-434D-82CF-13A17D83E04C}">
      <text>
        <t>[Threaded comment]
Your version of Excel allows you to read this threaded comment; however, any edits to it will get removed if the file is opened in a newer version of Excel. Learn more: https://go.microsoft.com/fwlink/?linkid=870924
Comment:
    List compiled via referencing precedent transactions list from DEFM14A filings of LinkedIn-Microsoft and Redhat-IBM. Precedent Transactions data extracted from Capital IQ.
Reply:
    LinkedIn: https://www.sec.gov/Archives/edgar/data/1271024/000104746916014430/a2229104zdefm14a.htm
Reply:
    Red Hat: https://www.sec.gov/Archives/edgar/data/1087423/000119312518339886/d654192dprem14a.htm</t>
      </text>
    </comment>
  </commentList>
</comments>
</file>

<file path=xl/sharedStrings.xml><?xml version="1.0" encoding="utf-8"?>
<sst xmlns="http://schemas.openxmlformats.org/spreadsheetml/2006/main" count="6013" uniqueCount="897">
  <si>
    <t>Implied Share Price (Scenario Toggle)</t>
  </si>
  <si>
    <t>Implied Share Price (Bull Scenario)</t>
  </si>
  <si>
    <t>Implied Share Price (Base Scenario)</t>
  </si>
  <si>
    <t>Implied Share Price (Bear Scenario)</t>
  </si>
  <si>
    <t>Football Field Data Table (Synergy)</t>
  </si>
  <si>
    <t>Currently Viewing:</t>
  </si>
  <si>
    <t>DCF | Exit Multiple</t>
  </si>
  <si>
    <t>Control Premium @ Exit Multiple</t>
  </si>
  <si>
    <t>DCF | TV @g∞</t>
  </si>
  <si>
    <t>Control Premium @ g∞</t>
  </si>
  <si>
    <t>Mean</t>
  </si>
  <si>
    <t>Bear Case: DCF (Exit Multiple)</t>
  </si>
  <si>
    <t>DCF | TV @ g∞</t>
  </si>
  <si>
    <t>Current Share Price</t>
  </si>
  <si>
    <t>Bear Case: DCF (g∞)</t>
  </si>
  <si>
    <t>Implied Upside</t>
  </si>
  <si>
    <t>Base Case: DCF (Exit Multiple)</t>
  </si>
  <si>
    <t>Base Case: DCF (g∞)</t>
  </si>
  <si>
    <t>Bull Case: DCF (Exit Multiple)</t>
  </si>
  <si>
    <t>Bull Case: DCF (g∞)</t>
  </si>
  <si>
    <t>Recommendation</t>
  </si>
  <si>
    <t>Football Field Data Table (Stand-Alone)</t>
  </si>
  <si>
    <t>Target Price (Base)</t>
  </si>
  <si>
    <t>Pure EV/Sales Multiple</t>
  </si>
  <si>
    <t>Implied Upside/(Downside)</t>
  </si>
  <si>
    <t>Target Price (Scenario Avg.)</t>
  </si>
  <si>
    <r>
      <rPr>
        <b/>
        <sz val="11.5"/>
        <color theme="1"/>
        <rFont val="Garamond"/>
        <family val="1"/>
      </rPr>
      <t>Conclusion &amp; Commentary:</t>
    </r>
    <r>
      <rPr>
        <sz val="11.5"/>
        <color theme="1"/>
        <rFont val="Garamond"/>
        <family val="1"/>
      </rPr>
      <t xml:space="preserve">
Square proved a challenging target to value due to the fact that it is in an accelerated growth phase as a young company. The Discounted Cash Flow method of valuation tends to be more suited to more mature companies in a steadier state, generating predictable cashflows. This brings us to our next observation: the implied enterprise values yielded by the exit multiple method were signficantly different to the ones yielded by the perpetuity growth method. We believe that the perpituity method is less optimal for valuing Square as it implies that the company reaches a steady state after the projection period, growing its cashflows to infinity at the same rate. As a young and fast-growing technology company, we do not believe that Square will acheive a steady state by the end of the projection period — it is constantly growing its ecosystem and expanding into new products, for example through its foray into financing with Square Capital. As such, we believe that its runway of growth extends past the projection period. That being said, the exit multiple method has its flaws. Square and its comparables trade at extremely high multiples, a phenomenon we observe more broadly in the technology sector. As such, we question whether these high industry multiples will be sustained into the future. However the benefit of the exit multiple method is that it allows us to incorporate market - based elements into our valuation.
Another learning from this valuation was to be critical of the quality of a firm's revenue. Square has enjoyed significant revenue growth on paper, and a deeper look reveals that this is driven by a strong increase in Bitcoin revenues. However as revealed in one of their 10-K footnotes, they record the entire notional value of a Bitcoin sale as revenue rather than the commission or spread they earn on the trade. As a result, Bitcoin revenues are extremely low margin (~2%), and the massive revenue increase doesn't translate into a bottom-line improvement. However, as Bitcoin trading revenues are extremely scalable, we also note that OpEx margins will improve significantly due to better fixed-cost leverage. 
Our standalone valuation indicates that Square is close to fairly valued or even overvalued right now. In order to justify its premium valuation, Square will have to unfailingly deliver strong revenue growth and simultaneous  margin improvements. This will be a challenge for management, but our Strategy and Culture analysis gives us strong faith that Square's innovative and growth-oriented leadership is in a good position to acheive this. When we account for synergy adjustments that an acquisition have the potential to yield, this deal becomes more viable. The success of this transaction will rely heavily on PayPal capturing the synergystic potential of this deal — if they are able to, they will be rewarded and if they don't this deal will be looked back on as a strategic blunder.
</t>
    </r>
  </si>
  <si>
    <t>Scenario 1 - Base Case: Our base case is based on the assumption that management is able to execute on their plan to expand their subscription and service revenues through intorduction of new products, and scale their transaction revenues internationally. The synergy adjustments assume that modest revenue synergies will kick in in year 1, and steadily grow. The cost synergies are more significant than the revenue synergies as Square benefits from redundancy eliminations.</t>
  </si>
  <si>
    <t xml:space="preserve">Scenario 2 - Bull Case: The bull case builds on the base case but assumes further that Square is able to realize their goal of becoming a market leader and strengthen their ecosystem into various subverticals. The synergy adjustments assume that both revenue and cost synergies manifest at a higher magnitude in year 1 and steadily grow as integration of the company proceeds successfully. </t>
  </si>
  <si>
    <t>Scenario 3 - Bear Case: The bear case is underpineed by the assumption that Square loses its makret position and momentum of growth as competition proflierates the market. As a result, their revenue growth slows, and they aren't able to scale their costs as well. The synergy adjustments are based on the assumption that PayPal fails to effectively integrate Square, and as a result only realize a small quantity of revenue and cost synergies.</t>
  </si>
  <si>
    <t>Scenario Toggle  
(Base = 1, Bull = 2, Bear = 3)</t>
  </si>
  <si>
    <t>Synergy Toggle  
(Stand-Alone = 1, Synergy Adjusted = 2)</t>
  </si>
  <si>
    <t>Implied Valuation (Exit Multiple)</t>
  </si>
  <si>
    <t>FCF Build</t>
  </si>
  <si>
    <t>Implied EV</t>
  </si>
  <si>
    <t>Less: Debt</t>
  </si>
  <si>
    <t>Revenue</t>
  </si>
  <si>
    <t>Plus: Cash</t>
  </si>
  <si>
    <t>% growth</t>
  </si>
  <si>
    <t>-</t>
  </si>
  <si>
    <t>Implied Equity Value</t>
  </si>
  <si>
    <t>Shares Outstanding</t>
  </si>
  <si>
    <t xml:space="preserve">COGS </t>
  </si>
  <si>
    <t>Implied Share Price</t>
  </si>
  <si>
    <t>Gross Profit</t>
  </si>
  <si>
    <t>% margin</t>
  </si>
  <si>
    <t>Operating Expenses</t>
  </si>
  <si>
    <t>Implied Valuation (Perpetuity Growth)</t>
  </si>
  <si>
    <t>EBITDA</t>
  </si>
  <si>
    <t xml:space="preserve">D&amp;A </t>
  </si>
  <si>
    <t>EBIT</t>
  </si>
  <si>
    <t xml:space="preserve">Effective Tax Rate </t>
  </si>
  <si>
    <t>Implied Valuation (Pure EV/Sales)</t>
  </si>
  <si>
    <t>Cashflow Adjustments</t>
  </si>
  <si>
    <t>EBIT (1-T)</t>
  </si>
  <si>
    <t xml:space="preserve">Plus: D&amp;A </t>
  </si>
  <si>
    <t>Plus: ∆ NWC</t>
  </si>
  <si>
    <t>Less: Capex</t>
  </si>
  <si>
    <t xml:space="preserve">FCF </t>
  </si>
  <si>
    <t>PV of FCF</t>
  </si>
  <si>
    <t>Terminal Value (Exit Multiple)</t>
  </si>
  <si>
    <t xml:space="preserve">PV of Terminal Value </t>
  </si>
  <si>
    <t>Assumptions</t>
  </si>
  <si>
    <t>Terminal Value (Perpetuity Growth)</t>
  </si>
  <si>
    <t>Exit Multiple (EV/EBITDA)</t>
  </si>
  <si>
    <t xml:space="preserve">Implied Terminal Growth </t>
  </si>
  <si>
    <t>TV as a % of EV</t>
  </si>
  <si>
    <t>Operating Ratios</t>
  </si>
  <si>
    <t>Perpetuity Growth (g∞)</t>
  </si>
  <si>
    <t>COGS/Sales</t>
  </si>
  <si>
    <t>Implied Exit Multiple</t>
  </si>
  <si>
    <t>OpEx/Sales</t>
  </si>
  <si>
    <t>CapEx/Sales</t>
  </si>
  <si>
    <t>EV/Sales Multiple</t>
  </si>
  <si>
    <t>Effective Tax Rate</t>
  </si>
  <si>
    <t>Sensitivity Analysis</t>
  </si>
  <si>
    <t>WACC Calculation</t>
  </si>
  <si>
    <t>Exit Multiple</t>
  </si>
  <si>
    <t>Capital Structure (% Debt)</t>
  </si>
  <si>
    <t>Debt</t>
  </si>
  <si>
    <t>WACC</t>
  </si>
  <si>
    <t>Cost of Debt</t>
  </si>
  <si>
    <t xml:space="preserve">Equity Value </t>
  </si>
  <si>
    <t>Beta</t>
  </si>
  <si>
    <t xml:space="preserve">Market Risk Premium </t>
  </si>
  <si>
    <t>Risk-Free Rate (10-Year Treasury)</t>
  </si>
  <si>
    <t xml:space="preserve">Cost of Equity </t>
  </si>
  <si>
    <t>Terminal Growth Rate</t>
  </si>
  <si>
    <t>Synergy Assumptions</t>
  </si>
  <si>
    <t>Bull</t>
  </si>
  <si>
    <t>Base</t>
  </si>
  <si>
    <t>Bear</t>
  </si>
  <si>
    <t>2021 Estimated Synergies</t>
  </si>
  <si>
    <t>USD Millions</t>
  </si>
  <si>
    <t>step (+)</t>
  </si>
  <si>
    <t>Standalone Revenue</t>
  </si>
  <si>
    <t>Estimated Revenue Synergies (%)</t>
  </si>
  <si>
    <t>Synergy Adjusted  Revenue</t>
  </si>
  <si>
    <t>COGS</t>
  </si>
  <si>
    <t>2021 Estimated Cost Savings</t>
  </si>
  <si>
    <t>Standalone COGS</t>
  </si>
  <si>
    <t>Estimated Cost Savings (%)</t>
  </si>
  <si>
    <t>Synergy Adjusted COGS</t>
  </si>
  <si>
    <t>Gross Margin</t>
  </si>
  <si>
    <t>SG&amp;A Expense</t>
  </si>
  <si>
    <t>Standalone SG&amp;A Expense</t>
  </si>
  <si>
    <t>Synergy Adjusted SG&amp;A Expense</t>
  </si>
  <si>
    <t>% of revenue</t>
  </si>
  <si>
    <t>R&amp;D Expense</t>
  </si>
  <si>
    <t>Standalone R&amp;D Expense</t>
  </si>
  <si>
    <t>Synergy Adjusted R&amp;D Expense</t>
  </si>
  <si>
    <t>Amortization of Goodwill &amp; Intangibles</t>
  </si>
  <si>
    <t>Standalone Amort. of Goodwill &amp; Intang.</t>
  </si>
  <si>
    <t>Synergy Adjusted Amort. of Goodwill &amp; Intang.</t>
  </si>
  <si>
    <t>Other Operating Expenses</t>
  </si>
  <si>
    <t>Standalone Other OpEx</t>
  </si>
  <si>
    <t>Synergy Adjusted Other OpEx</t>
  </si>
  <si>
    <t>Total OpEx</t>
  </si>
  <si>
    <t xml:space="preserve">USD millions </t>
  </si>
  <si>
    <t>Synergy Adjusted Operating Expenses</t>
  </si>
  <si>
    <t>Transaction Revenue Assumptions</t>
  </si>
  <si>
    <t xml:space="preserve">Transaction Revenue </t>
  </si>
  <si>
    <t xml:space="preserve">2020 Gross Payment Volume Growth </t>
  </si>
  <si>
    <t>Gross Payment Volume</t>
  </si>
  <si>
    <t>2020 Effective Transaction Commission</t>
  </si>
  <si>
    <t>% Effective Transaction Commission</t>
  </si>
  <si>
    <t>Total Transaction Revenue</t>
  </si>
  <si>
    <t>S &amp; S Revenue Assumptions</t>
  </si>
  <si>
    <t xml:space="preserve">Subscription &amp; Service Revenue </t>
  </si>
  <si>
    <t>2020 S &amp; S Revenue Growth</t>
  </si>
  <si>
    <t>Subscription &amp; Service Revenue</t>
  </si>
  <si>
    <t>Hardware Revenue Assumptions</t>
  </si>
  <si>
    <t xml:space="preserve">Hardware Revenue </t>
  </si>
  <si>
    <t>2020 Hardware Revenue Growth</t>
  </si>
  <si>
    <t>Hardware Revenue</t>
  </si>
  <si>
    <t>Bitcoin Revenue Assumptions</t>
  </si>
  <si>
    <t xml:space="preserve">Bitcoin Revenue </t>
  </si>
  <si>
    <t>2020 Bitcoin Revenue Growth</t>
  </si>
  <si>
    <t>step (*)</t>
  </si>
  <si>
    <t>Bitcoin Revenue</t>
  </si>
  <si>
    <t>Total Revenue</t>
  </si>
  <si>
    <t>Transaction Revenue</t>
  </si>
  <si>
    <t>Starbucks Transaction Revenue</t>
  </si>
  <si>
    <t>COGS (Transaction) Assumptions</t>
  </si>
  <si>
    <t>Transaction COGS</t>
  </si>
  <si>
    <t>2020 GP Margin</t>
  </si>
  <si>
    <t>Transaction Cost of Goods Sold</t>
  </si>
  <si>
    <t>Transaction Gross Profit</t>
  </si>
  <si>
    <t xml:space="preserve">Transaction Gross Profit Margin </t>
  </si>
  <si>
    <t>COGS (S &amp; S) Assumptions</t>
  </si>
  <si>
    <t>Subscription &amp; Service COGS</t>
  </si>
  <si>
    <t>S&amp;S Revenue</t>
  </si>
  <si>
    <t>S&amp;S Cost of Goods Sold</t>
  </si>
  <si>
    <t>S&amp;S Gross Profit</t>
  </si>
  <si>
    <t xml:space="preserve">S&amp;S Gross Profit Margin </t>
  </si>
  <si>
    <t>COGS (Hardware) Assumptions</t>
  </si>
  <si>
    <t>Hardware COGS</t>
  </si>
  <si>
    <t>Hardware Cost of Goods Sold</t>
  </si>
  <si>
    <t>Hardware Gross Profit</t>
  </si>
  <si>
    <t xml:space="preserve">Hardware Gross Profit Margin </t>
  </si>
  <si>
    <t>COGS (Bitcoin) Assumptions</t>
  </si>
  <si>
    <t>Bitcoin COGS</t>
  </si>
  <si>
    <t>Bitcoin Cost of Goods Sold</t>
  </si>
  <si>
    <t>Bitcoin Gross Profit</t>
  </si>
  <si>
    <t xml:space="preserve">Bitcoin Gross Profit Margin </t>
  </si>
  <si>
    <t>Total COGS</t>
  </si>
  <si>
    <t>Starbucks Transaction COGS</t>
  </si>
  <si>
    <t>Total Gross Profit</t>
  </si>
  <si>
    <t>SG&amp;A Expense Assumptions</t>
  </si>
  <si>
    <t>2020 SG&amp;A Exp as a % of Total Revenue</t>
  </si>
  <si>
    <t>R&amp;D Expense Assumptions</t>
  </si>
  <si>
    <t>2020 R&amp;D Exp as a % of Total Revenue</t>
  </si>
  <si>
    <t>Amort. Of Goodwill &amp; Intangibles Assumptions</t>
  </si>
  <si>
    <t xml:space="preserve">Amort. Of Goodwill &amp; Intangibles </t>
  </si>
  <si>
    <t>Other Operating Expenses Assumptions</t>
  </si>
  <si>
    <t>2020 Other OpEx as a % of Total Revenue</t>
  </si>
  <si>
    <t>Other Operating Expenses/(Income)</t>
  </si>
  <si>
    <t>Amort of Goodwill &amp; Intangibles</t>
  </si>
  <si>
    <t>Other OpEx</t>
  </si>
  <si>
    <t>Depreciation Build</t>
  </si>
  <si>
    <t>D&amp;A</t>
  </si>
  <si>
    <t>% of Sales</t>
  </si>
  <si>
    <t>Capex</t>
  </si>
  <si>
    <t>CapEx/Depreciation</t>
  </si>
  <si>
    <t xml:space="preserve">NWC Build </t>
  </si>
  <si>
    <t>Current Assets</t>
  </si>
  <si>
    <t xml:space="preserve">   Accounts Receivable</t>
  </si>
  <si>
    <t>Other Receivables</t>
  </si>
  <si>
    <t>Inventory</t>
  </si>
  <si>
    <t>% of COGS</t>
  </si>
  <si>
    <t>Prepaid Expenses</t>
  </si>
  <si>
    <t>% of SG&amp;A</t>
  </si>
  <si>
    <t>Loans Held For Sale</t>
  </si>
  <si>
    <t>Restricted Cash</t>
  </si>
  <si>
    <t xml:space="preserve">% of Sales </t>
  </si>
  <si>
    <t>Other Current Assets</t>
  </si>
  <si>
    <t>Current Liabilities</t>
  </si>
  <si>
    <t>Accounts Payable</t>
  </si>
  <si>
    <t>Accrued Expenses</t>
  </si>
  <si>
    <t>Unearned Revenue</t>
  </si>
  <si>
    <t>Other Current Liabilities</t>
  </si>
  <si>
    <t>Net Working Capital</t>
  </si>
  <si>
    <t>Change in Net Working Capital</t>
  </si>
  <si>
    <t>Exit Multiple Comps Justification</t>
  </si>
  <si>
    <t>Selected Comparable Companies (Exit Multiple)</t>
  </si>
  <si>
    <t xml:space="preserve">1) PayPal Holdings, Inc. is an appropriate comparable as it is under transaction-driven segment of eCommerce industry, with different strengths across similar product lines as Square.
2) Visa Inc. and Mastercard Incorporated are appropriate comparables as they operates under payment processing industry, a segment that takes up significant portion of Square's revenue stream as of 2019. Hence, as Square attempts to strengthen its processing network and capabilities (via Merchant Solutions and Cash App), it is quickly rising to compete against the above firms.
3) Shopify is an appropriate comparable as it perfectly matches product offerings provided by Square, which is a comprehensive eCommerce and retail solutions ranging from website creation to ERP/CRM solutions. </t>
  </si>
  <si>
    <t>As of 11/25/2020</t>
  </si>
  <si>
    <t>Company</t>
  </si>
  <si>
    <t>Market Cap</t>
  </si>
  <si>
    <t>Enterprise Value</t>
  </si>
  <si>
    <t>Debt/Equity</t>
  </si>
  <si>
    <t>LTM Sales</t>
  </si>
  <si>
    <t>LTM EBITDA</t>
  </si>
  <si>
    <t>EV/Sales</t>
  </si>
  <si>
    <t>EV/EBITDA</t>
  </si>
  <si>
    <t>LTM Rev Growth (%)</t>
  </si>
  <si>
    <t>PayPal Holdings, Inc.</t>
  </si>
  <si>
    <t>Visa Inc.</t>
  </si>
  <si>
    <t>Shopify Inc.</t>
  </si>
  <si>
    <t>NM</t>
  </si>
  <si>
    <t>Mastercard Incorporated</t>
  </si>
  <si>
    <t>Median</t>
  </si>
  <si>
    <t>Precedent Transactions Comps Justification</t>
  </si>
  <si>
    <t>Selected Precedent Transactions Companies (Exit Multiple)</t>
  </si>
  <si>
    <t>1) We selected the Red Hat, Inc. - IBM Corporation Merger as a comparable as the merger was an effort for IBM to strengthen a key segment of enterprise technology solutions, which is very similar to Square and PayPal (in terms of general industrial category, purpose of the merger, and transaction size).
2) Comparable transactions below are from the Precedent Transactions list compiled by Morgan Stanley for the Red Hat Board (Form DEFM14A) for the Red Hat, Inc. - IBM Corporation Merger:
- LinkedIn Corporation - Microsoft Corporation
- NetSuite Inc. - Oracle Corporation 
3) Comparable transactions below are from the Precedent Transactions list compiled by Qatalyst Partners to the LinkedIn Board (Form DEFM14A) for the LinkedIn Corporation - Microsoft Corporation Merger:
- Demandware, Inc. - Salesforce.com, Inc.
- Skype Technologies - Microsoft Corporation</t>
  </si>
  <si>
    <t>Enterprise Value /</t>
  </si>
  <si>
    <t>Control Premium</t>
  </si>
  <si>
    <t>Announcement
Date</t>
  </si>
  <si>
    <t>Target</t>
  </si>
  <si>
    <t>Acquirer</t>
  </si>
  <si>
    <t>Equity Value</t>
  </si>
  <si>
    <t>LTM P/E</t>
  </si>
  <si>
    <t>1 Week Prior</t>
  </si>
  <si>
    <t>1 Month Prior</t>
  </si>
  <si>
    <t>Red Hat, Inc.</t>
  </si>
  <si>
    <t>IBM Corporation</t>
  </si>
  <si>
    <t>NetSuite Inc.</t>
  </si>
  <si>
    <t>Oracle Corporation</t>
  </si>
  <si>
    <t>LinkedIn Corporation</t>
  </si>
  <si>
    <t>Microsoft Corporation</t>
  </si>
  <si>
    <t>Demandware, Inc.</t>
  </si>
  <si>
    <t>Salesforce.com, Inc.</t>
  </si>
  <si>
    <t>NA</t>
  </si>
  <si>
    <t>Skype Technologies</t>
  </si>
  <si>
    <t>Square, Inc. (NYSE:SQ) &gt; Financials &gt; Income Statement</t>
  </si>
  <si>
    <t>In Millions of the reported currency, except per share items.</t>
  </si>
  <si>
    <t>Template:</t>
  </si>
  <si>
    <t>Standard</t>
  </si>
  <si>
    <t> </t>
  </si>
  <si>
    <t>Restatement:</t>
  </si>
  <si>
    <t>Latest Filings</t>
  </si>
  <si>
    <t>Period Type:</t>
  </si>
  <si>
    <t>Annual</t>
  </si>
  <si>
    <t>Order:</t>
  </si>
  <si>
    <t>Latest on Right</t>
  </si>
  <si>
    <t>Currency:</t>
  </si>
  <si>
    <t>Reported Currency</t>
  </si>
  <si>
    <t>Conversion:</t>
  </si>
  <si>
    <t>Today's Spot Rate</t>
  </si>
  <si>
    <t>Units:</t>
  </si>
  <si>
    <t>S&amp;P Capital IQ (Default)</t>
  </si>
  <si>
    <t>Decimals:</t>
  </si>
  <si>
    <t>Capital IQ (Default)</t>
  </si>
  <si>
    <t>Source:</t>
  </si>
  <si>
    <t>Capital IQ &amp; Proprietary Data</t>
  </si>
  <si>
    <t>Income Statement</t>
  </si>
  <si>
    <t xml:space="preserve">For the Fiscal Period Ending
</t>
  </si>
  <si>
    <t>Reclassified
12 months
Dec-31-2015</t>
  </si>
  <si>
    <t>12 months
Dec-31-2016</t>
  </si>
  <si>
    <t>12 months
Dec-31-2017</t>
  </si>
  <si>
    <t>Reclassified
12 months
Dec-31-2018</t>
  </si>
  <si>
    <t>12 months
Dec-31-2019</t>
  </si>
  <si>
    <t>LTM
12 months
Sep-30-2020</t>
  </si>
  <si>
    <t>Currency</t>
  </si>
  <si>
    <t>USD</t>
  </si>
  <si>
    <t xml:space="preserve"> </t>
  </si>
  <si>
    <t>Transactions Revenue</t>
  </si>
  <si>
    <t>Subscription and Services-based Revenue</t>
  </si>
  <si>
    <t xml:space="preserve">  Total Revenue</t>
  </si>
  <si>
    <t>Transaction-based Costs</t>
  </si>
  <si>
    <t>Subscription and Services-based Costs</t>
  </si>
  <si>
    <t>Hardware Costs</t>
  </si>
  <si>
    <t>Bitcoin Costs</t>
  </si>
  <si>
    <t>Starbucks Transaction Costs</t>
  </si>
  <si>
    <t xml:space="preserve">  Total Cost Of Goods Sold</t>
  </si>
  <si>
    <t xml:space="preserve">  Gross Profit</t>
  </si>
  <si>
    <t>Selling General &amp; Admin Exp.</t>
  </si>
  <si>
    <t>R &amp; D Exp.</t>
  </si>
  <si>
    <t>Depreciation &amp; Amort.</t>
  </si>
  <si>
    <t>Amort. of Goodwill and Intangibles</t>
  </si>
  <si>
    <t>Other Operating Expense/(Income)</t>
  </si>
  <si>
    <t xml:space="preserve">  Other Operating Exp., Total</t>
  </si>
  <si>
    <t xml:space="preserve">  Operating Income</t>
  </si>
  <si>
    <t>Interest Expense</t>
  </si>
  <si>
    <t>Interest and Invest. Income</t>
  </si>
  <si>
    <t xml:space="preserve">  Net Interest Exp.</t>
  </si>
  <si>
    <t>Currency Exchange Gains (Loss)</t>
  </si>
  <si>
    <t>Other Non-Operating Inc. (Exp.)</t>
  </si>
  <si>
    <t xml:space="preserve">  EBT Excl. Unusual Items</t>
  </si>
  <si>
    <t>Impairment of Goodwill</t>
  </si>
  <si>
    <t>Gain (Loss) On Sale Of Invest.</t>
  </si>
  <si>
    <t>Gain (Loss) On Sale Of Assets</t>
  </si>
  <si>
    <t>Legal Settlements</t>
  </si>
  <si>
    <t>Other Unusual Items</t>
  </si>
  <si>
    <t xml:space="preserve">  EBT Incl. Unusual Items</t>
  </si>
  <si>
    <t>Income Tax Expense</t>
  </si>
  <si>
    <t xml:space="preserve">  Earnings from Cont. Ops.</t>
  </si>
  <si>
    <t>Earnings of Discontinued Ops.</t>
  </si>
  <si>
    <t>Extraord. Item &amp; Account. Change</t>
  </si>
  <si>
    <t xml:space="preserve">  Net Income to Company</t>
  </si>
  <si>
    <t>Minority Int. in Earnings</t>
  </si>
  <si>
    <t xml:space="preserve">  Net Income</t>
  </si>
  <si>
    <t>Pref. Dividends and Other Adj.</t>
  </si>
  <si>
    <t xml:space="preserve">  NI to Common Incl Extra Items</t>
  </si>
  <si>
    <t xml:space="preserve">  NI to Common Excl. Extra Items</t>
  </si>
  <si>
    <t>Per Share Items</t>
  </si>
  <si>
    <t>Basic EPS</t>
  </si>
  <si>
    <t>Basic EPS Excl. Extra Items</t>
  </si>
  <si>
    <t>Weighted Avg. Basic Shares Out.</t>
  </si>
  <si>
    <t>Diluted EPS</t>
  </si>
  <si>
    <t>Diluted EPS Excl. Extra Items</t>
  </si>
  <si>
    <t>Weighted Avg. Diluted Shares Out.</t>
  </si>
  <si>
    <t>Normalized Basic EPS</t>
  </si>
  <si>
    <t>Normalized Diluted EPS</t>
  </si>
  <si>
    <t>Dividends per Share</t>
  </si>
  <si>
    <t>Supplemental Items</t>
  </si>
  <si>
    <t>EBITA</t>
  </si>
  <si>
    <t>EBITDAR</t>
  </si>
  <si>
    <t>As Reported Total Revenue*</t>
  </si>
  <si>
    <t>Effective Tax Rate %</t>
  </si>
  <si>
    <t>Current Domestic Taxes</t>
  </si>
  <si>
    <t>Current Foreign Taxes</t>
  </si>
  <si>
    <t>Total Current Taxes</t>
  </si>
  <si>
    <t>Deferred Domestic Taxes</t>
  </si>
  <si>
    <t>Deferred Foreign Taxes</t>
  </si>
  <si>
    <t>Total Deferred Taxes</t>
  </si>
  <si>
    <t>Normalized Net Income</t>
  </si>
  <si>
    <t>Interest on Long Term Debt</t>
  </si>
  <si>
    <t>Filing Date</t>
  </si>
  <si>
    <t>Restatement Type</t>
  </si>
  <si>
    <t>RC</t>
  </si>
  <si>
    <t>NC</t>
  </si>
  <si>
    <t>O</t>
  </si>
  <si>
    <t>Calculation Type</t>
  </si>
  <si>
    <t>REP</t>
  </si>
  <si>
    <t>LTM</t>
  </si>
  <si>
    <t>Supplemental Operating Expense Items</t>
  </si>
  <si>
    <t>Advertising Exp.</t>
  </si>
  <si>
    <t>Selling and Marketing Exp.</t>
  </si>
  <si>
    <t>General and Administrative Exp.</t>
  </si>
  <si>
    <t>R&amp;D Exp.</t>
  </si>
  <si>
    <t>Net Rental Exp.</t>
  </si>
  <si>
    <t>Imputed Oper. Lease Interest Exp.</t>
  </si>
  <si>
    <t>Imputed Oper. Lease Depreciation</t>
  </si>
  <si>
    <t>Stock-Based Comp., COGS</t>
  </si>
  <si>
    <t>Stock-Based Comp., R&amp;D Exp.</t>
  </si>
  <si>
    <t>Stock-Based Comp., S&amp;M Exp.</t>
  </si>
  <si>
    <t>Stock-Based Comp., G&amp;A Exp.</t>
  </si>
  <si>
    <t>Stock-Based Comp., Unallocated</t>
  </si>
  <si>
    <t xml:space="preserve">  Stock-Based Comp., Total</t>
  </si>
  <si>
    <t>* Occasionally, certain items classified as Revenue by the company will be re-classified as other income if it is deemed to be non-recurring and unrelated to the core business of the firm. This field shows Total Revenue exactly as reported by the firm on its consolidated statement of income.</t>
  </si>
  <si>
    <t>Note: For multiple class companies, per share items are primary class equivalent, and for foreign companies listed as primary ADRs, per share items are ADR-equivalent.</t>
  </si>
  <si>
    <t xml:space="preserve">
               </t>
  </si>
  <si>
    <t>Square, Inc. (NYSE:SQ) &gt; Financials &gt; Balance Sheet</t>
  </si>
  <si>
    <t>Balance Sheet</t>
  </si>
  <si>
    <t xml:space="preserve">Balance Sheet as of:
</t>
  </si>
  <si>
    <t>ASSETS</t>
  </si>
  <si>
    <t>Cash And Equivalents</t>
  </si>
  <si>
    <t>Short Term Investments</t>
  </si>
  <si>
    <t xml:space="preserve">  Total Cash &amp; ST Investments</t>
  </si>
  <si>
    <t>Accounts Receivable</t>
  </si>
  <si>
    <t xml:space="preserve">  Total Receivables</t>
  </si>
  <si>
    <t>Prepaid Exp.</t>
  </si>
  <si>
    <t xml:space="preserve">  Total Current Assets</t>
  </si>
  <si>
    <t>Gross Property, Plant &amp; Equipment</t>
  </si>
  <si>
    <t>Accumulated Depreciation</t>
  </si>
  <si>
    <t xml:space="preserve">  Net Property, Plant &amp; Equipment</t>
  </si>
  <si>
    <t>Long-term Investments</t>
  </si>
  <si>
    <t>Goodwill</t>
  </si>
  <si>
    <t>Other Intangibles</t>
  </si>
  <si>
    <t>Deferred Tax Assets, LT</t>
  </si>
  <si>
    <t>Deferred Charges, LT</t>
  </si>
  <si>
    <t>Other Long-term Assets</t>
  </si>
  <si>
    <t>Total Assets</t>
  </si>
  <si>
    <t>LIABILITIES</t>
  </si>
  <si>
    <t>Accrued Exp.</t>
  </si>
  <si>
    <t>Short-term Borrowings</t>
  </si>
  <si>
    <t>Curr. Port. of Leases</t>
  </si>
  <si>
    <t>Unearned Revenue, Current</t>
  </si>
  <si>
    <t xml:space="preserve">  Total Current Liabilities</t>
  </si>
  <si>
    <t>Long-term Debt</t>
  </si>
  <si>
    <t>Long-term Leases</t>
  </si>
  <si>
    <t>Unearned Revenue, Non-Current</t>
  </si>
  <si>
    <t>Def. Tax Liability, Non-Curr.</t>
  </si>
  <si>
    <t>Other Non0Current Liabilities</t>
  </si>
  <si>
    <t>Total Liabilities</t>
  </si>
  <si>
    <t>Common Stock</t>
  </si>
  <si>
    <t>Additional Paid In Capital</t>
  </si>
  <si>
    <t>Retained Earnings</t>
  </si>
  <si>
    <t>Treasury Stock</t>
  </si>
  <si>
    <t>Comprehensive Inc. and Other</t>
  </si>
  <si>
    <t xml:space="preserve">  Total Common Equity</t>
  </si>
  <si>
    <t>Total Equity</t>
  </si>
  <si>
    <t>Total Liabilities And Equity</t>
  </si>
  <si>
    <t>Total Shares Out. on Filing Date</t>
  </si>
  <si>
    <t>Total Shares Out. on Balance Sheet Date</t>
  </si>
  <si>
    <t>Book Value/Share</t>
  </si>
  <si>
    <t>Tangible Book Value</t>
  </si>
  <si>
    <t>Tangible Book Value/Share</t>
  </si>
  <si>
    <t>Total Debt</t>
  </si>
  <si>
    <t>Net Debt</t>
  </si>
  <si>
    <t>Debt Equivalent Oper. Leases</t>
  </si>
  <si>
    <t>Inventory Method</t>
  </si>
  <si>
    <t>FIFO</t>
  </si>
  <si>
    <t>Machinery</t>
  </si>
  <si>
    <t>Construction in Progress</t>
  </si>
  <si>
    <t>Leasehold Improvements</t>
  </si>
  <si>
    <t>Full Time Employees</t>
  </si>
  <si>
    <t>RUP</t>
  </si>
  <si>
    <t>Note: For multiple class companies, total share counts are primary class equivalent, and for foreign companies listed as primary ADRs, total share counts are ADR0equivalent.</t>
  </si>
  <si>
    <t>Square, Inc. (NYSE:SQ) &gt; Financials &gt; Cash Flow</t>
  </si>
  <si>
    <t>Cash Flow</t>
  </si>
  <si>
    <t>Restated
12 months
Dec-31-2015</t>
  </si>
  <si>
    <t>Restated
12 months
Dec-31-2016</t>
  </si>
  <si>
    <t>12 months
Dec-31-2018</t>
  </si>
  <si>
    <t>Net Income</t>
  </si>
  <si>
    <t>Depreciation &amp; Amort., Total</t>
  </si>
  <si>
    <t>Other Amortization</t>
  </si>
  <si>
    <t>(Gain) Loss From Sale Of Assets</t>
  </si>
  <si>
    <t>(Gain) Loss On Sale Of Invest.</t>
  </si>
  <si>
    <t>Stock-Based Compensation</t>
  </si>
  <si>
    <t>Tax Benefit from Stock Options</t>
  </si>
  <si>
    <t>Other Operating Activities</t>
  </si>
  <si>
    <t>Change in Acc. Payable</t>
  </si>
  <si>
    <t>Change in Other Net Operating Assets</t>
  </si>
  <si>
    <t xml:space="preserve">  Cash from Ops.</t>
  </si>
  <si>
    <t>Capital Expenditure</t>
  </si>
  <si>
    <t>Sale of Property, Plant, and Equipment</t>
  </si>
  <si>
    <t>Cash Acquisitions</t>
  </si>
  <si>
    <t>Divestitures</t>
  </si>
  <si>
    <t>Sale (Purchase) of Intangible assets</t>
  </si>
  <si>
    <t>Invest. in Marketable &amp; Equity Securt.</t>
  </si>
  <si>
    <t>Net (Inc.) Dec. in Loans Originated/Sold</t>
  </si>
  <si>
    <t>Other Investing Activities</t>
  </si>
  <si>
    <t xml:space="preserve">  Cash from Investing</t>
  </si>
  <si>
    <t>Short Term Debt Issued</t>
  </si>
  <si>
    <t>Long-Term Debt Issued</t>
  </si>
  <si>
    <t>Total Debt Issued</t>
  </si>
  <si>
    <t>Short Term Debt Repaid</t>
  </si>
  <si>
    <t>Long-Term Debt Repaid</t>
  </si>
  <si>
    <t>Total Debt Repaid</t>
  </si>
  <si>
    <t>Issuance of Common Stock</t>
  </si>
  <si>
    <t>Repurchase of Common Stock</t>
  </si>
  <si>
    <t>Issuance of Pref. Stock</t>
  </si>
  <si>
    <t>Total Dividends Paid</t>
  </si>
  <si>
    <t>Special Dividend Paid</t>
  </si>
  <si>
    <t>Other Financing Activities</t>
  </si>
  <si>
    <t xml:space="preserve">  Cash from Financing</t>
  </si>
  <si>
    <t>Foreign Exchange Rate Adj.</t>
  </si>
  <si>
    <t xml:space="preserve">  Net Change in Cash</t>
  </si>
  <si>
    <t>Cash Interest Paid</t>
  </si>
  <si>
    <t>Cash Taxes Paid</t>
  </si>
  <si>
    <t>Levered Free Cash Flow</t>
  </si>
  <si>
    <t>Unlevered Free Cash Flow</t>
  </si>
  <si>
    <t>Net Debt Issued</t>
  </si>
  <si>
    <t>RS</t>
  </si>
  <si>
    <t>Square, Inc. (NYSE:SQ) &gt; Financials &gt; Capital Structure Details</t>
  </si>
  <si>
    <t>Principal Due in Millions of the reported currency.</t>
  </si>
  <si>
    <t>A 2019 filed Feb-26-2020</t>
  </si>
  <si>
    <t>FY 2019 (Dec-31-2019) Capital Structure As Reported Details</t>
  </si>
  <si>
    <t>Description</t>
  </si>
  <si>
    <t>Type</t>
  </si>
  <si>
    <t>Principal Due (USD)</t>
  </si>
  <si>
    <t>% of Total Debt</t>
  </si>
  <si>
    <t>Coupon/Base Rate</t>
  </si>
  <si>
    <t>Floating Rate</t>
  </si>
  <si>
    <t>Maturity</t>
  </si>
  <si>
    <t>Seniority</t>
  </si>
  <si>
    <t>Secured</t>
  </si>
  <si>
    <t>Convertible</t>
  </si>
  <si>
    <t>Repayment Currency</t>
  </si>
  <si>
    <t>Convertible Senior Notes Due in 2022</t>
  </si>
  <si>
    <t>Bonds and Notes</t>
  </si>
  <si>
    <t>Senior</t>
  </si>
  <si>
    <t>No</t>
  </si>
  <si>
    <t>Convertible Senior Notes Due in 2023</t>
  </si>
  <si>
    <t>Operating Lease Liabilities</t>
  </si>
  <si>
    <t>Capital Lease</t>
  </si>
  <si>
    <t>Yes</t>
  </si>
  <si>
    <t>Finance Leases</t>
  </si>
  <si>
    <t>Revolving Secured Credit Facility</t>
  </si>
  <si>
    <t>Revolving Credit</t>
  </si>
  <si>
    <t>Benchmark</t>
  </si>
  <si>
    <t>Weighted Avg Int. Rate</t>
  </si>
  <si>
    <t>FY 2018 (Dec-31-2018) Capital Structure As Reported Details</t>
  </si>
  <si>
    <t>0.375%</t>
  </si>
  <si>
    <t>0.500%</t>
  </si>
  <si>
    <t>Square, Inc. (NYSE:SQ) &gt; Capital IQ Estimates &gt; Consensus</t>
  </si>
  <si>
    <t>Currency: Reported Currency</t>
  </si>
  <si>
    <t>Conversion: Today's Spot Rate</t>
  </si>
  <si>
    <t>Units: Capital IQ (Default)</t>
  </si>
  <si>
    <t>Decimals: CapitalIQ (Default)</t>
  </si>
  <si>
    <t>Consolidation: Consolidated</t>
  </si>
  <si>
    <t>Acctg. Standard: US GAAP</t>
  </si>
  <si>
    <t>Current Fiscal Year End: Dec-31-2020 | FQ4 2020 Earnings Release Date: Feb-23-2021</t>
  </si>
  <si>
    <t>NYSE:SQ (USD)</t>
  </si>
  <si>
    <t>High/Low</t>
  </si>
  <si>
    <t>Std. Dev.</t>
  </si>
  <si>
    <t>No. of Estimates.</t>
  </si>
  <si>
    <t>NYSE:SQ - Recommendation: Outperform (2.31)</t>
  </si>
  <si>
    <t>Target Price</t>
  </si>
  <si>
    <t>300.00/44.00</t>
  </si>
  <si>
    <t>36/37</t>
  </si>
  <si>
    <t>1 - Buy</t>
  </si>
  <si>
    <t>LT Growth</t>
  </si>
  <si>
    <t>50.00%/36.07%</t>
  </si>
  <si>
    <t>5/5</t>
  </si>
  <si>
    <t>2 - Outperform</t>
  </si>
  <si>
    <t>Price Volatility</t>
  </si>
  <si>
    <t>High (4.86)</t>
  </si>
  <si>
    <t>3 - Hold</t>
  </si>
  <si>
    <t>Industry Recommendation</t>
  </si>
  <si>
    <t>Outperform (1.80)</t>
  </si>
  <si>
    <t>4 - Underperform</t>
  </si>
  <si>
    <t>5 - Sell</t>
  </si>
  <si>
    <t>0 - No Opinion</t>
  </si>
  <si>
    <t>Market Summary</t>
  </si>
  <si>
    <t>NYSE:SQ</t>
  </si>
  <si>
    <t>XNYS:</t>
  </si>
  <si>
    <t>NYSE:SQ (US GAAP|USD)</t>
  </si>
  <si>
    <t>US Dollar</t>
  </si>
  <si>
    <t>Current Quarter</t>
  </si>
  <si>
    <t>Current Year</t>
  </si>
  <si>
    <t>NTM</t>
  </si>
  <si>
    <t>Latest Price/Last Close Price</t>
  </si>
  <si>
    <t>207.78/207.78</t>
  </si>
  <si>
    <t>207.78/-</t>
  </si>
  <si>
    <t>EPS Normalized</t>
  </si>
  <si>
    <t>52 Wk. High/Low</t>
  </si>
  <si>
    <t>209.36/32.33</t>
  </si>
  <si>
    <t>-/-</t>
  </si>
  <si>
    <t>Company Level (US GAAP|USD)</t>
  </si>
  <si>
    <t>Potential Upside/Diff. from Target Price</t>
  </si>
  <si>
    <t>(5.83 %)/(11.43)</t>
  </si>
  <si>
    <t>Common Shares Per ADR</t>
  </si>
  <si>
    <t>Fiscal Years</t>
  </si>
  <si>
    <t xml:space="preserve">    Final Est.</t>
  </si>
  <si>
    <t xml:space="preserve">    Median</t>
  </si>
  <si>
    <t xml:space="preserve">    High</t>
  </si>
  <si>
    <t xml:space="preserve">    Low</t>
  </si>
  <si>
    <t xml:space="preserve">    Std. Dev.</t>
  </si>
  <si>
    <t xml:space="preserve">    No. of Estimates</t>
  </si>
  <si>
    <t>8/13</t>
  </si>
  <si>
    <t>13/25</t>
  </si>
  <si>
    <t>32/33</t>
  </si>
  <si>
    <t>34/34</t>
  </si>
  <si>
    <t>36/39</t>
  </si>
  <si>
    <t>37/40</t>
  </si>
  <si>
    <t>38/40</t>
  </si>
  <si>
    <t>28/30</t>
  </si>
  <si>
    <t>3/5</t>
  </si>
  <si>
    <t xml:space="preserve">    Guidance Low</t>
  </si>
  <si>
    <t xml:space="preserve">    Guidance High</t>
  </si>
  <si>
    <t xml:space="preserve">    Acctg. Standard</t>
  </si>
  <si>
    <t>US GAAP</t>
  </si>
  <si>
    <t>EPS (GAAP)</t>
  </si>
  <si>
    <t>6/9</t>
  </si>
  <si>
    <t>18/21</t>
  </si>
  <si>
    <t>21/21</t>
  </si>
  <si>
    <t>14/14</t>
  </si>
  <si>
    <t>15/18</t>
  </si>
  <si>
    <t>19/20</t>
  </si>
  <si>
    <t>14/15</t>
  </si>
  <si>
    <t>1/2</t>
  </si>
  <si>
    <t>Cash Earnings / Share</t>
  </si>
  <si>
    <t>1/1</t>
  </si>
  <si>
    <t>DPS</t>
  </si>
  <si>
    <t>3/3</t>
  </si>
  <si>
    <t>4/4</t>
  </si>
  <si>
    <t>6/6</t>
  </si>
  <si>
    <t>7/7</t>
  </si>
  <si>
    <t>Book Value / Share</t>
  </si>
  <si>
    <t>8/8</t>
  </si>
  <si>
    <t>5/8</t>
  </si>
  <si>
    <t>Net Asset Value Per Share</t>
  </si>
  <si>
    <t>CFPS</t>
  </si>
  <si>
    <t>2/3</t>
  </si>
  <si>
    <t>2/2</t>
  </si>
  <si>
    <t>4/5</t>
  </si>
  <si>
    <t>3/6</t>
  </si>
  <si>
    <t>4/6</t>
  </si>
  <si>
    <t>2/4</t>
  </si>
  <si>
    <t>Company Level (USD)</t>
  </si>
  <si>
    <t>12/13</t>
  </si>
  <si>
    <t>24/26</t>
  </si>
  <si>
    <t>29/31</t>
  </si>
  <si>
    <t>27/30</t>
  </si>
  <si>
    <t>31/37</t>
  </si>
  <si>
    <t>28/37</t>
  </si>
  <si>
    <t>32/37</t>
  </si>
  <si>
    <t>26/29</t>
  </si>
  <si>
    <t>10/11</t>
  </si>
  <si>
    <t>23/26</t>
  </si>
  <si>
    <t>30/31</t>
  </si>
  <si>
    <t>28/29</t>
  </si>
  <si>
    <t>28/33</t>
  </si>
  <si>
    <t>30/34</t>
  </si>
  <si>
    <t>32/34</t>
  </si>
  <si>
    <t>27/28</t>
  </si>
  <si>
    <t>3/4</t>
  </si>
  <si>
    <t>12/12</t>
  </si>
  <si>
    <t>18/24</t>
  </si>
  <si>
    <t>25/30</t>
  </si>
  <si>
    <t>18/25</t>
  </si>
  <si>
    <t>19/27</t>
  </si>
  <si>
    <t>23/31</t>
  </si>
  <si>
    <t>24/31</t>
  </si>
  <si>
    <t>20/24</t>
  </si>
  <si>
    <t>9/9</t>
  </si>
  <si>
    <t>13/15</t>
  </si>
  <si>
    <t>20/23</t>
  </si>
  <si>
    <t>19/26</t>
  </si>
  <si>
    <t>21/25</t>
  </si>
  <si>
    <t>17/21</t>
  </si>
  <si>
    <t>EBT (Excl. Excep)</t>
  </si>
  <si>
    <t>7/10</t>
  </si>
  <si>
    <t>12/15</t>
  </si>
  <si>
    <t>3/8</t>
  </si>
  <si>
    <t>4/7</t>
  </si>
  <si>
    <t>5/9</t>
  </si>
  <si>
    <t>4/10</t>
  </si>
  <si>
    <t>6/10</t>
  </si>
  <si>
    <t>EBT (GAAP)</t>
  </si>
  <si>
    <t>10/10</t>
  </si>
  <si>
    <t>17/18</t>
  </si>
  <si>
    <t>25/25</t>
  </si>
  <si>
    <t>18/19</t>
  </si>
  <si>
    <t>17/20</t>
  </si>
  <si>
    <t>22/23</t>
  </si>
  <si>
    <t>23/23</t>
  </si>
  <si>
    <t>19/19</t>
  </si>
  <si>
    <t>Net Income (Excl. Excep)</t>
  </si>
  <si>
    <t>11/22</t>
  </si>
  <si>
    <t>23/25</t>
  </si>
  <si>
    <t>26/26</t>
  </si>
  <si>
    <t>24/28</t>
  </si>
  <si>
    <t>25/28</t>
  </si>
  <si>
    <t>21/22</t>
  </si>
  <si>
    <t>Net Income (GAAP)</t>
  </si>
  <si>
    <t>9/10</t>
  </si>
  <si>
    <t>19/23</t>
  </si>
  <si>
    <t>24/25</t>
  </si>
  <si>
    <t>2/5</t>
  </si>
  <si>
    <t>3/7</t>
  </si>
  <si>
    <t>5/7</t>
  </si>
  <si>
    <t>Net Asset Value</t>
  </si>
  <si>
    <t>Depreciation &amp; Amortization</t>
  </si>
  <si>
    <t>17/17</t>
  </si>
  <si>
    <t>15/15</t>
  </si>
  <si>
    <t>14/16</t>
  </si>
  <si>
    <t>16/20</t>
  </si>
  <si>
    <t>13/17</t>
  </si>
  <si>
    <t>Cash From Operations</t>
  </si>
  <si>
    <t>13/13</t>
  </si>
  <si>
    <t>11/14</t>
  </si>
  <si>
    <t>9/11</t>
  </si>
  <si>
    <t>9/12</t>
  </si>
  <si>
    <t>11/12</t>
  </si>
  <si>
    <t>8/9</t>
  </si>
  <si>
    <t>Free Cash Flow</t>
  </si>
  <si>
    <t>5/11</t>
  </si>
  <si>
    <t>6/12</t>
  </si>
  <si>
    <t>4/8</t>
  </si>
  <si>
    <t>7/9</t>
  </si>
  <si>
    <t>7/8</t>
  </si>
  <si>
    <t>Gross Margin %</t>
  </si>
  <si>
    <t>11/15</t>
  </si>
  <si>
    <t>11/16</t>
  </si>
  <si>
    <t>6/13</t>
  </si>
  <si>
    <t>6/15</t>
  </si>
  <si>
    <t>12/14</t>
  </si>
  <si>
    <t>ROE %</t>
  </si>
  <si>
    <t>6/8</t>
  </si>
  <si>
    <t>ROA %</t>
  </si>
  <si>
    <t>1/4</t>
  </si>
  <si>
    <t>TEV</t>
  </si>
  <si>
    <t>Fiscal Quarters</t>
  </si>
  <si>
    <t>FQ4 2015 - Dec 2015</t>
  </si>
  <si>
    <t>FQ1 2016 - Mar 2016</t>
  </si>
  <si>
    <t>FQ2 2016 - Jun 2016</t>
  </si>
  <si>
    <t>FQ3 2016 - Sep 2016</t>
  </si>
  <si>
    <t>FQ4 2016 - Dec 2016</t>
  </si>
  <si>
    <t>FQ1 2017 - Mar 2017</t>
  </si>
  <si>
    <t>FQ2 2017 - Jun 2017</t>
  </si>
  <si>
    <t>FQ3 2017 - Sep 2017</t>
  </si>
  <si>
    <t>FQ4 2017 - Dec 2017</t>
  </si>
  <si>
    <t>FQ1 2018 - Mar 2018</t>
  </si>
  <si>
    <t>FQ2 2018 - Jun 2018</t>
  </si>
  <si>
    <t>FQ3 2018 - Sep 2018</t>
  </si>
  <si>
    <t>FQ4 2018 - Dec 2018</t>
  </si>
  <si>
    <t>FQ1 2019 - Mar 2019</t>
  </si>
  <si>
    <t>FQ2 2019 - Jun 2019</t>
  </si>
  <si>
    <t>FQ3 2019 - Sep 2019</t>
  </si>
  <si>
    <t>FQ4 2019 - Dec 2019</t>
  </si>
  <si>
    <t>FQ1 2020 - Mar 2020</t>
  </si>
  <si>
    <t>FQ2 2020 - Jun 2020</t>
  </si>
  <si>
    <t>FQ3 2020 - Sep 2020</t>
  </si>
  <si>
    <t>FQ4 2020 - Dec 2020</t>
  </si>
  <si>
    <t>FQ1 2021 - Mar 2021</t>
  </si>
  <si>
    <t>FQ2 2021 - Jun 2021</t>
  </si>
  <si>
    <t>FQ3 2021 - Sep 2021</t>
  </si>
  <si>
    <t>FQ4 2021 - Dec 2021</t>
  </si>
  <si>
    <t>FQ1 2022 - Mar 2022</t>
  </si>
  <si>
    <t>FQ2 2022 - Jun 2022</t>
  </si>
  <si>
    <t>FQ3 2022 - Sep 2022</t>
  </si>
  <si>
    <t>FQ4 2022 - Dec 2022</t>
  </si>
  <si>
    <t>9/13</t>
  </si>
  <si>
    <t>13/14</t>
  </si>
  <si>
    <t>11/19</t>
  </si>
  <si>
    <t>8/18</t>
  </si>
  <si>
    <t>11/23</t>
  </si>
  <si>
    <t>24/24</t>
  </si>
  <si>
    <t>28/28</t>
  </si>
  <si>
    <t>32/32</t>
  </si>
  <si>
    <t>26/33</t>
  </si>
  <si>
    <t>33/33</t>
  </si>
  <si>
    <t>33/34</t>
  </si>
  <si>
    <t>35/35</t>
  </si>
  <si>
    <t>35/36</t>
  </si>
  <si>
    <t>33/35</t>
  </si>
  <si>
    <t>29/30</t>
  </si>
  <si>
    <t>26/27</t>
  </si>
  <si>
    <t>16/17</t>
  </si>
  <si>
    <t>16/18</t>
  </si>
  <si>
    <t>18/18</t>
  </si>
  <si>
    <t>15/16</t>
  </si>
  <si>
    <t>1/3</t>
  </si>
  <si>
    <t>20/20</t>
  </si>
  <si>
    <t>22/22</t>
  </si>
  <si>
    <t>29/29</t>
  </si>
  <si>
    <t>23/30</t>
  </si>
  <si>
    <t>31/32</t>
  </si>
  <si>
    <t>30/32</t>
  </si>
  <si>
    <t>25/29</t>
  </si>
  <si>
    <t>27/31</t>
  </si>
  <si>
    <t>26/31</t>
  </si>
  <si>
    <t>22/26</t>
  </si>
  <si>
    <t>27/27</t>
  </si>
  <si>
    <t>23/29</t>
  </si>
  <si>
    <t>30/30</t>
  </si>
  <si>
    <t>20/21</t>
  </si>
  <si>
    <t>8/10</t>
  </si>
  <si>
    <t>15/17</t>
  </si>
  <si>
    <t>15/19</t>
  </si>
  <si>
    <t>23/27</t>
  </si>
  <si>
    <t>18/22</t>
  </si>
  <si>
    <t>13/24</t>
  </si>
  <si>
    <t>12/22</t>
  </si>
  <si>
    <t>15/21</t>
  </si>
  <si>
    <t>17/25</t>
  </si>
  <si>
    <t>16/25</t>
  </si>
  <si>
    <t>16/24</t>
  </si>
  <si>
    <t>16/22</t>
  </si>
  <si>
    <t>17/22</t>
  </si>
  <si>
    <t>17/23</t>
  </si>
  <si>
    <t>3/10</t>
  </si>
  <si>
    <t>10/12</t>
  </si>
  <si>
    <t>13/16</t>
  </si>
  <si>
    <t>15/20</t>
  </si>
  <si>
    <t>14/18</t>
  </si>
  <si>
    <t>16/16</t>
  </si>
  <si>
    <t>7/15</t>
  </si>
  <si>
    <t>8/16</t>
  </si>
  <si>
    <t>20/22</t>
  </si>
  <si>
    <t>12/16</t>
  </si>
  <si>
    <t>11/11</t>
  </si>
  <si>
    <t>5/6</t>
  </si>
  <si>
    <t>1</t>
  </si>
  <si>
    <t>6/7</t>
  </si>
  <si>
    <t>8/12</t>
  </si>
  <si>
    <t>6/11</t>
  </si>
  <si>
    <t>7/13</t>
  </si>
  <si>
    <t>7/14</t>
  </si>
  <si>
    <t>10/13</t>
  </si>
  <si>
    <t>Buyer and Target Stock Information</t>
  </si>
  <si>
    <t>PayPal's Stock Price ($)</t>
  </si>
  <si>
    <t>PayPal's Shares Outstanding (Billion)</t>
  </si>
  <si>
    <t xml:space="preserve">Square's Stock Price ($) </t>
  </si>
  <si>
    <t>Square's Shares Outstanding (Billion)</t>
  </si>
  <si>
    <t>Items</t>
  </si>
  <si>
    <t>Values</t>
  </si>
  <si>
    <t>Comments</t>
  </si>
  <si>
    <t>Square Current Trading Mkt Cap ($ Billion)</t>
  </si>
  <si>
    <t>We assign a control premium of 56% equal to the median of comparable precedent transactions. Among the comps, based on the most similar precedent transactions (eg. Salesforce buying Demandware, IBM buying Red Hat), the premium ranges from 40% to 66%. Therefore, a 56% premium seems reasonable to use</t>
    <phoneticPr fontId="35" type="noConversion"/>
  </si>
  <si>
    <t>Acquisition Cost ($ Billion)</t>
  </si>
  <si>
    <t>PayPal's Cash Balance ($ Billion)</t>
  </si>
  <si>
    <t xml:space="preserve">We chose the cost of cash by looking at the current 1 year treasury rate, as the foregone interest on cash. This had the cheapeast cost compared to the other financing options, so we decided to start the deal with a 75% payment of cash and short term securities. </t>
  </si>
  <si>
    <t xml:space="preserve">Percentage of Cash used in Acquisition </t>
  </si>
  <si>
    <t>PayPal's Short-term Securities ($ Billion)</t>
  </si>
  <si>
    <t>Percentage of Short-term Securities used in Acquisition</t>
  </si>
  <si>
    <t>Expected Financing from Cash ($ Billion)</t>
    <phoneticPr fontId="35" type="noConversion"/>
  </si>
  <si>
    <t xml:space="preserve">We determine the amount of debt to take on by looking at comparable companies' leverage level. Shift4 represent the growing comps with the most similar business model while Visa and Mastercard represent the more mature type of companies in this sector. Both of these types of companies' leverage level indicate that a Debt/Common Equity ratio around 142% would be reasonable. </t>
  </si>
  <si>
    <t>Target Debt / Common Equity Ratio</t>
  </si>
  <si>
    <t>PayPal's Current Debt / Common Equity Ratio</t>
  </si>
  <si>
    <t>PayPal's Current Common Equity ($ Billion)</t>
  </si>
  <si>
    <t>Expected Financing from Debt ($ Billion)</t>
    <phoneticPr fontId="35" type="noConversion"/>
  </si>
  <si>
    <t>Expected Financing from Equity ($ Billion)</t>
  </si>
  <si>
    <t xml:space="preserve">The rest of the financing comes from issuing more shares, and we left this payment method to the end after we exhausted are cash and debt options due to the fact that PayPal's cost of equity is higher than its cost of cash and cost of debt. </t>
  </si>
  <si>
    <t>Expected Shares Issued (Billion)</t>
  </si>
  <si>
    <t>Exchange Ratio</t>
  </si>
  <si>
    <t>Deal Financing</t>
    <phoneticPr fontId="35" type="noConversion"/>
  </si>
  <si>
    <t>Expected Financing from Cash %</t>
    <phoneticPr fontId="35" type="noConversion"/>
  </si>
  <si>
    <t>Expected Financing from Debt %</t>
    <phoneticPr fontId="35" type="noConversion"/>
  </si>
  <si>
    <t>Expected Financing from Equity %</t>
    <phoneticPr fontId="35" type="noConversion"/>
  </si>
  <si>
    <t>Cost Analysis</t>
    <phoneticPr fontId="35" type="noConversion"/>
  </si>
  <si>
    <t>Comments</t>
    <phoneticPr fontId="35" type="noConversion"/>
  </si>
  <si>
    <t>Cost of Cash</t>
  </si>
  <si>
    <t>We used the current 1-year Treasury yield for cost of cash since we expect these cash to keep on our balance for around one year</t>
    <phoneticPr fontId="35" type="noConversion"/>
  </si>
  <si>
    <t>We used the yield of BBB+ bonds (PayPal is rated as BBB+)</t>
    <phoneticPr fontId="35" type="noConversion"/>
  </si>
  <si>
    <t>Cost of Equity</t>
  </si>
  <si>
    <t>We used CAPM to calculate cost of issuing more equities</t>
    <phoneticPr fontId="35" type="noConversion"/>
  </si>
  <si>
    <t>CAPM</t>
    <phoneticPr fontId="35" type="noConversion"/>
  </si>
  <si>
    <t>MRP</t>
  </si>
  <si>
    <t>Rf</t>
  </si>
  <si>
    <t>Buyer and Seller Stock Info</t>
    <phoneticPr fontId="35" type="noConversion"/>
  </si>
  <si>
    <t>Combined P/E</t>
    <phoneticPr fontId="35" type="noConversion"/>
  </si>
  <si>
    <t>PayPal ER</t>
  </si>
  <si>
    <t>Square ER</t>
    <phoneticPr fontId="35" type="noConversion"/>
  </si>
  <si>
    <t>PayPal Share Price</t>
  </si>
  <si>
    <t>Square Share Price</t>
  </si>
  <si>
    <t>PayPal Shares Outstanding (Bil)</t>
  </si>
  <si>
    <t>Square Shares Outstanding (Bil)</t>
  </si>
  <si>
    <t>Net Income of New Co.</t>
    <phoneticPr fontId="35" type="noConversion"/>
  </si>
  <si>
    <t>PayPal Net Income</t>
  </si>
  <si>
    <t>We only apply the tax effect to the earnings contributed by Square and the synergies as the earnings contributed by PayPal is already taxed. We use PayPal's effective tax rate because the earnings are going to be taxed under PayPal's income statement. We also assumed a transaction cost of 0.16%</t>
    <phoneticPr fontId="35" type="noConversion"/>
  </si>
  <si>
    <t>Synergy adjusted Square Net Income ($ Bil)</t>
    <phoneticPr fontId="35" type="noConversion"/>
  </si>
  <si>
    <t>Cost of Cash + Cost of Debt</t>
    <phoneticPr fontId="35" type="noConversion"/>
  </si>
  <si>
    <t>Transaction Cost ($ Bil)</t>
    <phoneticPr fontId="35" type="noConversion"/>
  </si>
  <si>
    <t>PayPal Effective Tax Rate</t>
    <phoneticPr fontId="35" type="noConversion"/>
  </si>
  <si>
    <t>New Co Net Income</t>
    <phoneticPr fontId="35" type="noConversion"/>
  </si>
  <si>
    <t>PE Estimation</t>
    <phoneticPr fontId="35" type="noConversion"/>
  </si>
  <si>
    <t>PayPal's PE</t>
  </si>
  <si>
    <t>We calculate the expected PE by taking a weighted average of PayPal and Square's current PE. Because the new firm is going to look very similar to PayPal instead of Square because we are essentially cutting and incorporating Square's departments into PayPal, we would assign 85% weights to PayPal's PE and 15% weights to Square's PE; also, Square's PE is much higher than PayPal's, and in these types of transactions, the new company is more likely to have a PE ratio that is closer to the lower one instead of the higher one. Moreover, if we look at the comparable precedent transactions, The PE ratio is also close to our estimate.</t>
    <phoneticPr fontId="35" type="noConversion"/>
  </si>
  <si>
    <t>Square's PE</t>
  </si>
  <si>
    <t>Combined P/E</t>
  </si>
  <si>
    <t>Exchange Ratios</t>
    <phoneticPr fontId="35" type="noConversion"/>
  </si>
  <si>
    <t>PayPal Max Exchange Ratio</t>
  </si>
  <si>
    <t>ER1 is bigger than ER2, so both parties would be happy as long as the ER falls between 2.64 and 0.61. This is mainly due to the high expected PE. Note that we break the acquisition cost into 2 parts and we are only comparing the part financed by stocks (we subtract the portion financed by cash and debt from the expected equity value). We'll then compare the cash and debt we pay to the corresponding intrinsic value of Square in below</t>
    <phoneticPr fontId="35" type="noConversion"/>
  </si>
  <si>
    <t>Square Min Exchange Ratio</t>
  </si>
  <si>
    <t>Cash &amp; Debt vs Intrinsic value</t>
    <phoneticPr fontId="35" type="noConversion"/>
  </si>
  <si>
    <t>Sum of Cash + Debt Financing ($ Bil)</t>
    <phoneticPr fontId="35" type="noConversion"/>
  </si>
  <si>
    <t>Here we compare the cash and debt we paid for the target with the corresponding portion of its intrinsic value. We used the Base Case DCF Exit Multiples valuation to represent the intrinsic value here. Since the intrinsic value is higher than the cash we paid for the target, it would be a reasonable investment for the buyer</t>
    <phoneticPr fontId="35" type="noConversion"/>
  </si>
  <si>
    <t>Proportional of Cash + Debt</t>
    <phoneticPr fontId="35" type="noConversion"/>
  </si>
  <si>
    <t>Intrinsic Value proportional to Cash&amp;Debt Financing ($ Bil)</t>
    <phoneticPr fontId="35" type="noConversion"/>
  </si>
  <si>
    <t>PayPal</t>
    <phoneticPr fontId="35" type="noConversion"/>
  </si>
  <si>
    <t>Square</t>
    <phoneticPr fontId="35" type="noConversion"/>
  </si>
  <si>
    <t>Expected Net Income ($ Bil)</t>
    <phoneticPr fontId="35" type="noConversion"/>
  </si>
  <si>
    <t>The financing cost is incorporated in PayPal's side on a tax-reduced basis; Square's loss is tax-adjusted because it will be incorporated into the new business and this part of the loss would be tax-deductible</t>
    <phoneticPr fontId="35" type="noConversion"/>
  </si>
  <si>
    <t>The primary reason why we have a dilution here is that Square doesn't make a positive contribution to the net income, and we have offered a lot of shares to acquire the firm; however, based on our analysis of the intrinsic value of the target, there's still a decent chance that we can benefit from the deal.</t>
    <phoneticPr fontId="35" type="noConversion"/>
  </si>
  <si>
    <t>Number of Shares (Bil)</t>
    <phoneticPr fontId="35" type="noConversion"/>
  </si>
  <si>
    <t>P/E</t>
  </si>
  <si>
    <t>Transaction Charge %</t>
    <phoneticPr fontId="35" type="noConversion"/>
  </si>
  <si>
    <t>EPS</t>
  </si>
  <si>
    <t>% Accretion / Dilution Sensitivity Analysis</t>
    <phoneticPr fontId="35" type="noConversion"/>
  </si>
  <si>
    <t>Share Price</t>
  </si>
  <si>
    <t>Control Premium</t>
    <phoneticPr fontId="35" type="noConversion"/>
  </si>
  <si>
    <t>Target Earnings</t>
    <phoneticPr fontId="35" type="noConversion"/>
  </si>
  <si>
    <t>Deal Info</t>
    <phoneticPr fontId="35" type="noConversion"/>
  </si>
  <si>
    <t>Premium over Square pre-bid price</t>
  </si>
  <si>
    <t>Dollar value of bid</t>
  </si>
  <si>
    <t>Total deal value ($ Bil)</t>
    <phoneticPr fontId="35" type="noConversion"/>
  </si>
  <si>
    <t>Transaction Charge</t>
  </si>
  <si>
    <t>Shares issued (Bil)</t>
    <phoneticPr fontId="35" type="noConversion"/>
  </si>
  <si>
    <t>New Co.</t>
    <phoneticPr fontId="35" type="noConversion"/>
  </si>
  <si>
    <t>Net income</t>
  </si>
  <si>
    <t>Shares</t>
  </si>
  <si>
    <t>Accretion / Dilution Analysis</t>
    <phoneticPr fontId="35" type="noConversion"/>
  </si>
  <si>
    <t>Dollar dilution/accretion</t>
  </si>
  <si>
    <t>% Accretion / Dilution</t>
    <phoneticPr fontId="35" type="noConversion"/>
  </si>
  <si>
    <t>New Co. Projection</t>
    <phoneticPr fontId="35" type="noConversion"/>
  </si>
  <si>
    <t>USD (Mil)</t>
    <phoneticPr fontId="35" type="noConversion"/>
  </si>
  <si>
    <t>PayPal's Net Income</t>
    <phoneticPr fontId="35" type="noConversion"/>
  </si>
  <si>
    <t>Square' Net Income (with Synergy)</t>
    <phoneticPr fontId="35" type="noConversion"/>
  </si>
  <si>
    <t>New Co. Net Income</t>
    <phoneticPr fontId="35" type="noConversion"/>
  </si>
  <si>
    <t>Shares Outstanding</t>
    <phoneticPr fontId="35" type="noConversion"/>
  </si>
  <si>
    <t>EPS</t>
    <phoneticPr fontId="35" type="noConversion"/>
  </si>
  <si>
    <t>Company Comp Set</t>
  </si>
  <si>
    <t>　</t>
  </si>
  <si>
    <t>Company Name</t>
  </si>
  <si>
    <t>Total Debt / Common Equity</t>
  </si>
  <si>
    <t>Visa Inc. (NYSE:V)</t>
  </si>
  <si>
    <t>Mastercard Incorporated (NYSE:MA)</t>
  </si>
  <si>
    <t>Square, Inc. (NYSE:SQ)</t>
  </si>
  <si>
    <t>Shift4 Payments, Inc. (NYSE:FOUR)</t>
  </si>
  <si>
    <t>WEX Inc. (NYSE:WEX)</t>
  </si>
  <si>
    <t>Average</t>
  </si>
  <si>
    <t>PayPal Holdings, Inc. (NasdaqGS:PYPL)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</si>
</sst>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9">
    <numFmt numFmtId="44" formatCode="_(&quot;$&quot;* #,##0.00_);_(&quot;$&quot;* \(#,##0.00\);_(&quot;$&quot;* &quot;-&quot;??_);_(@_)"/>
    <numFmt numFmtId="43" formatCode="_(* #,##0.00_);_(* \(#,##0.00\);_(* &quot;-&quot;??_);_(@_)"/>
    <numFmt numFmtId="164" formatCode="_(* #,##0.0_);_(* \(#,##0.0\)_)\ ;_(* 0_)"/>
    <numFmt numFmtId="165" formatCode="_(&quot;$&quot;#,##0.0#_);_(\(&quot;$&quot;#,##0.0#\)_);_(&quot;$&quot;&quot; - &quot;_)"/>
    <numFmt numFmtId="166" formatCode="_(* #,##0.0#_);_(* \(#,##0.0#\)_)\ ;_(* 0_)"/>
    <numFmt numFmtId="167" formatCode="_(#,##0.0%_);_(\(#,##0.0%\)_);_(#,##0.0%_)"/>
    <numFmt numFmtId="168" formatCode="mmm\-dd\-yyyy"/>
    <numFmt numFmtId="169" formatCode="_(* #,##0_);_(* \(#,##0\)_)\ ;_(* 0_)"/>
    <numFmt numFmtId="170" formatCode="#,##0.0\x"/>
    <numFmt numFmtId="171" formatCode="_(\ #,##0.0_);_(\ \(#,##0.0\)_);_(\ &quot; - &quot;_)"/>
    <numFmt numFmtId="172" formatCode="_(#,##0.00%_);_(\(#,##0.00%\)_);_(#,##0.00%_)"/>
    <numFmt numFmtId="173" formatCode="_(\ #,##0.0#_);_(\(\ #,##0.0#\)_);_(\ &quot; - &quot;_)"/>
    <numFmt numFmtId="174" formatCode="_(\ #,##0.00&quot; A&quot;_);_(\(\ #,##0.00&quot; A&quot;\)_);_(\ #,##0.00&quot; A&quot;_)"/>
    <numFmt numFmtId="175" formatCode="_(\ #,##0.00&quot; E&quot;_);_(\(\ #,##0.00&quot; E&quot;\)_);_(\ #,##0.00&quot; E&quot;_)"/>
    <numFmt numFmtId="176" formatCode="_(\ #,##0.00&quot; GL&quot;_);_(\(\ #,##0.00&quot; GL&quot;\)_);_(\ #,##0.00&quot; GL&quot;_)"/>
    <numFmt numFmtId="177" formatCode="_(\ #,##0.00&quot; GH&quot;_);_(\(\ #,##0.00&quot; GH&quot;\)_);_(\ #,##0.00&quot; GH&quot;_)"/>
    <numFmt numFmtId="178" formatCode="_(* #,##0_);_(* \(#,##0\);_(* &quot;-&quot;??_);_(@_)"/>
    <numFmt numFmtId="179" formatCode="0.000%"/>
    <numFmt numFmtId="180" formatCode="0.0%"/>
    <numFmt numFmtId="181" formatCode="_(* #,##0.0_);_(* \(#,##0.0\);_(* &quot;-&quot;??_);_(@_)"/>
    <numFmt numFmtId="182" formatCode="0.000"/>
    <numFmt numFmtId="183" formatCode="_(&quot;$&quot;* #,##0_);_(&quot;$&quot;* \(#,##0\);_(&quot;$&quot;* &quot;-&quot;??_);_(@_)"/>
    <numFmt numFmtId="184" formatCode="0&quot;E&quot;"/>
    <numFmt numFmtId="185" formatCode="0.0&quot;x&quot;"/>
    <numFmt numFmtId="186" formatCode="0.0%;\(0.0%\)"/>
    <numFmt numFmtId="187" formatCode="#,##0.0_);\(#,##0.0\)"/>
    <numFmt numFmtId="188" formatCode="m/d/yyyy;@"/>
    <numFmt numFmtId="189" formatCode="&quot;$&quot;#,##0.00"/>
    <numFmt numFmtId="190" formatCode="#,##0.00%_);\(#,##0.00%\)"/>
  </numFmts>
  <fonts count="52">
    <font>
      <sz val="11"/>
      <color theme="1"/>
      <name val="Calibri"/>
      <family val="2"/>
      <scheme val="minor"/>
    </font>
    <font>
      <sz val="11"/>
      <color theme="1"/>
      <name val="Calibri"/>
      <family val="2"/>
      <scheme val="minor"/>
    </font>
    <font>
      <sz val="10"/>
      <name val="Arial"/>
      <family val="2"/>
    </font>
    <font>
      <b/>
      <sz val="13"/>
      <color indexed="8"/>
      <name val="Verdana"/>
      <family val="2"/>
    </font>
    <font>
      <sz val="8"/>
      <name val="Arial"/>
      <family val="2"/>
    </font>
    <font>
      <i/>
      <sz val="8"/>
      <name val="Arial"/>
      <family val="2"/>
    </font>
    <font>
      <b/>
      <sz val="8"/>
      <name val="Arial"/>
      <family val="2"/>
    </font>
    <font>
      <sz val="8"/>
      <color indexed="8"/>
      <name val="Arial"/>
      <family val="2"/>
    </font>
    <font>
      <b/>
      <sz val="8"/>
      <color indexed="9"/>
      <name val="Verdana"/>
      <family val="2"/>
    </font>
    <font>
      <sz val="1"/>
      <color indexed="9"/>
      <name val="Symbol"/>
      <family val="1"/>
      <charset val="2"/>
    </font>
    <font>
      <b/>
      <sz val="8"/>
      <color indexed="8"/>
      <name val="Arial"/>
      <family val="2"/>
    </font>
    <font>
      <b/>
      <i/>
      <sz val="8"/>
      <color indexed="8"/>
      <name val="Arial"/>
      <family val="2"/>
    </font>
    <font>
      <b/>
      <u val="double"/>
      <sz val="8"/>
      <color indexed="8"/>
      <name val="Arial"/>
      <family val="2"/>
    </font>
    <font>
      <b/>
      <u/>
      <sz val="8"/>
      <color indexed="8"/>
      <name val="Arial"/>
      <family val="2"/>
    </font>
    <font>
      <i/>
      <sz val="8"/>
      <color indexed="8"/>
      <name val="Arial"/>
      <family val="2"/>
    </font>
    <font>
      <b/>
      <u val="singleAccounting"/>
      <sz val="8"/>
      <color indexed="8"/>
      <name val="Arial"/>
      <family val="2"/>
    </font>
    <font>
      <b/>
      <sz val="11"/>
      <color theme="0"/>
      <name val="Garamond"/>
      <family val="1"/>
    </font>
    <font>
      <sz val="11"/>
      <color theme="1"/>
      <name val="Garamond"/>
      <family val="1"/>
    </font>
    <font>
      <sz val="11"/>
      <color rgb="FF0C00FF"/>
      <name val="Garamond"/>
      <family val="1"/>
    </font>
    <font>
      <i/>
      <sz val="11"/>
      <color theme="1"/>
      <name val="Garamond"/>
      <family val="1"/>
    </font>
    <font>
      <i/>
      <sz val="11"/>
      <color rgb="FF0C00FF"/>
      <name val="Garamond"/>
      <family val="1"/>
    </font>
    <font>
      <sz val="11"/>
      <color theme="0"/>
      <name val="Garamond"/>
      <family val="1"/>
    </font>
    <font>
      <sz val="11"/>
      <color theme="3"/>
      <name val="Garamond"/>
      <family val="1"/>
    </font>
    <font>
      <i/>
      <sz val="10"/>
      <color theme="1"/>
      <name val="Garamond"/>
      <family val="1"/>
    </font>
    <font>
      <b/>
      <i/>
      <sz val="11"/>
      <name val="Garamond"/>
      <family val="1"/>
    </font>
    <font>
      <b/>
      <sz val="11"/>
      <color theme="1"/>
      <name val="Garamond"/>
      <family val="1"/>
    </font>
    <font>
      <b/>
      <sz val="11"/>
      <color theme="3"/>
      <name val="Garamond"/>
      <family val="1"/>
    </font>
    <font>
      <sz val="11"/>
      <name val="Garamond"/>
      <family val="1"/>
    </font>
    <font>
      <sz val="11"/>
      <color rgb="FF0D03FF"/>
      <name val="Garamond"/>
      <family val="1"/>
    </font>
    <font>
      <b/>
      <sz val="12"/>
      <color theme="0"/>
      <name val="Garamond"/>
      <family val="1"/>
    </font>
    <font>
      <i/>
      <sz val="11"/>
      <name val="Garamond"/>
      <family val="1"/>
    </font>
    <font>
      <b/>
      <sz val="11"/>
      <name val="Garamond"/>
      <family val="1"/>
    </font>
    <font>
      <sz val="8"/>
      <name val="Arial"/>
      <family val="2"/>
    </font>
    <font>
      <sz val="11"/>
      <color theme="0" tint="-4.9989318521683403E-2"/>
      <name val="Garamond"/>
      <family val="1"/>
    </font>
    <font>
      <u/>
      <sz val="11"/>
      <color theme="10"/>
      <name val="Calibri"/>
      <family val="2"/>
      <scheme val="minor"/>
    </font>
    <font>
      <sz val="9"/>
      <name val="Calibri"/>
      <family val="3"/>
      <charset val="134"/>
      <scheme val="minor"/>
    </font>
    <font>
      <sz val="11"/>
      <color rgb="FF000000"/>
      <name val="Garamond"/>
      <family val="1"/>
    </font>
    <font>
      <b/>
      <sz val="11"/>
      <color rgb="FFFFFFFF"/>
      <name val="Garamond"/>
      <family val="1"/>
    </font>
    <font>
      <sz val="11"/>
      <color rgb="FFFFFFFF"/>
      <name val="Garamond"/>
      <family val="1"/>
    </font>
    <font>
      <sz val="11"/>
      <color rgb="FF44546A"/>
      <name val="Garamond"/>
      <family val="1"/>
    </font>
    <font>
      <i/>
      <sz val="10"/>
      <color rgb="FF000000"/>
      <name val="Garamond"/>
      <family val="1"/>
    </font>
    <font>
      <b/>
      <sz val="11"/>
      <color rgb="FF000000"/>
      <name val="Garamond"/>
      <family val="1"/>
    </font>
    <font>
      <sz val="11"/>
      <color rgb="FFC00000"/>
      <name val="Garamond"/>
      <family val="1"/>
    </font>
    <font>
      <b/>
      <sz val="11"/>
      <color theme="0" tint="-4.9989318521683403E-2"/>
      <name val="Garamond"/>
      <family val="1"/>
    </font>
    <font>
      <sz val="11"/>
      <name val="Calibri"/>
      <family val="2"/>
      <scheme val="minor"/>
    </font>
    <font>
      <sz val="11"/>
      <color rgb="FF002060"/>
      <name val="Garamond"/>
      <family val="1"/>
    </font>
    <font>
      <b/>
      <sz val="8"/>
      <color rgb="FFFFFFFF"/>
      <name val="Garamond"/>
      <family val="1"/>
    </font>
    <font>
      <b/>
      <sz val="8"/>
      <color rgb="FF000000"/>
      <name val="Garamond"/>
      <family val="1"/>
    </font>
    <font>
      <sz val="8"/>
      <name val="Garamond"/>
      <family val="1"/>
    </font>
    <font>
      <sz val="10"/>
      <name val="Garamond"/>
      <family val="1"/>
    </font>
    <font>
      <b/>
      <sz val="11.5"/>
      <color theme="1"/>
      <name val="Garamond"/>
      <family val="1"/>
    </font>
    <font>
      <sz val="11.5"/>
      <color theme="1"/>
      <name val="Garamond"/>
      <family val="1"/>
    </font>
  </fonts>
  <fills count="26">
    <fill>
      <patternFill patternType="none"/>
    </fill>
    <fill>
      <patternFill patternType="gray125"/>
    </fill>
    <fill>
      <patternFill patternType="solid">
        <fgColor indexed="56"/>
        <bgColor indexed="64"/>
      </patternFill>
    </fill>
    <fill>
      <patternFill patternType="solid">
        <fgColor indexed="60"/>
        <bgColor indexed="64"/>
      </patternFill>
    </fill>
    <fill>
      <patternFill patternType="solid">
        <fgColor theme="3"/>
        <bgColor indexed="64"/>
      </patternFill>
    </fill>
    <fill>
      <patternFill patternType="solid">
        <fgColor theme="6" tint="0.79998168889431442"/>
        <bgColor indexed="64"/>
      </patternFill>
    </fill>
    <fill>
      <patternFill patternType="solid">
        <fgColor indexed="65"/>
        <bgColor indexed="64"/>
      </patternFill>
    </fill>
    <fill>
      <patternFill patternType="solid">
        <fgColor rgb="FFEDEDED"/>
        <bgColor indexed="64"/>
      </patternFill>
    </fill>
    <fill>
      <patternFill patternType="solid">
        <fgColor rgb="FF6985A9"/>
        <bgColor indexed="64"/>
      </patternFill>
    </fill>
    <fill>
      <patternFill patternType="solid">
        <fgColor rgb="FF6985AA"/>
        <bgColor indexed="64"/>
      </patternFill>
    </fill>
    <fill>
      <patternFill patternType="solid">
        <fgColor rgb="FF85A9D6"/>
        <bgColor indexed="64"/>
      </patternFill>
    </fill>
    <fill>
      <patternFill patternType="solid">
        <fgColor theme="3" tint="0.79998168889431442"/>
        <bgColor indexed="64"/>
      </patternFill>
    </fill>
    <fill>
      <patternFill patternType="solid">
        <fgColor theme="6" tint="-0.249977111117893"/>
        <bgColor indexed="64"/>
      </patternFill>
    </fill>
    <fill>
      <patternFill patternType="solid">
        <fgColor theme="0" tint="-0.249977111117893"/>
        <bgColor indexed="64"/>
      </patternFill>
    </fill>
    <fill>
      <patternFill patternType="solid">
        <fgColor rgb="FFEDEDED"/>
        <bgColor rgb="FF000000"/>
      </patternFill>
    </fill>
    <fill>
      <patternFill patternType="solid">
        <fgColor rgb="FF44546A"/>
        <bgColor rgb="FF000000"/>
      </patternFill>
    </fill>
    <fill>
      <patternFill patternType="solid">
        <fgColor theme="0"/>
        <bgColor rgb="FF000000"/>
      </patternFill>
    </fill>
    <fill>
      <patternFill patternType="solid">
        <fgColor theme="0"/>
        <bgColor indexed="64"/>
      </patternFill>
    </fill>
    <fill>
      <patternFill patternType="solid">
        <fgColor rgb="FF002060"/>
        <bgColor rgb="FF000000"/>
      </patternFill>
    </fill>
    <fill>
      <patternFill patternType="solid">
        <fgColor rgb="FFF0F0DC"/>
        <bgColor rgb="FF000000"/>
      </patternFill>
    </fill>
    <fill>
      <patternFill patternType="solid">
        <fgColor rgb="FF44536A"/>
        <bgColor indexed="64"/>
      </patternFill>
    </fill>
    <fill>
      <patternFill patternType="solid">
        <fgColor rgb="FF9FCAFF"/>
        <bgColor indexed="64"/>
      </patternFill>
    </fill>
    <fill>
      <patternFill patternType="solid">
        <fgColor theme="5" tint="0.79998168889431442"/>
        <bgColor indexed="64"/>
      </patternFill>
    </fill>
    <fill>
      <patternFill patternType="solid">
        <fgColor rgb="FFF2F2F2"/>
        <bgColor indexed="64"/>
      </patternFill>
    </fill>
    <fill>
      <patternFill patternType="solid">
        <fgColor theme="0" tint="-4.9989318521683403E-2"/>
        <bgColor indexed="64"/>
      </patternFill>
    </fill>
    <fill>
      <patternFill patternType="solid">
        <fgColor theme="2" tint="-9.9978637043366805E-2"/>
        <bgColor indexed="64"/>
      </patternFill>
    </fill>
  </fills>
  <borders count="67">
    <border>
      <left/>
      <right/>
      <top/>
      <bottom/>
      <diagonal/>
    </border>
    <border>
      <left/>
      <right/>
      <top style="thin">
        <color indexed="8"/>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diagonal/>
    </border>
    <border>
      <left/>
      <right/>
      <top style="thin">
        <color indexed="64"/>
      </top>
      <bottom/>
      <diagonal/>
    </border>
    <border>
      <left/>
      <right/>
      <top style="medium">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indexed="64"/>
      </bottom>
      <diagonal/>
    </border>
    <border>
      <left/>
      <right style="thin">
        <color indexed="64"/>
      </right>
      <top/>
      <bottom style="medium">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style="dashDot">
        <color indexed="64"/>
      </left>
      <right style="dashDot">
        <color indexed="64"/>
      </right>
      <top style="dashDot">
        <color indexed="64"/>
      </top>
      <bottom/>
      <diagonal/>
    </border>
    <border>
      <left style="dashDot">
        <color indexed="64"/>
      </left>
      <right style="dashDot">
        <color indexed="64"/>
      </right>
      <top/>
      <bottom style="dashDot">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indexed="64"/>
      </left>
      <right style="thin">
        <color indexed="64"/>
      </right>
      <top style="thin">
        <color indexed="64"/>
      </top>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s>
  <cellStyleXfs count="9">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 fillId="0" borderId="0"/>
    <xf numFmtId="0" fontId="9" fillId="0" borderId="0" applyAlignment="0"/>
    <xf numFmtId="9" fontId="1" fillId="0" borderId="0" applyFont="0" applyFill="0" applyBorder="0" applyAlignment="0" applyProtection="0"/>
    <xf numFmtId="43" fontId="1" fillId="0" borderId="0" applyFont="0" applyFill="0" applyBorder="0" applyAlignment="0" applyProtection="0"/>
    <xf numFmtId="0" fontId="34" fillId="0" borderId="0" applyNumberFormat="0" applyFill="0" applyBorder="0" applyAlignment="0" applyProtection="0"/>
  </cellStyleXfs>
  <cellXfs count="727">
    <xf numFmtId="0" fontId="0" fillId="0" borderId="0" xfId="0"/>
    <xf numFmtId="0" fontId="3" fillId="0" borderId="0" xfId="4" applyFont="1"/>
    <xf numFmtId="0" fontId="4" fillId="0" borderId="0" xfId="4" applyFont="1"/>
    <xf numFmtId="0" fontId="5" fillId="0" borderId="0" xfId="4" applyFont="1" applyAlignment="1">
      <alignment wrapText="1"/>
    </xf>
    <xf numFmtId="0" fontId="6" fillId="0" borderId="0" xfId="4" applyFont="1"/>
    <xf numFmtId="0" fontId="7" fillId="0" borderId="0" xfId="4" applyFont="1" applyAlignment="1">
      <alignment horizontal="left" vertical="top"/>
    </xf>
    <xf numFmtId="49" fontId="4" fillId="0" borderId="0" xfId="4" applyNumberFormat="1" applyFont="1"/>
    <xf numFmtId="0" fontId="7" fillId="0" borderId="0" xfId="4" applyFont="1" applyAlignment="1">
      <alignment horizontal="left" vertical="center"/>
    </xf>
    <xf numFmtId="0" fontId="8" fillId="2" borderId="0" xfId="4" applyFont="1" applyFill="1"/>
    <xf numFmtId="0" fontId="9" fillId="0" borderId="0" xfId="5" applyAlignment="1"/>
    <xf numFmtId="0" fontId="10" fillId="3" borderId="0" xfId="4" applyFont="1" applyFill="1" applyAlignment="1">
      <alignment wrapText="1"/>
    </xf>
    <xf numFmtId="0" fontId="10" fillId="3" borderId="0" xfId="4" applyFont="1" applyFill="1" applyAlignment="1">
      <alignment horizontal="right" wrapText="1"/>
    </xf>
    <xf numFmtId="0" fontId="11" fillId="3" borderId="0" xfId="4" applyFont="1" applyFill="1" applyAlignment="1">
      <alignment wrapText="1"/>
    </xf>
    <xf numFmtId="0" fontId="11" fillId="3" borderId="0" xfId="4" applyFont="1" applyFill="1" applyAlignment="1">
      <alignment horizontal="right" wrapText="1"/>
    </xf>
    <xf numFmtId="0" fontId="10" fillId="0" borderId="0" xfId="4" applyFont="1" applyAlignment="1">
      <alignment horizontal="left" vertical="top"/>
    </xf>
    <xf numFmtId="164" fontId="7" fillId="0" borderId="0" xfId="4" applyNumberFormat="1" applyFont="1" applyAlignment="1">
      <alignment horizontal="right" vertical="top" wrapText="1"/>
    </xf>
    <xf numFmtId="164" fontId="10" fillId="0" borderId="1" xfId="4" applyNumberFormat="1" applyFont="1" applyBorder="1" applyAlignment="1">
      <alignment horizontal="right" vertical="top" wrapText="1"/>
    </xf>
    <xf numFmtId="164" fontId="10" fillId="0" borderId="0" xfId="4" applyNumberFormat="1" applyFont="1" applyAlignment="1">
      <alignment horizontal="right" vertical="top" wrapText="1"/>
    </xf>
    <xf numFmtId="164" fontId="12" fillId="0" borderId="1" xfId="4" applyNumberFormat="1" applyFont="1" applyBorder="1" applyAlignment="1">
      <alignment horizontal="right" vertical="top" wrapText="1"/>
    </xf>
    <xf numFmtId="165" fontId="7" fillId="0" borderId="0" xfId="4" applyNumberFormat="1" applyFont="1" applyAlignment="1">
      <alignment horizontal="right" vertical="top" wrapText="1"/>
    </xf>
    <xf numFmtId="166" fontId="7" fillId="0" borderId="0" xfId="4" applyNumberFormat="1" applyFont="1" applyAlignment="1">
      <alignment horizontal="right" vertical="top" wrapText="1"/>
    </xf>
    <xf numFmtId="167" fontId="7" fillId="0" borderId="0" xfId="4" applyNumberFormat="1" applyFont="1" applyAlignment="1">
      <alignment horizontal="right" vertical="top" wrapText="1"/>
    </xf>
    <xf numFmtId="168" fontId="7" fillId="0" borderId="0" xfId="4" applyNumberFormat="1" applyFont="1" applyAlignment="1">
      <alignment horizontal="right" vertical="top" wrapText="1"/>
    </xf>
    <xf numFmtId="49" fontId="7" fillId="0" borderId="0" xfId="4" applyNumberFormat="1" applyFont="1" applyAlignment="1">
      <alignment horizontal="right" vertical="top" wrapText="1"/>
    </xf>
    <xf numFmtId="0" fontId="4" fillId="0" borderId="0" xfId="4" applyFont="1" applyAlignment="1">
      <alignment vertical="top"/>
    </xf>
    <xf numFmtId="0" fontId="4" fillId="0" borderId="0" xfId="4" applyFont="1" applyAlignment="1">
      <alignment vertical="top" wrapText="1"/>
    </xf>
    <xf numFmtId="0" fontId="7" fillId="0" borderId="0" xfId="4" applyFont="1" applyAlignment="1">
      <alignment horizontal="center" vertical="center"/>
    </xf>
    <xf numFmtId="168" fontId="10" fillId="3" borderId="0" xfId="4" applyNumberFormat="1" applyFont="1" applyFill="1" applyAlignment="1">
      <alignment horizontal="right" wrapText="1"/>
    </xf>
    <xf numFmtId="164" fontId="13" fillId="0" borderId="0" xfId="4" applyNumberFormat="1" applyFont="1" applyAlignment="1">
      <alignment horizontal="right" vertical="top" wrapText="1"/>
    </xf>
    <xf numFmtId="164" fontId="12" fillId="0" borderId="0" xfId="4" applyNumberFormat="1" applyFont="1" applyAlignment="1">
      <alignment horizontal="right" vertical="top" wrapText="1"/>
    </xf>
    <xf numFmtId="169" fontId="7" fillId="0" borderId="0" xfId="4" applyNumberFormat="1" applyFont="1" applyAlignment="1">
      <alignment horizontal="right" vertical="top" wrapText="1"/>
    </xf>
    <xf numFmtId="0" fontId="7" fillId="0" borderId="0" xfId="4" applyFont="1" applyAlignment="1">
      <alignment horizontal="center" vertical="center" wrapText="1"/>
    </xf>
    <xf numFmtId="0" fontId="4" fillId="0" borderId="0" xfId="4" applyFont="1"/>
    <xf numFmtId="49" fontId="4" fillId="0" borderId="0" xfId="4" applyNumberFormat="1" applyFont="1" applyAlignment="1">
      <alignment horizontal="right"/>
    </xf>
    <xf numFmtId="0" fontId="15" fillId="3" borderId="0" xfId="4" applyFont="1" applyFill="1" applyAlignment="1">
      <alignment horizontal="left" wrapText="1"/>
    </xf>
    <xf numFmtId="0" fontId="15" fillId="3" borderId="0" xfId="4" applyFont="1" applyFill="1" applyAlignment="1">
      <alignment wrapText="1"/>
    </xf>
    <xf numFmtId="171" fontId="7" fillId="0" borderId="0" xfId="4" applyNumberFormat="1" applyFont="1" applyAlignment="1">
      <alignment horizontal="center" vertical="top" wrapText="1"/>
    </xf>
    <xf numFmtId="0" fontId="7" fillId="0" borderId="0" xfId="4" applyFont="1" applyAlignment="1">
      <alignment horizontal="center" vertical="top" wrapText="1"/>
    </xf>
    <xf numFmtId="168" fontId="7" fillId="0" borderId="0" xfId="4" applyNumberFormat="1" applyFont="1" applyAlignment="1">
      <alignment horizontal="center" vertical="top" wrapText="1"/>
    </xf>
    <xf numFmtId="0" fontId="4" fillId="0" borderId="0" xfId="4" applyFont="1" applyAlignment="1">
      <alignment wrapText="1"/>
    </xf>
    <xf numFmtId="0" fontId="8" fillId="2" borderId="0" xfId="4" applyFont="1" applyFill="1" applyAlignment="1">
      <alignment horizontal="left"/>
    </xf>
    <xf numFmtId="0" fontId="4" fillId="0" borderId="0" xfId="4" applyFont="1" applyAlignment="1">
      <alignment horizontal="right"/>
    </xf>
    <xf numFmtId="172" fontId="4" fillId="0" borderId="0" xfId="4" applyNumberFormat="1" applyFont="1" applyAlignment="1">
      <alignment horizontal="right"/>
    </xf>
    <xf numFmtId="0" fontId="7" fillId="0" borderId="0" xfId="4" applyFont="1" applyAlignment="1">
      <alignment horizontal="right"/>
    </xf>
    <xf numFmtId="0" fontId="10" fillId="0" borderId="0" xfId="4" applyFont="1"/>
    <xf numFmtId="173" fontId="4" fillId="0" borderId="0" xfId="4" applyNumberFormat="1" applyFont="1" applyAlignment="1">
      <alignment horizontal="right"/>
    </xf>
    <xf numFmtId="0" fontId="15" fillId="3" borderId="0" xfId="4" applyFont="1" applyFill="1" applyAlignment="1">
      <alignment horizontal="left" vertical="top"/>
    </xf>
    <xf numFmtId="0" fontId="15" fillId="3" borderId="0" xfId="4" applyFont="1" applyFill="1"/>
    <xf numFmtId="0" fontId="15" fillId="3" borderId="0" xfId="4" applyFont="1" applyFill="1" applyAlignment="1">
      <alignment horizontal="right"/>
    </xf>
    <xf numFmtId="174" fontId="4" fillId="0" borderId="0" xfId="4" applyNumberFormat="1" applyFont="1" applyAlignment="1">
      <alignment horizontal="right"/>
    </xf>
    <xf numFmtId="175" fontId="4" fillId="0" borderId="0" xfId="4" applyNumberFormat="1" applyFont="1" applyAlignment="1">
      <alignment horizontal="right"/>
    </xf>
    <xf numFmtId="176" fontId="4" fillId="0" borderId="0" xfId="4" applyNumberFormat="1" applyFont="1" applyAlignment="1">
      <alignment horizontal="right"/>
    </xf>
    <xf numFmtId="177" fontId="4" fillId="0" borderId="0" xfId="4" applyNumberFormat="1" applyFont="1" applyAlignment="1">
      <alignment horizontal="right"/>
    </xf>
    <xf numFmtId="0" fontId="14" fillId="0" borderId="0" xfId="0" applyFont="1" applyAlignment="1">
      <alignment horizontal="left" vertical="top"/>
    </xf>
    <xf numFmtId="164" fontId="14" fillId="0" borderId="0" xfId="0" applyNumberFormat="1" applyFont="1" applyAlignment="1">
      <alignment horizontal="right" vertical="top" wrapText="1"/>
    </xf>
    <xf numFmtId="0" fontId="16" fillId="4" borderId="2" xfId="0" applyFont="1" applyFill="1" applyBorder="1"/>
    <xf numFmtId="0" fontId="17" fillId="5" borderId="5" xfId="0" applyFont="1" applyFill="1" applyBorder="1"/>
    <xf numFmtId="0" fontId="19" fillId="5" borderId="7" xfId="0" applyFont="1" applyFill="1" applyBorder="1" applyAlignment="1">
      <alignment horizontal="left" indent="1"/>
    </xf>
    <xf numFmtId="0" fontId="16" fillId="4" borderId="9" xfId="0" applyFont="1" applyFill="1" applyBorder="1" applyAlignment="1">
      <alignment vertical="center"/>
    </xf>
    <xf numFmtId="0" fontId="21" fillId="4" borderId="10" xfId="0" applyFont="1" applyFill="1" applyBorder="1"/>
    <xf numFmtId="0" fontId="22" fillId="4" borderId="9" xfId="0" applyFont="1" applyFill="1" applyBorder="1"/>
    <xf numFmtId="0" fontId="22" fillId="4" borderId="10" xfId="0" applyFont="1" applyFill="1" applyBorder="1"/>
    <xf numFmtId="0" fontId="21" fillId="4" borderId="11" xfId="0" applyFont="1" applyFill="1" applyBorder="1"/>
    <xf numFmtId="0" fontId="23" fillId="5" borderId="12" xfId="0" applyFont="1" applyFill="1" applyBorder="1"/>
    <xf numFmtId="0" fontId="24" fillId="5" borderId="13" xfId="0" applyFont="1" applyFill="1" applyBorder="1"/>
    <xf numFmtId="0" fontId="24" fillId="5" borderId="14" xfId="0" applyFont="1" applyFill="1" applyBorder="1"/>
    <xf numFmtId="0" fontId="17" fillId="5" borderId="12" xfId="0" applyFont="1" applyFill="1" applyBorder="1"/>
    <xf numFmtId="178" fontId="25" fillId="0" borderId="12" xfId="1" applyNumberFormat="1" applyFont="1" applyBorder="1"/>
    <xf numFmtId="178" fontId="25" fillId="0" borderId="0" xfId="1" applyNumberFormat="1" applyFont="1" applyBorder="1"/>
    <xf numFmtId="178" fontId="25" fillId="0" borderId="16" xfId="1" applyNumberFormat="1" applyFont="1" applyBorder="1"/>
    <xf numFmtId="179" fontId="19" fillId="0" borderId="0" xfId="1" applyNumberFormat="1" applyFont="1" applyBorder="1"/>
    <xf numFmtId="179" fontId="19" fillId="0" borderId="7" xfId="1" applyNumberFormat="1" applyFont="1" applyBorder="1"/>
    <xf numFmtId="0" fontId="23" fillId="5" borderId="18" xfId="0" applyFont="1" applyFill="1" applyBorder="1"/>
    <xf numFmtId="0" fontId="24" fillId="5" borderId="19" xfId="0" applyFont="1" applyFill="1" applyBorder="1"/>
    <xf numFmtId="0" fontId="16" fillId="4" borderId="5" xfId="0" applyFont="1" applyFill="1" applyBorder="1"/>
    <xf numFmtId="0" fontId="16" fillId="4" borderId="13" xfId="0" applyFont="1" applyFill="1" applyBorder="1" applyAlignment="1">
      <alignment horizontal="center"/>
    </xf>
    <xf numFmtId="0" fontId="16" fillId="4" borderId="15" xfId="0" applyFont="1" applyFill="1" applyBorder="1" applyAlignment="1">
      <alignment horizontal="center"/>
    </xf>
    <xf numFmtId="0" fontId="16" fillId="4" borderId="6" xfId="0" applyFont="1" applyFill="1" applyBorder="1"/>
    <xf numFmtId="0" fontId="17" fillId="5" borderId="6" xfId="0" applyFont="1" applyFill="1" applyBorder="1"/>
    <xf numFmtId="0" fontId="19" fillId="5" borderId="22" xfId="0" applyFont="1" applyFill="1" applyBorder="1" applyAlignment="1">
      <alignment horizontal="left" indent="1"/>
    </xf>
    <xf numFmtId="0" fontId="17" fillId="5" borderId="22" xfId="0" applyFont="1" applyFill="1" applyBorder="1"/>
    <xf numFmtId="0" fontId="19" fillId="5" borderId="8" xfId="0" applyFont="1" applyFill="1" applyBorder="1" applyAlignment="1">
      <alignment horizontal="left" indent="1"/>
    </xf>
    <xf numFmtId="0" fontId="24" fillId="5" borderId="15" xfId="0" applyFont="1" applyFill="1" applyBorder="1"/>
    <xf numFmtId="0" fontId="17" fillId="7" borderId="5" xfId="0" applyFont="1" applyFill="1" applyBorder="1"/>
    <xf numFmtId="0" fontId="17" fillId="7" borderId="12" xfId="0" applyFont="1" applyFill="1" applyBorder="1"/>
    <xf numFmtId="0" fontId="25" fillId="7" borderId="5" xfId="0" applyFont="1" applyFill="1" applyBorder="1"/>
    <xf numFmtId="0" fontId="19" fillId="7" borderId="7" xfId="0" applyFont="1" applyFill="1" applyBorder="1" applyAlignment="1">
      <alignment horizontal="left" indent="1"/>
    </xf>
    <xf numFmtId="180" fontId="19" fillId="0" borderId="7" xfId="0" applyNumberFormat="1" applyFont="1" applyBorder="1" applyAlignment="1">
      <alignment horizontal="right"/>
    </xf>
    <xf numFmtId="180" fontId="19" fillId="0" borderId="17" xfId="0" applyNumberFormat="1" applyFont="1" applyBorder="1" applyAlignment="1">
      <alignment horizontal="right"/>
    </xf>
    <xf numFmtId="180" fontId="19" fillId="0" borderId="17" xfId="0" applyNumberFormat="1" applyFont="1" applyBorder="1"/>
    <xf numFmtId="180" fontId="19" fillId="0" borderId="21" xfId="0" applyNumberFormat="1" applyFont="1" applyBorder="1"/>
    <xf numFmtId="0" fontId="25" fillId="5" borderId="5" xfId="0" applyFont="1" applyFill="1" applyBorder="1"/>
    <xf numFmtId="178" fontId="25" fillId="0" borderId="13" xfId="1" applyNumberFormat="1" applyFont="1" applyBorder="1"/>
    <xf numFmtId="178" fontId="25" fillId="0" borderId="15" xfId="1" applyNumberFormat="1" applyFont="1" applyBorder="1"/>
    <xf numFmtId="0" fontId="25" fillId="5" borderId="6" xfId="0" applyFont="1" applyFill="1" applyBorder="1"/>
    <xf numFmtId="178" fontId="25" fillId="0" borderId="5" xfId="1" applyNumberFormat="1" applyFont="1" applyBorder="1"/>
    <xf numFmtId="0" fontId="21" fillId="4" borderId="3" xfId="0" applyFont="1" applyFill="1" applyBorder="1"/>
    <xf numFmtId="0" fontId="26" fillId="4" borderId="3" xfId="0" applyFont="1" applyFill="1" applyBorder="1"/>
    <xf numFmtId="178" fontId="17" fillId="0" borderId="5" xfId="0" applyNumberFormat="1" applyFont="1" applyBorder="1"/>
    <xf numFmtId="178" fontId="17" fillId="0" borderId="13" xfId="0" applyNumberFormat="1" applyFont="1" applyBorder="1"/>
    <xf numFmtId="178" fontId="17" fillId="0" borderId="15" xfId="0" applyNumberFormat="1" applyFont="1" applyBorder="1"/>
    <xf numFmtId="0" fontId="17" fillId="0" borderId="12" xfId="0" applyFont="1" applyBorder="1"/>
    <xf numFmtId="178" fontId="17" fillId="0" borderId="12" xfId="0" applyNumberFormat="1" applyFont="1" applyBorder="1"/>
    <xf numFmtId="178" fontId="17" fillId="0" borderId="0" xfId="0" applyNumberFormat="1" applyFont="1"/>
    <xf numFmtId="178" fontId="17" fillId="0" borderId="16" xfId="0" applyNumberFormat="1" applyFont="1" applyBorder="1"/>
    <xf numFmtId="0" fontId="17" fillId="0" borderId="7" xfId="0" applyFont="1" applyBorder="1"/>
    <xf numFmtId="10" fontId="19" fillId="0" borderId="17" xfId="0" applyNumberFormat="1" applyFont="1" applyBorder="1"/>
    <xf numFmtId="10" fontId="19" fillId="0" borderId="21" xfId="0" applyNumberFormat="1" applyFont="1" applyBorder="1"/>
    <xf numFmtId="10" fontId="19" fillId="0" borderId="7" xfId="0" applyNumberFormat="1" applyFont="1" applyBorder="1"/>
    <xf numFmtId="0" fontId="25" fillId="5" borderId="22" xfId="0" applyFont="1" applyFill="1" applyBorder="1"/>
    <xf numFmtId="178" fontId="25" fillId="0" borderId="5" xfId="0" applyNumberFormat="1" applyFont="1" applyBorder="1"/>
    <xf numFmtId="178" fontId="25" fillId="0" borderId="13" xfId="0" applyNumberFormat="1" applyFont="1" applyBorder="1"/>
    <xf numFmtId="178" fontId="25" fillId="0" borderId="15" xfId="0" applyNumberFormat="1" applyFont="1" applyBorder="1"/>
    <xf numFmtId="0" fontId="16" fillId="8" borderId="2" xfId="0" applyFont="1" applyFill="1" applyBorder="1"/>
    <xf numFmtId="0" fontId="16" fillId="8" borderId="3" xfId="0" applyFont="1" applyFill="1" applyBorder="1" applyAlignment="1">
      <alignment horizontal="center"/>
    </xf>
    <xf numFmtId="0" fontId="16" fillId="8" borderId="4" xfId="0" applyFont="1" applyFill="1" applyBorder="1" applyAlignment="1">
      <alignment horizontal="center"/>
    </xf>
    <xf numFmtId="180" fontId="18" fillId="0" borderId="22" xfId="0" applyNumberFormat="1" applyFont="1" applyBorder="1"/>
    <xf numFmtId="10" fontId="20" fillId="0" borderId="8" xfId="0" applyNumberFormat="1" applyFont="1" applyBorder="1"/>
    <xf numFmtId="0" fontId="16" fillId="8" borderId="9" xfId="0" applyFont="1" applyFill="1" applyBorder="1" applyAlignment="1">
      <alignment vertical="center"/>
    </xf>
    <xf numFmtId="0" fontId="25" fillId="7" borderId="12" xfId="0" applyFont="1" applyFill="1" applyBorder="1"/>
    <xf numFmtId="0" fontId="17" fillId="7" borderId="20" xfId="0" applyFont="1" applyFill="1" applyBorder="1"/>
    <xf numFmtId="0" fontId="21" fillId="9" borderId="10" xfId="0" applyFont="1" applyFill="1" applyBorder="1"/>
    <xf numFmtId="0" fontId="22" fillId="9" borderId="9" xfId="0" applyFont="1" applyFill="1" applyBorder="1"/>
    <xf numFmtId="0" fontId="22" fillId="9" borderId="10" xfId="0" applyFont="1" applyFill="1" applyBorder="1"/>
    <xf numFmtId="0" fontId="21" fillId="9" borderId="11" xfId="0" applyFont="1" applyFill="1" applyBorder="1"/>
    <xf numFmtId="0" fontId="17" fillId="7" borderId="6" xfId="0" applyFont="1" applyFill="1" applyBorder="1"/>
    <xf numFmtId="0" fontId="17" fillId="7" borderId="22" xfId="0" applyFont="1" applyFill="1" applyBorder="1"/>
    <xf numFmtId="0" fontId="25" fillId="7" borderId="8" xfId="0" applyFont="1" applyFill="1" applyBorder="1"/>
    <xf numFmtId="0" fontId="24" fillId="5" borderId="23" xfId="0" applyFont="1" applyFill="1" applyBorder="1"/>
    <xf numFmtId="0" fontId="24" fillId="5" borderId="24" xfId="0" applyFont="1" applyFill="1" applyBorder="1"/>
    <xf numFmtId="180" fontId="17" fillId="0" borderId="17" xfId="0" applyNumberFormat="1" applyFont="1" applyBorder="1" applyAlignment="1">
      <alignment horizontal="right"/>
    </xf>
    <xf numFmtId="0" fontId="17" fillId="0" borderId="0" xfId="0" applyFont="1"/>
    <xf numFmtId="0" fontId="16" fillId="10" borderId="9" xfId="0" applyFont="1" applyFill="1" applyBorder="1" applyAlignment="1">
      <alignment vertical="center"/>
    </xf>
    <xf numFmtId="0" fontId="22" fillId="10" borderId="10" xfId="0" applyFont="1" applyFill="1" applyBorder="1"/>
    <xf numFmtId="0" fontId="21" fillId="10" borderId="10" xfId="0" applyFont="1" applyFill="1" applyBorder="1"/>
    <xf numFmtId="0" fontId="22" fillId="10" borderId="9" xfId="0" applyFont="1" applyFill="1" applyBorder="1"/>
    <xf numFmtId="0" fontId="21" fillId="10" borderId="11" xfId="0" applyFont="1" applyFill="1" applyBorder="1"/>
    <xf numFmtId="181" fontId="25" fillId="0" borderId="5" xfId="1" applyNumberFormat="1" applyFont="1" applyBorder="1" applyAlignment="1">
      <alignment horizontal="right"/>
    </xf>
    <xf numFmtId="181" fontId="25" fillId="0" borderId="13" xfId="1" applyNumberFormat="1" applyFont="1" applyBorder="1" applyAlignment="1">
      <alignment horizontal="right"/>
    </xf>
    <xf numFmtId="181" fontId="25" fillId="0" borderId="13" xfId="1" applyNumberFormat="1" applyFont="1" applyBorder="1" applyAlignment="1">
      <alignment horizontal="left"/>
    </xf>
    <xf numFmtId="181" fontId="25" fillId="0" borderId="15" xfId="1" applyNumberFormat="1" applyFont="1" applyBorder="1" applyAlignment="1">
      <alignment horizontal="left"/>
    </xf>
    <xf numFmtId="178" fontId="25" fillId="0" borderId="13" xfId="1" applyNumberFormat="1" applyFont="1" applyBorder="1" applyAlignment="1">
      <alignment horizontal="left"/>
    </xf>
    <xf numFmtId="0" fontId="16" fillId="4" borderId="25" xfId="0" applyFont="1" applyFill="1" applyBorder="1" applyAlignment="1">
      <alignment vertical="center"/>
    </xf>
    <xf numFmtId="0" fontId="16" fillId="4" borderId="26" xfId="0" applyFont="1" applyFill="1" applyBorder="1" applyAlignment="1">
      <alignment vertical="center"/>
    </xf>
    <xf numFmtId="0" fontId="21" fillId="4" borderId="26" xfId="0" applyFont="1" applyFill="1" applyBorder="1"/>
    <xf numFmtId="0" fontId="21" fillId="4" borderId="27" xfId="0" applyFont="1" applyFill="1" applyBorder="1"/>
    <xf numFmtId="0" fontId="17" fillId="0" borderId="16" xfId="0" applyFont="1" applyBorder="1"/>
    <xf numFmtId="0" fontId="27" fillId="5" borderId="13" xfId="0" applyFont="1" applyFill="1" applyBorder="1"/>
    <xf numFmtId="178" fontId="17" fillId="0" borderId="5" xfId="1" applyNumberFormat="1" applyFont="1" applyBorder="1"/>
    <xf numFmtId="178" fontId="17" fillId="0" borderId="13" xfId="1" applyNumberFormat="1" applyFont="1" applyFill="1" applyBorder="1"/>
    <xf numFmtId="178" fontId="17" fillId="0" borderId="15" xfId="1" applyNumberFormat="1" applyFont="1" applyFill="1" applyBorder="1"/>
    <xf numFmtId="178" fontId="17" fillId="0" borderId="13" xfId="1" applyNumberFormat="1" applyFont="1" applyBorder="1"/>
    <xf numFmtId="10" fontId="17" fillId="0" borderId="7" xfId="0" applyNumberFormat="1" applyFont="1" applyBorder="1"/>
    <xf numFmtId="10" fontId="17" fillId="0" borderId="17" xfId="0" applyNumberFormat="1" applyFont="1" applyBorder="1"/>
    <xf numFmtId="10" fontId="17" fillId="0" borderId="21" xfId="0" applyNumberFormat="1" applyFont="1" applyBorder="1"/>
    <xf numFmtId="10" fontId="17" fillId="0" borderId="12" xfId="0" applyNumberFormat="1" applyFont="1" applyBorder="1"/>
    <xf numFmtId="10" fontId="17" fillId="0" borderId="0" xfId="0" applyNumberFormat="1" applyFont="1"/>
    <xf numFmtId="0" fontId="25" fillId="5" borderId="2" xfId="0" applyFont="1" applyFill="1" applyBorder="1"/>
    <xf numFmtId="182" fontId="17" fillId="0" borderId="2" xfId="0" applyNumberFormat="1" applyFont="1" applyBorder="1"/>
    <xf numFmtId="182" fontId="17" fillId="0" borderId="3" xfId="0" applyNumberFormat="1" applyFont="1" applyBorder="1"/>
    <xf numFmtId="182" fontId="17" fillId="0" borderId="4" xfId="0" applyNumberFormat="1" applyFont="1" applyBorder="1"/>
    <xf numFmtId="0" fontId="27" fillId="5" borderId="3" xfId="0" applyFont="1" applyFill="1" applyBorder="1"/>
    <xf numFmtId="0" fontId="24" fillId="5" borderId="3" xfId="0" applyFont="1" applyFill="1" applyBorder="1"/>
    <xf numFmtId="178" fontId="25" fillId="0" borderId="13" xfId="1" applyNumberFormat="1" applyFont="1" applyFill="1" applyBorder="1"/>
    <xf numFmtId="178" fontId="25" fillId="0" borderId="5" xfId="1" applyNumberFormat="1" applyFont="1" applyFill="1" applyBorder="1"/>
    <xf numFmtId="178" fontId="25" fillId="0" borderId="15" xfId="1" applyNumberFormat="1" applyFont="1" applyFill="1" applyBorder="1"/>
    <xf numFmtId="178" fontId="17" fillId="0" borderId="0" xfId="1" applyNumberFormat="1" applyFont="1" applyFill="1" applyBorder="1"/>
    <xf numFmtId="178" fontId="17" fillId="0" borderId="12" xfId="1" applyNumberFormat="1" applyFont="1" applyFill="1" applyBorder="1"/>
    <xf numFmtId="178" fontId="17" fillId="0" borderId="16" xfId="1" applyNumberFormat="1" applyFont="1" applyFill="1" applyBorder="1"/>
    <xf numFmtId="0" fontId="19" fillId="5" borderId="22" xfId="0" applyFont="1" applyFill="1" applyBorder="1" applyAlignment="1">
      <alignment horizontal="left" indent="2"/>
    </xf>
    <xf numFmtId="10" fontId="19" fillId="0" borderId="0" xfId="3" applyNumberFormat="1" applyFont="1" applyFill="1" applyBorder="1"/>
    <xf numFmtId="10" fontId="19" fillId="0" borderId="16" xfId="3" applyNumberFormat="1" applyFont="1" applyFill="1" applyBorder="1"/>
    <xf numFmtId="0" fontId="17" fillId="5" borderId="22" xfId="0" applyFont="1" applyFill="1" applyBorder="1" applyAlignment="1">
      <alignment horizontal="left" indent="1"/>
    </xf>
    <xf numFmtId="0" fontId="17" fillId="5" borderId="8" xfId="0" applyFont="1" applyFill="1" applyBorder="1"/>
    <xf numFmtId="10" fontId="17" fillId="0" borderId="17" xfId="3" applyNumberFormat="1" applyFont="1" applyFill="1" applyBorder="1"/>
    <xf numFmtId="9" fontId="17" fillId="0" borderId="17" xfId="3" applyFont="1" applyBorder="1"/>
    <xf numFmtId="10" fontId="17" fillId="0" borderId="21" xfId="3" applyNumberFormat="1" applyFont="1" applyFill="1" applyBorder="1"/>
    <xf numFmtId="178" fontId="25" fillId="0" borderId="0" xfId="1" applyNumberFormat="1" applyFont="1" applyFill="1" applyBorder="1"/>
    <xf numFmtId="178" fontId="25" fillId="0" borderId="16" xfId="1" applyNumberFormat="1" applyFont="1" applyFill="1" applyBorder="1"/>
    <xf numFmtId="0" fontId="17" fillId="0" borderId="17" xfId="0" applyFont="1" applyBorder="1"/>
    <xf numFmtId="0" fontId="25" fillId="11" borderId="6" xfId="0" applyFont="1" applyFill="1" applyBorder="1"/>
    <xf numFmtId="178" fontId="25" fillId="11" borderId="13" xfId="1" applyNumberFormat="1" applyFont="1" applyFill="1" applyBorder="1"/>
    <xf numFmtId="178" fontId="25" fillId="11" borderId="5" xfId="1" applyNumberFormat="1" applyFont="1" applyFill="1" applyBorder="1"/>
    <xf numFmtId="178" fontId="25" fillId="11" borderId="15" xfId="1" applyNumberFormat="1" applyFont="1" applyFill="1" applyBorder="1"/>
    <xf numFmtId="0" fontId="25" fillId="11" borderId="8" xfId="0" applyFont="1" applyFill="1" applyBorder="1"/>
    <xf numFmtId="178" fontId="25" fillId="11" borderId="17" xfId="1" applyNumberFormat="1" applyFont="1" applyFill="1" applyBorder="1"/>
    <xf numFmtId="178" fontId="25" fillId="11" borderId="7" xfId="1" applyNumberFormat="1" applyFont="1" applyFill="1" applyBorder="1"/>
    <xf numFmtId="178" fontId="25" fillId="11" borderId="21" xfId="1" applyNumberFormat="1" applyFont="1" applyFill="1" applyBorder="1"/>
    <xf numFmtId="10" fontId="19" fillId="0" borderId="17" xfId="1" applyNumberFormat="1" applyFont="1" applyBorder="1"/>
    <xf numFmtId="10" fontId="19" fillId="0" borderId="21" xfId="1" applyNumberFormat="1" applyFont="1" applyBorder="1"/>
    <xf numFmtId="180" fontId="19" fillId="0" borderId="17" xfId="1" applyNumberFormat="1" applyFont="1" applyBorder="1"/>
    <xf numFmtId="180" fontId="19" fillId="0" borderId="21" xfId="1" applyNumberFormat="1" applyFont="1" applyBorder="1"/>
    <xf numFmtId="180" fontId="19" fillId="0" borderId="12" xfId="1" applyNumberFormat="1" applyFont="1" applyBorder="1"/>
    <xf numFmtId="180" fontId="19" fillId="0" borderId="0" xfId="1" applyNumberFormat="1" applyFont="1" applyBorder="1"/>
    <xf numFmtId="180" fontId="19" fillId="0" borderId="16" xfId="1" applyNumberFormat="1" applyFont="1" applyBorder="1"/>
    <xf numFmtId="180" fontId="19" fillId="0" borderId="2" xfId="1" applyNumberFormat="1" applyFont="1" applyBorder="1"/>
    <xf numFmtId="180" fontId="19" fillId="0" borderId="3" xfId="1" applyNumberFormat="1" applyFont="1" applyBorder="1"/>
    <xf numFmtId="180" fontId="19" fillId="0" borderId="4" xfId="1" applyNumberFormat="1" applyFont="1" applyBorder="1"/>
    <xf numFmtId="178" fontId="17" fillId="0" borderId="0" xfId="0" applyNumberFormat="1" applyFont="1" applyBorder="1"/>
    <xf numFmtId="180" fontId="19" fillId="0" borderId="7" xfId="1" applyNumberFormat="1" applyFont="1" applyBorder="1"/>
    <xf numFmtId="178" fontId="17" fillId="0" borderId="7" xfId="0" applyNumberFormat="1" applyFont="1" applyBorder="1"/>
    <xf numFmtId="178" fontId="17" fillId="0" borderId="17" xfId="0" applyNumberFormat="1" applyFont="1" applyBorder="1"/>
    <xf numFmtId="178" fontId="17" fillId="0" borderId="21" xfId="0" applyNumberFormat="1" applyFont="1" applyBorder="1"/>
    <xf numFmtId="0" fontId="23" fillId="5" borderId="23" xfId="0" applyFont="1" applyFill="1" applyBorder="1"/>
    <xf numFmtId="178" fontId="28" fillId="0" borderId="13" xfId="1" applyNumberFormat="1" applyFont="1" applyBorder="1"/>
    <xf numFmtId="10" fontId="20" fillId="6" borderId="17" xfId="0" applyNumberFormat="1" applyFont="1" applyFill="1" applyBorder="1"/>
    <xf numFmtId="180" fontId="19" fillId="0" borderId="0" xfId="3" applyNumberFormat="1" applyFont="1" applyFill="1" applyBorder="1"/>
    <xf numFmtId="181" fontId="17" fillId="0" borderId="12" xfId="1" applyNumberFormat="1" applyFont="1" applyFill="1" applyBorder="1"/>
    <xf numFmtId="180" fontId="19" fillId="0" borderId="12" xfId="3" applyNumberFormat="1" applyFont="1" applyFill="1" applyBorder="1"/>
    <xf numFmtId="180" fontId="19" fillId="0" borderId="16" xfId="3" applyNumberFormat="1" applyFont="1" applyFill="1" applyBorder="1"/>
    <xf numFmtId="10" fontId="17" fillId="0" borderId="7" xfId="3" applyNumberFormat="1" applyFont="1" applyFill="1" applyBorder="1"/>
    <xf numFmtId="0" fontId="27" fillId="0" borderId="0" xfId="0" applyFont="1"/>
    <xf numFmtId="0" fontId="16" fillId="4" borderId="29" xfId="0" applyFont="1" applyFill="1" applyBorder="1" applyAlignment="1">
      <alignment vertical="center"/>
    </xf>
    <xf numFmtId="0" fontId="21" fillId="4" borderId="14" xfId="0" applyFont="1" applyFill="1" applyBorder="1"/>
    <xf numFmtId="0" fontId="21" fillId="4" borderId="29" xfId="0" applyFont="1" applyFill="1" applyBorder="1"/>
    <xf numFmtId="0" fontId="17" fillId="5" borderId="30" xfId="0" applyFont="1" applyFill="1" applyBorder="1"/>
    <xf numFmtId="183" fontId="17" fillId="0" borderId="31" xfId="2" applyNumberFormat="1" applyFont="1" applyBorder="1"/>
    <xf numFmtId="0" fontId="27" fillId="5" borderId="32" xfId="0" applyFont="1" applyFill="1" applyBorder="1"/>
    <xf numFmtId="184" fontId="24" fillId="5" borderId="2" xfId="0" applyNumberFormat="1" applyFont="1" applyFill="1" applyBorder="1"/>
    <xf numFmtId="184" fontId="24" fillId="5" borderId="3" xfId="0" applyNumberFormat="1" applyFont="1" applyFill="1" applyBorder="1"/>
    <xf numFmtId="184" fontId="24" fillId="5" borderId="4" xfId="0" applyNumberFormat="1" applyFont="1" applyFill="1" applyBorder="1"/>
    <xf numFmtId="0" fontId="17" fillId="5" borderId="33" xfId="0" applyFont="1" applyFill="1" applyBorder="1"/>
    <xf numFmtId="183" fontId="17" fillId="0" borderId="34" xfId="2" applyNumberFormat="1" applyFont="1" applyBorder="1"/>
    <xf numFmtId="183" fontId="27" fillId="0" borderId="13" xfId="2" applyNumberFormat="1" applyFont="1" applyFill="1" applyBorder="1" applyAlignment="1">
      <alignment horizontal="right"/>
    </xf>
    <xf numFmtId="183" fontId="27" fillId="0" borderId="15" xfId="2" applyNumberFormat="1" applyFont="1" applyFill="1" applyBorder="1" applyAlignment="1">
      <alignment horizontal="right"/>
    </xf>
    <xf numFmtId="183" fontId="17" fillId="0" borderId="34" xfId="2" applyNumberFormat="1" applyFont="1" applyFill="1" applyBorder="1"/>
    <xf numFmtId="9" fontId="30" fillId="0" borderId="0" xfId="6" applyFont="1" applyBorder="1" applyAlignment="1">
      <alignment horizontal="right"/>
    </xf>
    <xf numFmtId="9" fontId="30" fillId="0" borderId="16" xfId="6" applyFont="1" applyBorder="1" applyAlignment="1">
      <alignment horizontal="right"/>
    </xf>
    <xf numFmtId="178" fontId="17" fillId="0" borderId="34" xfId="7" applyNumberFormat="1" applyFont="1" applyFill="1" applyBorder="1"/>
    <xf numFmtId="178" fontId="27" fillId="0" borderId="0" xfId="7" applyNumberFormat="1" applyFont="1" applyFill="1" applyBorder="1" applyAlignment="1">
      <alignment horizontal="right"/>
    </xf>
    <xf numFmtId="178" fontId="27" fillId="0" borderId="16" xfId="7" applyNumberFormat="1" applyFont="1" applyFill="1" applyBorder="1" applyAlignment="1">
      <alignment horizontal="right"/>
    </xf>
    <xf numFmtId="44" fontId="17" fillId="0" borderId="34" xfId="2" applyFont="1" applyBorder="1"/>
    <xf numFmtId="0" fontId="17" fillId="0" borderId="34" xfId="0" applyFont="1" applyBorder="1"/>
    <xf numFmtId="178" fontId="27" fillId="0" borderId="0" xfId="7" applyNumberFormat="1" applyFont="1" applyBorder="1" applyAlignment="1">
      <alignment horizontal="right"/>
    </xf>
    <xf numFmtId="178" fontId="27" fillId="0" borderId="16" xfId="7" applyNumberFormat="1" applyFont="1" applyBorder="1" applyAlignment="1">
      <alignment horizontal="right"/>
    </xf>
    <xf numFmtId="0" fontId="17" fillId="5" borderId="35" xfId="0" applyFont="1" applyFill="1" applyBorder="1"/>
    <xf numFmtId="44" fontId="18" fillId="0" borderId="34" xfId="2" applyFont="1" applyFill="1" applyBorder="1"/>
    <xf numFmtId="180" fontId="30" fillId="0" borderId="0" xfId="7" applyNumberFormat="1" applyFont="1" applyBorder="1" applyAlignment="1">
      <alignment horizontal="right"/>
    </xf>
    <xf numFmtId="180" fontId="30" fillId="0" borderId="16" xfId="7" applyNumberFormat="1" applyFont="1" applyBorder="1" applyAlignment="1">
      <alignment horizontal="right"/>
    </xf>
    <xf numFmtId="0" fontId="16" fillId="12" borderId="36" xfId="0" applyFont="1" applyFill="1" applyBorder="1"/>
    <xf numFmtId="9" fontId="16" fillId="12" borderId="28" xfId="0" applyNumberFormat="1" applyFont="1" applyFill="1" applyBorder="1"/>
    <xf numFmtId="0" fontId="27" fillId="0" borderId="16" xfId="0" applyFont="1" applyBorder="1" applyAlignment="1">
      <alignment horizontal="right"/>
    </xf>
    <xf numFmtId="180" fontId="30" fillId="0" borderId="0" xfId="7" applyNumberFormat="1" applyFont="1" applyFill="1" applyBorder="1" applyAlignment="1">
      <alignment horizontal="right"/>
    </xf>
    <xf numFmtId="180" fontId="30" fillId="0" borderId="16" xfId="7" applyNumberFormat="1" applyFont="1" applyFill="1" applyBorder="1" applyAlignment="1">
      <alignment horizontal="right"/>
    </xf>
    <xf numFmtId="10" fontId="27" fillId="0" borderId="0" xfId="7" applyNumberFormat="1" applyFont="1" applyFill="1" applyBorder="1" applyAlignment="1">
      <alignment horizontal="right"/>
    </xf>
    <xf numFmtId="10" fontId="27" fillId="0" borderId="16" xfId="7" applyNumberFormat="1" applyFont="1" applyFill="1" applyBorder="1" applyAlignment="1">
      <alignment horizontal="right"/>
    </xf>
    <xf numFmtId="10" fontId="27" fillId="0" borderId="0" xfId="7" applyNumberFormat="1" applyFont="1" applyBorder="1" applyAlignment="1">
      <alignment horizontal="right"/>
    </xf>
    <xf numFmtId="178" fontId="31" fillId="0" borderId="16" xfId="0" applyNumberFormat="1" applyFont="1" applyBorder="1" applyAlignment="1">
      <alignment horizontal="right"/>
    </xf>
    <xf numFmtId="178" fontId="31" fillId="0" borderId="0" xfId="7" applyNumberFormat="1" applyFont="1" applyFill="1" applyBorder="1" applyAlignment="1">
      <alignment horizontal="right"/>
    </xf>
    <xf numFmtId="178" fontId="31" fillId="0" borderId="16" xfId="7" applyNumberFormat="1" applyFont="1" applyFill="1" applyBorder="1" applyAlignment="1">
      <alignment horizontal="right"/>
    </xf>
    <xf numFmtId="180" fontId="30" fillId="0" borderId="16" xfId="0" applyNumberFormat="1" applyFont="1" applyBorder="1" applyAlignment="1">
      <alignment horizontal="right"/>
    </xf>
    <xf numFmtId="10" fontId="30" fillId="0" borderId="16" xfId="0" applyNumberFormat="1" applyFont="1" applyBorder="1" applyAlignment="1">
      <alignment horizontal="right"/>
    </xf>
    <xf numFmtId="9" fontId="27" fillId="0" borderId="0" xfId="6" applyFont="1" applyFill="1" applyBorder="1" applyAlignment="1">
      <alignment horizontal="right"/>
    </xf>
    <xf numFmtId="9" fontId="27" fillId="0" borderId="16" xfId="6" applyFont="1" applyFill="1" applyBorder="1" applyAlignment="1">
      <alignment horizontal="right"/>
    </xf>
    <xf numFmtId="178" fontId="27" fillId="0" borderId="0" xfId="7" applyNumberFormat="1" applyFont="1" applyBorder="1" applyAlignment="1">
      <alignment horizontal="right" indent="2"/>
    </xf>
    <xf numFmtId="178" fontId="27" fillId="0" borderId="16" xfId="7" applyNumberFormat="1" applyFont="1" applyBorder="1" applyAlignment="1">
      <alignment horizontal="right" indent="2"/>
    </xf>
    <xf numFmtId="10" fontId="27" fillId="0" borderId="0" xfId="0" applyNumberFormat="1" applyFont="1"/>
    <xf numFmtId="0" fontId="32" fillId="0" borderId="0" xfId="0" applyFont="1"/>
    <xf numFmtId="178" fontId="17" fillId="0" borderId="16" xfId="7" applyNumberFormat="1" applyFont="1" applyBorder="1" applyAlignment="1">
      <alignment horizontal="right"/>
    </xf>
    <xf numFmtId="178" fontId="17" fillId="0" borderId="0" xfId="7" applyNumberFormat="1" applyFont="1" applyBorder="1" applyAlignment="1">
      <alignment horizontal="right"/>
    </xf>
    <xf numFmtId="0" fontId="27" fillId="0" borderId="21" xfId="0" applyFont="1" applyBorder="1" applyAlignment="1">
      <alignment horizontal="right"/>
    </xf>
    <xf numFmtId="0" fontId="31" fillId="11" borderId="37" xfId="0" applyFont="1" applyFill="1" applyBorder="1"/>
    <xf numFmtId="178" fontId="31" fillId="11" borderId="10" xfId="0" applyNumberFormat="1" applyFont="1" applyFill="1" applyBorder="1" applyAlignment="1">
      <alignment horizontal="right"/>
    </xf>
    <xf numFmtId="178" fontId="31" fillId="11" borderId="11" xfId="0" applyNumberFormat="1" applyFont="1" applyFill="1" applyBorder="1" applyAlignment="1">
      <alignment horizontal="right"/>
    </xf>
    <xf numFmtId="0" fontId="27" fillId="0" borderId="2" xfId="0" applyFont="1" applyBorder="1"/>
    <xf numFmtId="0" fontId="27" fillId="0" borderId="3" xfId="0" applyFont="1" applyBorder="1"/>
    <xf numFmtId="43" fontId="27" fillId="0" borderId="3" xfId="0" applyNumberFormat="1" applyFont="1" applyBorder="1"/>
    <xf numFmtId="43" fontId="27" fillId="0" borderId="4" xfId="0" applyNumberFormat="1" applyFont="1" applyBorder="1"/>
    <xf numFmtId="0" fontId="27" fillId="0" borderId="7" xfId="0" applyFont="1" applyBorder="1"/>
    <xf numFmtId="0" fontId="27" fillId="0" borderId="17" xfId="0" applyFont="1" applyBorder="1"/>
    <xf numFmtId="43" fontId="27" fillId="0" borderId="21" xfId="0" applyNumberFormat="1" applyFont="1" applyBorder="1"/>
    <xf numFmtId="0" fontId="19" fillId="5" borderId="33" xfId="0" applyFont="1" applyFill="1" applyBorder="1" applyAlignment="1">
      <alignment horizontal="left" indent="1"/>
    </xf>
    <xf numFmtId="10" fontId="19" fillId="0" borderId="34" xfId="0" applyNumberFormat="1" applyFont="1" applyBorder="1"/>
    <xf numFmtId="10" fontId="18" fillId="0" borderId="34" xfId="0" applyNumberFormat="1" applyFont="1" applyBorder="1"/>
    <xf numFmtId="0" fontId="16" fillId="4" borderId="13" xfId="0" applyFont="1" applyFill="1" applyBorder="1"/>
    <xf numFmtId="0" fontId="16" fillId="4" borderId="15" xfId="0" applyFont="1" applyFill="1" applyBorder="1"/>
    <xf numFmtId="184" fontId="16" fillId="4" borderId="13" xfId="0" applyNumberFormat="1" applyFont="1" applyFill="1" applyBorder="1"/>
    <xf numFmtId="184" fontId="16" fillId="4" borderId="15" xfId="0" applyNumberFormat="1" applyFont="1" applyFill="1" applyBorder="1"/>
    <xf numFmtId="170" fontId="19" fillId="0" borderId="34" xfId="0" applyNumberFormat="1" applyFont="1" applyBorder="1"/>
    <xf numFmtId="10" fontId="17" fillId="0" borderId="0" xfId="6" applyNumberFormat="1" applyFont="1" applyBorder="1"/>
    <xf numFmtId="10" fontId="17" fillId="0" borderId="16" xfId="6" applyNumberFormat="1" applyFont="1" applyBorder="1"/>
    <xf numFmtId="10" fontId="17" fillId="0" borderId="0" xfId="6" applyNumberFormat="1" applyFont="1" applyFill="1" applyBorder="1"/>
    <xf numFmtId="9" fontId="18" fillId="0" borderId="38" xfId="0" applyNumberFormat="1" applyFont="1" applyBorder="1"/>
    <xf numFmtId="10" fontId="17" fillId="0" borderId="17" xfId="6" applyNumberFormat="1" applyFont="1" applyBorder="1"/>
    <xf numFmtId="10" fontId="17" fillId="0" borderId="21" xfId="6" applyNumberFormat="1" applyFont="1" applyBorder="1"/>
    <xf numFmtId="10" fontId="17" fillId="0" borderId="17" xfId="6" applyNumberFormat="1" applyFont="1" applyFill="1" applyBorder="1"/>
    <xf numFmtId="0" fontId="27" fillId="0" borderId="41" xfId="0" applyFont="1" applyBorder="1"/>
    <xf numFmtId="10" fontId="27" fillId="0" borderId="34" xfId="0" applyNumberFormat="1" applyFont="1" applyBorder="1"/>
    <xf numFmtId="3" fontId="17" fillId="0" borderId="34" xfId="8" applyNumberFormat="1" applyFont="1" applyBorder="1"/>
    <xf numFmtId="0" fontId="17" fillId="0" borderId="5" xfId="0" applyFont="1" applyBorder="1"/>
    <xf numFmtId="10" fontId="17" fillId="0" borderId="13" xfId="0" applyNumberFormat="1" applyFont="1" applyBorder="1"/>
    <xf numFmtId="170" fontId="17" fillId="0" borderId="13" xfId="0" applyNumberFormat="1" applyFont="1" applyBorder="1"/>
    <xf numFmtId="0" fontId="17" fillId="0" borderId="13" xfId="0" applyFont="1" applyBorder="1"/>
    <xf numFmtId="0" fontId="17" fillId="0" borderId="15" xfId="0" applyFont="1" applyBorder="1"/>
    <xf numFmtId="9" fontId="21" fillId="0" borderId="21" xfId="0" applyNumberFormat="1" applyFont="1" applyBorder="1"/>
    <xf numFmtId="170" fontId="17" fillId="0" borderId="17" xfId="0" applyNumberFormat="1" applyFont="1" applyBorder="1" applyAlignment="1">
      <alignment horizontal="center" vertical="top"/>
    </xf>
    <xf numFmtId="10" fontId="17" fillId="0" borderId="16" xfId="0" applyNumberFormat="1" applyFont="1" applyBorder="1" applyAlignment="1">
      <alignment horizontal="center"/>
    </xf>
    <xf numFmtId="180" fontId="25" fillId="0" borderId="0" xfId="0" applyNumberFormat="1" applyFont="1" applyAlignment="1">
      <alignment horizontal="center"/>
    </xf>
    <xf numFmtId="180" fontId="25" fillId="0" borderId="20" xfId="0" applyNumberFormat="1" applyFont="1" applyBorder="1" applyAlignment="1">
      <alignment horizontal="center"/>
    </xf>
    <xf numFmtId="0" fontId="31" fillId="13" borderId="37" xfId="0" applyFont="1" applyFill="1" applyBorder="1"/>
    <xf numFmtId="10" fontId="31" fillId="13" borderId="42" xfId="0" applyNumberFormat="1" applyFont="1" applyFill="1" applyBorder="1"/>
    <xf numFmtId="0" fontId="17" fillId="0" borderId="21" xfId="0" applyFont="1" applyBorder="1"/>
    <xf numFmtId="10" fontId="17" fillId="0" borderId="17" xfId="0" applyNumberFormat="1" applyFont="1" applyBorder="1" applyAlignment="1">
      <alignment horizontal="center" vertical="top"/>
    </xf>
    <xf numFmtId="0" fontId="27" fillId="5" borderId="41" xfId="0" applyFont="1" applyFill="1" applyBorder="1"/>
    <xf numFmtId="0" fontId="30" fillId="5" borderId="41" xfId="0" applyFont="1" applyFill="1" applyBorder="1" applyAlignment="1">
      <alignment horizontal="left" indent="1"/>
    </xf>
    <xf numFmtId="0" fontId="31" fillId="5" borderId="41" xfId="0" applyFont="1" applyFill="1" applyBorder="1"/>
    <xf numFmtId="0" fontId="27" fillId="5" borderId="43" xfId="0" applyFont="1" applyFill="1" applyBorder="1"/>
    <xf numFmtId="0" fontId="24" fillId="5" borderId="13" xfId="0" applyFont="1" applyFill="1" applyBorder="1" applyAlignment="1">
      <alignment horizontal="right"/>
    </xf>
    <xf numFmtId="0" fontId="27" fillId="0" borderId="0" xfId="0" applyFont="1" applyBorder="1" applyAlignment="1">
      <alignment horizontal="right"/>
    </xf>
    <xf numFmtId="178" fontId="27" fillId="0" borderId="0" xfId="0" applyNumberFormat="1" applyFont="1" applyBorder="1" applyAlignment="1">
      <alignment horizontal="right"/>
    </xf>
    <xf numFmtId="178" fontId="31" fillId="0" borderId="0" xfId="0" applyNumberFormat="1" applyFont="1" applyBorder="1" applyAlignment="1">
      <alignment horizontal="right"/>
    </xf>
    <xf numFmtId="180" fontId="30" fillId="0" borderId="0" xfId="0" applyNumberFormat="1" applyFont="1" applyBorder="1" applyAlignment="1">
      <alignment horizontal="right"/>
    </xf>
    <xf numFmtId="10" fontId="30" fillId="0" borderId="0" xfId="0" applyNumberFormat="1" applyFont="1" applyBorder="1" applyAlignment="1">
      <alignment horizontal="right"/>
    </xf>
    <xf numFmtId="9" fontId="27" fillId="0" borderId="0" xfId="0" applyNumberFormat="1" applyFont="1" applyBorder="1" applyAlignment="1">
      <alignment horizontal="right"/>
    </xf>
    <xf numFmtId="178" fontId="31" fillId="11" borderId="44" xfId="0" applyNumberFormat="1" applyFont="1" applyFill="1" applyBorder="1" applyAlignment="1">
      <alignment horizontal="right"/>
    </xf>
    <xf numFmtId="178" fontId="31" fillId="11" borderId="45" xfId="0" applyNumberFormat="1" applyFont="1" applyFill="1" applyBorder="1" applyAlignment="1">
      <alignment horizontal="right"/>
    </xf>
    <xf numFmtId="183" fontId="27" fillId="0" borderId="5" xfId="2" applyNumberFormat="1" applyFont="1" applyFill="1" applyBorder="1" applyAlignment="1">
      <alignment horizontal="right"/>
    </xf>
    <xf numFmtId="9" fontId="30" fillId="0" borderId="12" xfId="6" applyFont="1" applyBorder="1" applyAlignment="1">
      <alignment horizontal="right"/>
    </xf>
    <xf numFmtId="178" fontId="27" fillId="0" borderId="12" xfId="7" applyNumberFormat="1" applyFont="1" applyFill="1" applyBorder="1" applyAlignment="1">
      <alignment horizontal="right"/>
    </xf>
    <xf numFmtId="178" fontId="27" fillId="0" borderId="12" xfId="7" applyNumberFormat="1" applyFont="1" applyBorder="1" applyAlignment="1">
      <alignment horizontal="right"/>
    </xf>
    <xf numFmtId="180" fontId="30" fillId="0" borderId="12" xfId="7" applyNumberFormat="1" applyFont="1" applyBorder="1" applyAlignment="1">
      <alignment horizontal="right"/>
    </xf>
    <xf numFmtId="0" fontId="27" fillId="0" borderId="12" xfId="0" applyFont="1" applyBorder="1" applyAlignment="1">
      <alignment horizontal="right"/>
    </xf>
    <xf numFmtId="180" fontId="30" fillId="0" borderId="12" xfId="7" applyNumberFormat="1" applyFont="1" applyFill="1" applyBorder="1" applyAlignment="1">
      <alignment horizontal="right"/>
    </xf>
    <xf numFmtId="10" fontId="27" fillId="0" borderId="12" xfId="7" applyNumberFormat="1" applyFont="1" applyFill="1" applyBorder="1" applyAlignment="1">
      <alignment horizontal="right"/>
    </xf>
    <xf numFmtId="178" fontId="27" fillId="0" borderId="12" xfId="0" applyNumberFormat="1" applyFont="1" applyBorder="1" applyAlignment="1">
      <alignment horizontal="right"/>
    </xf>
    <xf numFmtId="178" fontId="31" fillId="0" borderId="12" xfId="0" applyNumberFormat="1" applyFont="1" applyBorder="1" applyAlignment="1">
      <alignment horizontal="right"/>
    </xf>
    <xf numFmtId="180" fontId="30" fillId="0" borderId="12" xfId="0" applyNumberFormat="1" applyFont="1" applyBorder="1" applyAlignment="1">
      <alignment horizontal="right"/>
    </xf>
    <xf numFmtId="10" fontId="30" fillId="0" borderId="12" xfId="0" applyNumberFormat="1" applyFont="1" applyBorder="1" applyAlignment="1">
      <alignment horizontal="right"/>
    </xf>
    <xf numFmtId="9" fontId="27" fillId="0" borderId="12" xfId="6" applyFont="1" applyFill="1" applyBorder="1" applyAlignment="1">
      <alignment horizontal="right"/>
    </xf>
    <xf numFmtId="178" fontId="27" fillId="0" borderId="12" xfId="7" applyNumberFormat="1" applyFont="1" applyBorder="1" applyAlignment="1">
      <alignment horizontal="right" indent="2"/>
    </xf>
    <xf numFmtId="178" fontId="27" fillId="0" borderId="17" xfId="7" applyNumberFormat="1" applyFont="1" applyBorder="1" applyAlignment="1">
      <alignment horizontal="right"/>
    </xf>
    <xf numFmtId="178" fontId="31" fillId="11" borderId="9" xfId="0" applyNumberFormat="1" applyFont="1" applyFill="1" applyBorder="1" applyAlignment="1">
      <alignment horizontal="right"/>
    </xf>
    <xf numFmtId="0" fontId="17" fillId="5" borderId="7" xfId="0" applyFont="1" applyFill="1" applyBorder="1"/>
    <xf numFmtId="10" fontId="17" fillId="0" borderId="5" xfId="6" applyNumberFormat="1" applyFont="1" applyBorder="1"/>
    <xf numFmtId="10" fontId="17" fillId="0" borderId="13" xfId="6" applyNumberFormat="1" applyFont="1" applyBorder="1"/>
    <xf numFmtId="10" fontId="17" fillId="0" borderId="13" xfId="6" applyNumberFormat="1" applyFont="1" applyFill="1" applyBorder="1"/>
    <xf numFmtId="10" fontId="17" fillId="0" borderId="15" xfId="6" applyNumberFormat="1" applyFont="1" applyBorder="1"/>
    <xf numFmtId="10" fontId="17" fillId="0" borderId="12" xfId="6" applyNumberFormat="1" applyFont="1" applyBorder="1"/>
    <xf numFmtId="10" fontId="17" fillId="0" borderId="7" xfId="6" applyNumberFormat="1" applyFont="1" applyBorder="1"/>
    <xf numFmtId="10" fontId="27" fillId="0" borderId="12" xfId="0" applyNumberFormat="1" applyFont="1" applyBorder="1" applyAlignment="1">
      <alignment horizontal="right"/>
    </xf>
    <xf numFmtId="164" fontId="7" fillId="10" borderId="0" xfId="4" applyNumberFormat="1" applyFont="1" applyFill="1" applyAlignment="1">
      <alignment horizontal="right" vertical="top" wrapText="1"/>
    </xf>
    <xf numFmtId="0" fontId="4" fillId="10" borderId="0" xfId="4" applyFont="1" applyFill="1"/>
    <xf numFmtId="0" fontId="7" fillId="10" borderId="0" xfId="4" applyFont="1" applyFill="1" applyAlignment="1">
      <alignment horizontal="left" vertical="top"/>
    </xf>
    <xf numFmtId="10" fontId="4" fillId="0" borderId="0" xfId="4" applyNumberFormat="1" applyFont="1" applyAlignment="1">
      <alignment wrapText="1"/>
    </xf>
    <xf numFmtId="10" fontId="7" fillId="0" borderId="0" xfId="4" applyNumberFormat="1" applyFont="1" applyAlignment="1">
      <alignment horizontal="center" vertical="top" wrapText="1"/>
    </xf>
    <xf numFmtId="171" fontId="4" fillId="0" borderId="0" xfId="4" applyNumberFormat="1" applyFont="1"/>
    <xf numFmtId="10" fontId="19" fillId="0" borderId="7" xfId="1" applyNumberFormat="1" applyFont="1" applyBorder="1"/>
    <xf numFmtId="0" fontId="7" fillId="0" borderId="0" xfId="4" applyFont="1" applyAlignment="1">
      <alignment vertical="top" wrapText="1"/>
    </xf>
    <xf numFmtId="0" fontId="17" fillId="5" borderId="22" xfId="0" applyFont="1" applyFill="1" applyBorder="1" applyAlignment="1">
      <alignment horizontal="left"/>
    </xf>
    <xf numFmtId="180" fontId="17" fillId="0" borderId="0" xfId="1" applyNumberFormat="1" applyFont="1" applyBorder="1"/>
    <xf numFmtId="180" fontId="17" fillId="0" borderId="16" xfId="1" applyNumberFormat="1" applyFont="1" applyBorder="1"/>
    <xf numFmtId="180" fontId="17" fillId="0" borderId="12" xfId="1" applyNumberFormat="1" applyFont="1" applyBorder="1"/>
    <xf numFmtId="0" fontId="27" fillId="0" borderId="5" xfId="0" applyFont="1" applyBorder="1"/>
    <xf numFmtId="0" fontId="27" fillId="0" borderId="13" xfId="0" applyFont="1" applyBorder="1"/>
    <xf numFmtId="43" fontId="27" fillId="0" borderId="15" xfId="0" applyNumberFormat="1" applyFont="1" applyBorder="1"/>
    <xf numFmtId="180" fontId="18" fillId="6" borderId="13" xfId="0" applyNumberFormat="1" applyFont="1" applyFill="1" applyBorder="1"/>
    <xf numFmtId="180" fontId="20" fillId="6" borderId="17" xfId="0" applyNumberFormat="1" applyFont="1" applyFill="1" applyBorder="1"/>
    <xf numFmtId="180" fontId="20" fillId="6" borderId="0" xfId="0" applyNumberFormat="1" applyFont="1" applyFill="1" applyBorder="1"/>
    <xf numFmtId="0" fontId="16" fillId="10" borderId="6" xfId="0" applyFont="1" applyFill="1" applyBorder="1"/>
    <xf numFmtId="0" fontId="16" fillId="10" borderId="13" xfId="0" applyFont="1" applyFill="1" applyBorder="1" applyAlignment="1">
      <alignment horizontal="center"/>
    </xf>
    <xf numFmtId="0" fontId="16" fillId="10" borderId="15" xfId="0" applyFont="1" applyFill="1" applyBorder="1" applyAlignment="1">
      <alignment horizontal="center"/>
    </xf>
    <xf numFmtId="0" fontId="16" fillId="9" borderId="6" xfId="0" applyFont="1" applyFill="1" applyBorder="1"/>
    <xf numFmtId="0" fontId="16" fillId="9" borderId="13" xfId="0" applyFont="1" applyFill="1" applyBorder="1" applyAlignment="1">
      <alignment horizontal="center"/>
    </xf>
    <xf numFmtId="0" fontId="16" fillId="9" borderId="15" xfId="0" applyFont="1" applyFill="1" applyBorder="1" applyAlignment="1">
      <alignment horizontal="center"/>
    </xf>
    <xf numFmtId="174" fontId="6" fillId="0" borderId="0" xfId="4" applyNumberFormat="1" applyFont="1" applyAlignment="1">
      <alignment horizontal="right"/>
    </xf>
    <xf numFmtId="175" fontId="6" fillId="0" borderId="0" xfId="4" applyNumberFormat="1" applyFont="1" applyAlignment="1">
      <alignment horizontal="right"/>
    </xf>
    <xf numFmtId="49" fontId="6" fillId="0" borderId="0" xfId="4" applyNumberFormat="1" applyFont="1" applyAlignment="1">
      <alignment horizontal="right"/>
    </xf>
    <xf numFmtId="0" fontId="6" fillId="0" borderId="0" xfId="4" applyFont="1" applyAlignment="1">
      <alignment horizontal="right"/>
    </xf>
    <xf numFmtId="10" fontId="17" fillId="0" borderId="0" xfId="0" applyNumberFormat="1" applyFont="1" applyFill="1" applyBorder="1"/>
    <xf numFmtId="10" fontId="18" fillId="6" borderId="0" xfId="0" applyNumberFormat="1" applyFont="1" applyFill="1" applyBorder="1"/>
    <xf numFmtId="10" fontId="18" fillId="6" borderId="16" xfId="0" applyNumberFormat="1" applyFont="1" applyFill="1" applyBorder="1"/>
    <xf numFmtId="10" fontId="20" fillId="6" borderId="21" xfId="0" applyNumberFormat="1" applyFont="1" applyFill="1" applyBorder="1"/>
    <xf numFmtId="0" fontId="37" fillId="15" borderId="5" xfId="0" applyFont="1" applyFill="1" applyBorder="1" applyAlignment="1">
      <alignment vertical="center"/>
    </xf>
    <xf numFmtId="0" fontId="38" fillId="15" borderId="13" xfId="0" applyFont="1" applyFill="1" applyBorder="1"/>
    <xf numFmtId="0" fontId="39" fillId="15" borderId="13" xfId="0" applyFont="1" applyFill="1" applyBorder="1"/>
    <xf numFmtId="0" fontId="38" fillId="15" borderId="15" xfId="0" applyFont="1" applyFill="1" applyBorder="1"/>
    <xf numFmtId="0" fontId="40" fillId="14" borderId="5" xfId="0" applyFont="1" applyFill="1" applyBorder="1" applyAlignment="1">
      <alignment horizontal="left" vertical="center" indent="1"/>
    </xf>
    <xf numFmtId="0" fontId="31" fillId="14" borderId="13" xfId="0" applyFont="1" applyFill="1" applyBorder="1" applyAlignment="1">
      <alignment horizontal="center" vertical="center"/>
    </xf>
    <xf numFmtId="0" fontId="31" fillId="14" borderId="15" xfId="0" applyFont="1" applyFill="1" applyBorder="1" applyAlignment="1">
      <alignment horizontal="center" vertical="center" wrapText="1"/>
    </xf>
    <xf numFmtId="0" fontId="25" fillId="0" borderId="0" xfId="0" applyFont="1"/>
    <xf numFmtId="14" fontId="36" fillId="16" borderId="12" xfId="0" applyNumberFormat="1" applyFont="1" applyFill="1" applyBorder="1" applyAlignment="1">
      <alignment horizontal="left"/>
    </xf>
    <xf numFmtId="0" fontId="36" fillId="16" borderId="12" xfId="0" applyFont="1" applyFill="1" applyBorder="1" applyAlignment="1">
      <alignment horizontal="left"/>
    </xf>
    <xf numFmtId="0" fontId="36" fillId="16" borderId="7" xfId="0" applyFont="1" applyFill="1" applyBorder="1"/>
    <xf numFmtId="185" fontId="36" fillId="17" borderId="17" xfId="0" applyNumberFormat="1" applyFont="1" applyFill="1" applyBorder="1" applyAlignment="1">
      <alignment horizontal="right"/>
    </xf>
    <xf numFmtId="186" fontId="36" fillId="17" borderId="21" xfId="0" applyNumberFormat="1" applyFont="1" applyFill="1" applyBorder="1" applyAlignment="1">
      <alignment horizontal="right"/>
    </xf>
    <xf numFmtId="0" fontId="42" fillId="16" borderId="5" xfId="0" applyFont="1" applyFill="1" applyBorder="1" applyAlignment="1">
      <alignment horizontal="left"/>
    </xf>
    <xf numFmtId="187" fontId="42" fillId="17" borderId="13" xfId="0" applyNumberFormat="1" applyFont="1" applyFill="1" applyBorder="1" applyAlignment="1">
      <alignment horizontal="right"/>
    </xf>
    <xf numFmtId="39" fontId="42" fillId="17" borderId="13" xfId="0" applyNumberFormat="1" applyFont="1" applyFill="1" applyBorder="1" applyAlignment="1">
      <alignment horizontal="right"/>
    </xf>
    <xf numFmtId="185" fontId="42" fillId="17" borderId="13" xfId="0" applyNumberFormat="1" applyFont="1" applyFill="1" applyBorder="1" applyAlignment="1">
      <alignment horizontal="right"/>
    </xf>
    <xf numFmtId="186" fontId="42" fillId="17" borderId="15" xfId="0" applyNumberFormat="1" applyFont="1" applyFill="1" applyBorder="1" applyAlignment="1">
      <alignment horizontal="right"/>
    </xf>
    <xf numFmtId="0" fontId="42" fillId="16" borderId="12" xfId="0" applyFont="1" applyFill="1" applyBorder="1" applyAlignment="1">
      <alignment horizontal="left"/>
    </xf>
    <xf numFmtId="187" fontId="42" fillId="17" borderId="0" xfId="0" applyNumberFormat="1" applyFont="1" applyFill="1" applyAlignment="1">
      <alignment horizontal="right"/>
    </xf>
    <xf numFmtId="39" fontId="42" fillId="17" borderId="0" xfId="0" applyNumberFormat="1" applyFont="1" applyFill="1" applyAlignment="1">
      <alignment horizontal="right"/>
    </xf>
    <xf numFmtId="185" fontId="42" fillId="17" borderId="0" xfId="0" applyNumberFormat="1" applyFont="1" applyFill="1" applyAlignment="1">
      <alignment horizontal="right"/>
    </xf>
    <xf numFmtId="186" fontId="42" fillId="17" borderId="16" xfId="0" applyNumberFormat="1" applyFont="1" applyFill="1" applyBorder="1" applyAlignment="1">
      <alignment horizontal="right"/>
    </xf>
    <xf numFmtId="0" fontId="42" fillId="16" borderId="7" xfId="0" applyFont="1" applyFill="1" applyBorder="1"/>
    <xf numFmtId="187" fontId="42" fillId="17" borderId="17" xfId="0" applyNumberFormat="1" applyFont="1" applyFill="1" applyBorder="1" applyAlignment="1">
      <alignment horizontal="right"/>
    </xf>
    <xf numFmtId="39" fontId="42" fillId="17" borderId="17" xfId="0" applyNumberFormat="1" applyFont="1" applyFill="1" applyBorder="1" applyAlignment="1">
      <alignment horizontal="right"/>
    </xf>
    <xf numFmtId="185" fontId="42" fillId="17" borderId="17" xfId="0" applyNumberFormat="1" applyFont="1" applyFill="1" applyBorder="1" applyAlignment="1">
      <alignment horizontal="right"/>
    </xf>
    <xf numFmtId="186" fontId="42" fillId="17" borderId="21" xfId="0" applyNumberFormat="1" applyFont="1" applyFill="1" applyBorder="1" applyAlignment="1">
      <alignment horizontal="right"/>
    </xf>
    <xf numFmtId="0" fontId="36" fillId="16" borderId="2" xfId="0" applyFont="1" applyFill="1" applyBorder="1"/>
    <xf numFmtId="187" fontId="36" fillId="17" borderId="3" xfId="0" applyNumberFormat="1" applyFont="1" applyFill="1" applyBorder="1" applyAlignment="1">
      <alignment horizontal="right"/>
    </xf>
    <xf numFmtId="39" fontId="36" fillId="17" borderId="3" xfId="0" applyNumberFormat="1" applyFont="1" applyFill="1" applyBorder="1" applyAlignment="1">
      <alignment horizontal="right"/>
    </xf>
    <xf numFmtId="185" fontId="36" fillId="17" borderId="3" xfId="0" applyNumberFormat="1" applyFont="1" applyFill="1" applyBorder="1" applyAlignment="1">
      <alignment horizontal="right"/>
    </xf>
    <xf numFmtId="186" fontId="36" fillId="17" borderId="4" xfId="0" applyNumberFormat="1" applyFont="1" applyFill="1" applyBorder="1" applyAlignment="1">
      <alignment horizontal="right"/>
    </xf>
    <xf numFmtId="37" fontId="36" fillId="17" borderId="13" xfId="0" applyNumberFormat="1" applyFont="1" applyFill="1" applyBorder="1"/>
    <xf numFmtId="39" fontId="36" fillId="17" borderId="13" xfId="0" applyNumberFormat="1" applyFont="1" applyFill="1" applyBorder="1"/>
    <xf numFmtId="185" fontId="36" fillId="17" borderId="13" xfId="0" applyNumberFormat="1" applyFont="1" applyFill="1" applyBorder="1"/>
    <xf numFmtId="186" fontId="36" fillId="17" borderId="15" xfId="0" applyNumberFormat="1" applyFont="1" applyFill="1" applyBorder="1"/>
    <xf numFmtId="37" fontId="36" fillId="17" borderId="17" xfId="0" applyNumberFormat="1" applyFont="1" applyFill="1" applyBorder="1"/>
    <xf numFmtId="39" fontId="36" fillId="17" borderId="17" xfId="0" applyNumberFormat="1" applyFont="1" applyFill="1" applyBorder="1"/>
    <xf numFmtId="185" fontId="41" fillId="17" borderId="17" xfId="0" applyNumberFormat="1" applyFont="1" applyFill="1" applyBorder="1"/>
    <xf numFmtId="186" fontId="36" fillId="17" borderId="21" xfId="0" applyNumberFormat="1" applyFont="1" applyFill="1" applyBorder="1"/>
    <xf numFmtId="0" fontId="17" fillId="0" borderId="0" xfId="0" applyFont="1" applyAlignment="1">
      <alignment vertical="top" wrapText="1"/>
    </xf>
    <xf numFmtId="2" fontId="17" fillId="0" borderId="0" xfId="0" applyNumberFormat="1" applyFont="1"/>
    <xf numFmtId="0" fontId="4" fillId="0" borderId="0" xfId="0" applyFont="1"/>
    <xf numFmtId="14" fontId="36" fillId="16" borderId="13" xfId="0" applyNumberFormat="1" applyFont="1" applyFill="1" applyBorder="1" applyAlignment="1">
      <alignment horizontal="left"/>
    </xf>
    <xf numFmtId="14" fontId="36" fillId="16" borderId="0" xfId="0" applyNumberFormat="1" applyFont="1" applyFill="1" applyBorder="1" applyAlignment="1">
      <alignment horizontal="left"/>
    </xf>
    <xf numFmtId="0" fontId="36" fillId="16" borderId="0" xfId="0" applyFont="1" applyFill="1" applyBorder="1" applyAlignment="1">
      <alignment horizontal="left"/>
    </xf>
    <xf numFmtId="0" fontId="36" fillId="16" borderId="17" xfId="0" applyFont="1" applyFill="1" applyBorder="1"/>
    <xf numFmtId="0" fontId="42" fillId="16" borderId="13" xfId="0" applyFont="1" applyFill="1" applyBorder="1" applyAlignment="1">
      <alignment horizontal="left"/>
    </xf>
    <xf numFmtId="0" fontId="42" fillId="16" borderId="0" xfId="0" applyFont="1" applyFill="1" applyBorder="1" applyAlignment="1">
      <alignment horizontal="left"/>
    </xf>
    <xf numFmtId="0" fontId="42" fillId="16" borderId="17" xfId="0" applyFont="1" applyFill="1" applyBorder="1"/>
    <xf numFmtId="0" fontId="36" fillId="16" borderId="3" xfId="0" applyFont="1" applyFill="1" applyBorder="1"/>
    <xf numFmtId="0" fontId="31" fillId="14" borderId="13" xfId="0" applyFont="1" applyFill="1" applyBorder="1" applyAlignment="1">
      <alignment vertical="center"/>
    </xf>
    <xf numFmtId="0" fontId="37" fillId="15" borderId="13" xfId="0" applyFont="1" applyFill="1" applyBorder="1" applyAlignment="1">
      <alignment vertical="center"/>
    </xf>
    <xf numFmtId="0" fontId="40" fillId="14" borderId="13" xfId="0" applyFont="1" applyFill="1" applyBorder="1" applyAlignment="1">
      <alignment horizontal="left" vertical="center" indent="1"/>
    </xf>
    <xf numFmtId="188" fontId="36" fillId="16" borderId="12" xfId="0" applyNumberFormat="1" applyFont="1" applyFill="1" applyBorder="1" applyAlignment="1">
      <alignment horizontal="left"/>
    </xf>
    <xf numFmtId="188" fontId="36" fillId="16" borderId="7" xfId="0" applyNumberFormat="1" applyFont="1" applyFill="1" applyBorder="1" applyAlignment="1">
      <alignment horizontal="left"/>
    </xf>
    <xf numFmtId="186" fontId="36" fillId="17" borderId="13" xfId="0" applyNumberFormat="1" applyFont="1" applyFill="1" applyBorder="1"/>
    <xf numFmtId="186" fontId="36" fillId="17" borderId="17" xfId="0" applyNumberFormat="1" applyFont="1" applyFill="1" applyBorder="1" applyAlignment="1">
      <alignment horizontal="right"/>
    </xf>
    <xf numFmtId="10" fontId="20" fillId="6" borderId="0" xfId="0" applyNumberFormat="1" applyFont="1" applyFill="1" applyBorder="1"/>
    <xf numFmtId="37" fontId="18" fillId="17" borderId="0" xfId="0" applyNumberFormat="1" applyFont="1" applyFill="1"/>
    <xf numFmtId="185" fontId="18" fillId="17" borderId="0" xfId="0" applyNumberFormat="1" applyFont="1" applyFill="1"/>
    <xf numFmtId="186" fontId="18" fillId="17" borderId="13" xfId="0" applyNumberFormat="1" applyFont="1" applyFill="1" applyBorder="1"/>
    <xf numFmtId="186" fontId="18" fillId="17" borderId="16" xfId="0" applyNumberFormat="1" applyFont="1" applyFill="1" applyBorder="1"/>
    <xf numFmtId="185" fontId="18" fillId="17" borderId="0" xfId="0" applyNumberFormat="1" applyFont="1" applyFill="1" applyAlignment="1">
      <alignment horizontal="right"/>
    </xf>
    <xf numFmtId="186" fontId="18" fillId="17" borderId="0" xfId="0" applyNumberFormat="1" applyFont="1" applyFill="1" applyBorder="1"/>
    <xf numFmtId="37" fontId="18" fillId="17" borderId="17" xfId="0" applyNumberFormat="1" applyFont="1" applyFill="1" applyBorder="1" applyAlignment="1">
      <alignment horizontal="right"/>
    </xf>
    <xf numFmtId="185" fontId="18" fillId="17" borderId="17" xfId="0" applyNumberFormat="1" applyFont="1" applyFill="1" applyBorder="1" applyAlignment="1">
      <alignment horizontal="right"/>
    </xf>
    <xf numFmtId="186" fontId="18" fillId="17" borderId="17" xfId="0" applyNumberFormat="1" applyFont="1" applyFill="1" applyBorder="1" applyAlignment="1">
      <alignment horizontal="right"/>
    </xf>
    <xf numFmtId="186" fontId="18" fillId="17" borderId="16" xfId="0" applyNumberFormat="1" applyFont="1" applyFill="1" applyBorder="1" applyAlignment="1">
      <alignment horizontal="right"/>
    </xf>
    <xf numFmtId="39" fontId="18" fillId="17" borderId="0" xfId="0" applyNumberFormat="1" applyFont="1" applyFill="1"/>
    <xf numFmtId="39" fontId="18" fillId="17" borderId="17" xfId="0" applyNumberFormat="1" applyFont="1" applyFill="1" applyBorder="1" applyAlignment="1">
      <alignment horizontal="right"/>
    </xf>
    <xf numFmtId="187" fontId="18" fillId="17" borderId="17" xfId="0" applyNumberFormat="1" applyFont="1" applyFill="1" applyBorder="1" applyAlignment="1">
      <alignment horizontal="right"/>
    </xf>
    <xf numFmtId="186" fontId="18" fillId="17" borderId="21" xfId="0" applyNumberFormat="1" applyFont="1" applyFill="1" applyBorder="1" applyAlignment="1">
      <alignment horizontal="right"/>
    </xf>
    <xf numFmtId="185" fontId="17" fillId="17" borderId="0" xfId="0" applyNumberFormat="1" applyFont="1" applyFill="1"/>
    <xf numFmtId="185" fontId="17" fillId="17" borderId="17" xfId="0" applyNumberFormat="1" applyFont="1" applyFill="1" applyBorder="1" applyAlignment="1">
      <alignment horizontal="right"/>
    </xf>
    <xf numFmtId="170" fontId="17" fillId="0" borderId="34" xfId="0" applyNumberFormat="1" applyFont="1" applyBorder="1"/>
    <xf numFmtId="185" fontId="17" fillId="17" borderId="0" xfId="0" applyNumberFormat="1" applyFont="1" applyFill="1" applyAlignment="1">
      <alignment horizontal="right"/>
    </xf>
    <xf numFmtId="10" fontId="0" fillId="0" borderId="0" xfId="0" applyNumberFormat="1"/>
    <xf numFmtId="180" fontId="18" fillId="6" borderId="5" xfId="3" applyNumberFormat="1" applyFont="1" applyFill="1" applyBorder="1"/>
    <xf numFmtId="180" fontId="18" fillId="6" borderId="15" xfId="3" applyNumberFormat="1" applyFont="1" applyFill="1" applyBorder="1"/>
    <xf numFmtId="180" fontId="20" fillId="6" borderId="21" xfId="0" applyNumberFormat="1" applyFont="1" applyFill="1" applyBorder="1"/>
    <xf numFmtId="180" fontId="18" fillId="6" borderId="15" xfId="0" applyNumberFormat="1" applyFont="1" applyFill="1" applyBorder="1"/>
    <xf numFmtId="178" fontId="0" fillId="0" borderId="0" xfId="0" applyNumberFormat="1"/>
    <xf numFmtId="180" fontId="20" fillId="6" borderId="12" xfId="3" applyNumberFormat="1" applyFont="1" applyFill="1" applyBorder="1"/>
    <xf numFmtId="180" fontId="20" fillId="6" borderId="16" xfId="3" applyNumberFormat="1" applyFont="1" applyFill="1" applyBorder="1"/>
    <xf numFmtId="180" fontId="18" fillId="6" borderId="13" xfId="3" applyNumberFormat="1" applyFont="1" applyFill="1" applyBorder="1"/>
    <xf numFmtId="0" fontId="44" fillId="0" borderId="0" xfId="0" applyFont="1"/>
    <xf numFmtId="189" fontId="27" fillId="0" borderId="34" xfId="0" applyNumberFormat="1" applyFont="1" applyBorder="1"/>
    <xf numFmtId="0" fontId="27" fillId="0" borderId="29" xfId="0" applyFont="1" applyBorder="1"/>
    <xf numFmtId="189" fontId="27" fillId="0" borderId="31" xfId="0" applyNumberFormat="1" applyFont="1" applyBorder="1"/>
    <xf numFmtId="0" fontId="27" fillId="0" borderId="52" xfId="0" applyFont="1" applyBorder="1"/>
    <xf numFmtId="189" fontId="27" fillId="0" borderId="53" xfId="0" applyNumberFormat="1" applyFont="1" applyBorder="1"/>
    <xf numFmtId="0" fontId="27" fillId="0" borderId="41" xfId="0" applyFont="1" applyBorder="1" applyAlignment="1">
      <alignment horizontal="left" indent="1"/>
    </xf>
    <xf numFmtId="189" fontId="31" fillId="0" borderId="34" xfId="0" applyNumberFormat="1" applyFont="1" applyBorder="1"/>
    <xf numFmtId="0" fontId="27" fillId="0" borderId="43" xfId="0" applyFont="1" applyBorder="1"/>
    <xf numFmtId="189" fontId="27" fillId="0" borderId="54" xfId="0" applyNumberFormat="1" applyFont="1" applyBorder="1"/>
    <xf numFmtId="0" fontId="27" fillId="0" borderId="41" xfId="0" applyFont="1" applyBorder="1" applyAlignment="1">
      <alignment horizontal="left"/>
    </xf>
    <xf numFmtId="0" fontId="27" fillId="0" borderId="55" xfId="0" applyFont="1" applyBorder="1"/>
    <xf numFmtId="189" fontId="27" fillId="0" borderId="56" xfId="0" applyNumberFormat="1" applyFont="1" applyBorder="1"/>
    <xf numFmtId="0" fontId="31" fillId="0" borderId="25" xfId="0" applyFont="1" applyBorder="1" applyAlignment="1">
      <alignment horizontal="left"/>
    </xf>
    <xf numFmtId="10" fontId="31" fillId="0" borderId="28" xfId="0" applyNumberFormat="1" applyFont="1" applyBorder="1"/>
    <xf numFmtId="0" fontId="27" fillId="0" borderId="57" xfId="0" applyFont="1" applyBorder="1"/>
    <xf numFmtId="189" fontId="27" fillId="0" borderId="38" xfId="0" applyNumberFormat="1" applyFont="1" applyBorder="1"/>
    <xf numFmtId="189" fontId="45" fillId="0" borderId="34" xfId="0" applyNumberFormat="1" applyFont="1" applyBorder="1"/>
    <xf numFmtId="189" fontId="17" fillId="0" borderId="34" xfId="0" applyNumberFormat="1" applyFont="1" applyBorder="1"/>
    <xf numFmtId="0" fontId="31" fillId="0" borderId="41" xfId="0" applyFont="1" applyBorder="1" applyAlignment="1">
      <alignment horizontal="left" indent="1"/>
    </xf>
    <xf numFmtId="190" fontId="25" fillId="0" borderId="34" xfId="0" applyNumberFormat="1" applyFont="1" applyBorder="1"/>
    <xf numFmtId="189" fontId="0" fillId="0" borderId="0" xfId="0" applyNumberFormat="1"/>
    <xf numFmtId="10" fontId="45" fillId="0" borderId="0" xfId="0" applyNumberFormat="1" applyFont="1" applyAlignment="1">
      <alignment horizontal="right"/>
    </xf>
    <xf numFmtId="0" fontId="0" fillId="0" borderId="0" xfId="0" applyAlignment="1">
      <alignment vertical="top" wrapText="1"/>
    </xf>
    <xf numFmtId="10" fontId="19" fillId="0" borderId="3" xfId="1" applyNumberFormat="1" applyFont="1" applyBorder="1"/>
    <xf numFmtId="10" fontId="19" fillId="0" borderId="4" xfId="1" applyNumberFormat="1" applyFont="1" applyBorder="1"/>
    <xf numFmtId="2" fontId="18" fillId="0" borderId="34" xfId="0" applyNumberFormat="1" applyFont="1" applyBorder="1"/>
    <xf numFmtId="0" fontId="46" fillId="18" borderId="0" xfId="0" applyFont="1" applyFill="1"/>
    <xf numFmtId="0" fontId="47" fillId="19" borderId="0" xfId="0" applyFont="1" applyFill="1" applyAlignment="1">
      <alignment wrapText="1"/>
    </xf>
    <xf numFmtId="10" fontId="48" fillId="0" borderId="0" xfId="0" applyNumberFormat="1" applyFont="1"/>
    <xf numFmtId="0" fontId="47" fillId="0" borderId="0" xfId="0" applyFont="1" applyAlignment="1">
      <alignment wrapText="1"/>
    </xf>
    <xf numFmtId="0" fontId="48" fillId="0" borderId="0" xfId="0" applyFont="1"/>
    <xf numFmtId="0" fontId="49" fillId="0" borderId="0" xfId="0" applyFont="1"/>
    <xf numFmtId="0" fontId="36" fillId="0" borderId="0" xfId="0" applyFont="1"/>
    <xf numFmtId="0" fontId="17" fillId="0" borderId="0" xfId="0" applyFont="1" applyAlignment="1">
      <alignment horizontal="right"/>
    </xf>
    <xf numFmtId="0" fontId="17" fillId="0" borderId="0" xfId="0" applyFont="1" applyAlignment="1">
      <alignment horizontal="center"/>
    </xf>
    <xf numFmtId="0" fontId="25" fillId="0" borderId="0" xfId="0" applyFont="1" applyFill="1" applyAlignment="1">
      <alignment horizontal="center"/>
    </xf>
    <xf numFmtId="0" fontId="17" fillId="0" borderId="0" xfId="0" applyFont="1" applyFill="1" applyBorder="1" applyAlignment="1">
      <alignment horizontal="center" vertical="center"/>
    </xf>
    <xf numFmtId="0" fontId="17" fillId="0" borderId="0" xfId="0" applyFont="1" applyFill="1"/>
    <xf numFmtId="0" fontId="25" fillId="0" borderId="0" xfId="0" applyFont="1" applyFill="1" applyAlignment="1">
      <alignment horizontal="center" vertical="center" wrapText="1"/>
    </xf>
    <xf numFmtId="0" fontId="25" fillId="0" borderId="0" xfId="0" applyFont="1" applyFill="1" applyAlignment="1">
      <alignment horizontal="center" vertical="center"/>
    </xf>
    <xf numFmtId="0" fontId="31" fillId="0" borderId="56" xfId="0" applyFont="1" applyFill="1" applyBorder="1" applyAlignment="1">
      <alignment horizontal="center"/>
    </xf>
    <xf numFmtId="0" fontId="31" fillId="0" borderId="54" xfId="0" applyFont="1" applyBorder="1" applyAlignment="1">
      <alignment horizontal="center"/>
    </xf>
    <xf numFmtId="0" fontId="25" fillId="0" borderId="0" xfId="0" applyFont="1" applyAlignment="1">
      <alignment vertical="center"/>
    </xf>
    <xf numFmtId="10" fontId="18" fillId="6" borderId="0" xfId="0" applyNumberFormat="1" applyFont="1" applyFill="1"/>
    <xf numFmtId="10" fontId="18" fillId="6" borderId="16" xfId="3" applyNumberFormat="1" applyFont="1" applyFill="1" applyBorder="1"/>
    <xf numFmtId="10" fontId="20" fillId="6" borderId="21" xfId="3" applyNumberFormat="1" applyFont="1" applyFill="1" applyBorder="1"/>
    <xf numFmtId="0" fontId="31" fillId="0" borderId="57" xfId="0" applyFont="1" applyBorder="1" applyAlignment="1">
      <alignment horizontal="left" indent="1"/>
    </xf>
    <xf numFmtId="190" fontId="25" fillId="0" borderId="38" xfId="0" applyNumberFormat="1" applyFont="1" applyBorder="1"/>
    <xf numFmtId="2" fontId="0" fillId="0" borderId="0" xfId="0" applyNumberFormat="1"/>
    <xf numFmtId="44" fontId="44" fillId="0" borderId="0" xfId="0" applyNumberFormat="1" applyFont="1"/>
    <xf numFmtId="0" fontId="17" fillId="24" borderId="6" xfId="0" applyFont="1" applyFill="1" applyBorder="1"/>
    <xf numFmtId="0" fontId="17" fillId="24" borderId="8" xfId="0" applyFont="1" applyFill="1" applyBorder="1"/>
    <xf numFmtId="0" fontId="25" fillId="24" borderId="6" xfId="0" applyFont="1" applyFill="1" applyBorder="1"/>
    <xf numFmtId="181" fontId="25" fillId="0" borderId="6" xfId="0" applyNumberFormat="1" applyFont="1" applyFill="1" applyBorder="1" applyAlignment="1">
      <alignment horizontal="right"/>
    </xf>
    <xf numFmtId="0" fontId="25" fillId="24" borderId="8" xfId="0" applyFont="1" applyFill="1" applyBorder="1"/>
    <xf numFmtId="0" fontId="41" fillId="24" borderId="50" xfId="0" applyFont="1" applyFill="1" applyBorder="1"/>
    <xf numFmtId="0" fontId="17" fillId="24" borderId="5" xfId="0" applyFont="1" applyFill="1" applyBorder="1"/>
    <xf numFmtId="0" fontId="17" fillId="24" borderId="12" xfId="0" applyFont="1" applyFill="1" applyBorder="1"/>
    <xf numFmtId="9" fontId="17" fillId="0" borderId="16" xfId="0" applyNumberFormat="1" applyFont="1" applyBorder="1"/>
    <xf numFmtId="0" fontId="17" fillId="24" borderId="7" xfId="0" applyFont="1" applyFill="1" applyBorder="1"/>
    <xf numFmtId="0" fontId="17" fillId="24" borderId="22" xfId="0" applyFont="1" applyFill="1" applyBorder="1"/>
    <xf numFmtId="0" fontId="49" fillId="0" borderId="12" xfId="0" applyFont="1" applyBorder="1"/>
    <xf numFmtId="43" fontId="17" fillId="0" borderId="0" xfId="1" applyFont="1"/>
    <xf numFmtId="0" fontId="43" fillId="20" borderId="2" xfId="0" applyFont="1" applyFill="1" applyBorder="1" applyAlignment="1"/>
    <xf numFmtId="43" fontId="17" fillId="0" borderId="0" xfId="1" applyFont="1" applyBorder="1"/>
    <xf numFmtId="43" fontId="17" fillId="0" borderId="16" xfId="1" applyFont="1" applyBorder="1"/>
    <xf numFmtId="43" fontId="17" fillId="0" borderId="21" xfId="1" applyFont="1" applyBorder="1"/>
    <xf numFmtId="43" fontId="17" fillId="0" borderId="15" xfId="1" applyFont="1" applyBorder="1"/>
    <xf numFmtId="43" fontId="17" fillId="0" borderId="6" xfId="1" applyFont="1" applyBorder="1"/>
    <xf numFmtId="43" fontId="17" fillId="0" borderId="22" xfId="1" applyFont="1" applyBorder="1"/>
    <xf numFmtId="43" fontId="17" fillId="0" borderId="8" xfId="1" applyFont="1" applyBorder="1"/>
    <xf numFmtId="10" fontId="17" fillId="0" borderId="22" xfId="0" applyNumberFormat="1" applyFont="1" applyBorder="1"/>
    <xf numFmtId="0" fontId="36" fillId="0" borderId="7" xfId="0" applyFont="1" applyBorder="1"/>
    <xf numFmtId="181" fontId="17" fillId="0" borderId="6" xfId="1" applyNumberFormat="1" applyFont="1" applyBorder="1"/>
    <xf numFmtId="181" fontId="17" fillId="0" borderId="22" xfId="1" applyNumberFormat="1" applyFont="1" applyBorder="1"/>
    <xf numFmtId="181" fontId="17" fillId="0" borderId="8" xfId="1" applyNumberFormat="1" applyFont="1" applyBorder="1"/>
    <xf numFmtId="181" fontId="17" fillId="0" borderId="6" xfId="0" applyNumberFormat="1" applyFont="1" applyBorder="1"/>
    <xf numFmtId="181" fontId="17" fillId="0" borderId="22" xfId="0" applyNumberFormat="1" applyFont="1" applyBorder="1"/>
    <xf numFmtId="181" fontId="17" fillId="0" borderId="8" xfId="0" applyNumberFormat="1" applyFont="1" applyBorder="1"/>
    <xf numFmtId="10" fontId="17" fillId="0" borderId="12" xfId="3" applyNumberFormat="1" applyFont="1" applyBorder="1"/>
    <xf numFmtId="9" fontId="17" fillId="0" borderId="15" xfId="3" applyFont="1" applyBorder="1"/>
    <xf numFmtId="43" fontId="17" fillId="0" borderId="16" xfId="1" applyNumberFormat="1" applyFont="1" applyBorder="1"/>
    <xf numFmtId="9" fontId="17" fillId="0" borderId="6" xfId="3" applyFont="1" applyBorder="1"/>
    <xf numFmtId="43" fontId="17" fillId="0" borderId="22" xfId="1" applyNumberFormat="1" applyFont="1" applyBorder="1"/>
    <xf numFmtId="9" fontId="17" fillId="0" borderId="21" xfId="3" applyFont="1" applyBorder="1"/>
    <xf numFmtId="0" fontId="17" fillId="0" borderId="0" xfId="0" applyFont="1" applyFill="1" applyBorder="1"/>
    <xf numFmtId="43" fontId="17" fillId="0" borderId="15" xfId="1" applyNumberFormat="1" applyFont="1" applyBorder="1"/>
    <xf numFmtId="43" fontId="17" fillId="0" borderId="21" xfId="1" applyNumberFormat="1" applyFont="1" applyBorder="1"/>
    <xf numFmtId="43" fontId="17" fillId="0" borderId="5" xfId="1" applyNumberFormat="1" applyFont="1" applyBorder="1"/>
    <xf numFmtId="43" fontId="17" fillId="0" borderId="12" xfId="0" applyNumberFormat="1" applyFont="1" applyBorder="1"/>
    <xf numFmtId="43" fontId="17" fillId="0" borderId="12" xfId="1" applyNumberFormat="1" applyFont="1" applyBorder="1"/>
    <xf numFmtId="43" fontId="17" fillId="0" borderId="7" xfId="1" applyNumberFormat="1" applyFont="1" applyBorder="1"/>
    <xf numFmtId="9" fontId="17" fillId="0" borderId="12" xfId="3" applyFont="1" applyBorder="1"/>
    <xf numFmtId="0" fontId="17" fillId="25" borderId="12" xfId="0" applyFont="1" applyFill="1" applyBorder="1"/>
    <xf numFmtId="0" fontId="17" fillId="25" borderId="0" xfId="0" applyFont="1" applyFill="1" applyBorder="1"/>
    <xf numFmtId="9" fontId="17" fillId="0" borderId="0" xfId="3" applyFont="1" applyBorder="1"/>
    <xf numFmtId="9" fontId="17" fillId="0" borderId="16" xfId="3" applyFont="1" applyBorder="1"/>
    <xf numFmtId="0" fontId="17" fillId="25" borderId="7" xfId="0" applyFont="1" applyFill="1" applyBorder="1"/>
    <xf numFmtId="9" fontId="17" fillId="0" borderId="5" xfId="3" applyFont="1" applyBorder="1"/>
    <xf numFmtId="9" fontId="17" fillId="0" borderId="13" xfId="3" applyFont="1" applyBorder="1"/>
    <xf numFmtId="9" fontId="17" fillId="0" borderId="7" xfId="3" applyFont="1" applyBorder="1"/>
    <xf numFmtId="9" fontId="17" fillId="24" borderId="13" xfId="3" applyFont="1" applyFill="1" applyBorder="1"/>
    <xf numFmtId="9" fontId="17" fillId="24" borderId="15" xfId="3" applyFont="1" applyFill="1" applyBorder="1"/>
    <xf numFmtId="43" fontId="17" fillId="24" borderId="12" xfId="1" applyFont="1" applyFill="1" applyBorder="1"/>
    <xf numFmtId="43" fontId="17" fillId="24" borderId="7" xfId="1" applyFont="1" applyFill="1" applyBorder="1"/>
    <xf numFmtId="9" fontId="17" fillId="0" borderId="22" xfId="3" applyFont="1" applyBorder="1"/>
    <xf numFmtId="0" fontId="25" fillId="24" borderId="22" xfId="0" applyFont="1" applyFill="1" applyBorder="1"/>
    <xf numFmtId="9" fontId="25" fillId="0" borderId="15" xfId="3" applyFont="1" applyFill="1" applyBorder="1" applyAlignment="1">
      <alignment horizontal="right"/>
    </xf>
    <xf numFmtId="9" fontId="41" fillId="0" borderId="0" xfId="3" applyFont="1" applyBorder="1" applyAlignment="1">
      <alignment horizontal="right" vertical="center"/>
    </xf>
    <xf numFmtId="9" fontId="41" fillId="0" borderId="17" xfId="3" applyFont="1" applyBorder="1" applyAlignment="1">
      <alignment horizontal="right" vertical="center"/>
    </xf>
    <xf numFmtId="0" fontId="49" fillId="0" borderId="5" xfId="0" applyFont="1" applyBorder="1"/>
    <xf numFmtId="0" fontId="49" fillId="0" borderId="7" xfId="0" applyFont="1" applyBorder="1"/>
    <xf numFmtId="0" fontId="43" fillId="20" borderId="5" xfId="0" applyFont="1" applyFill="1" applyBorder="1" applyAlignment="1"/>
    <xf numFmtId="0" fontId="43" fillId="20" borderId="13" xfId="0" applyFont="1" applyFill="1" applyBorder="1" applyAlignment="1"/>
    <xf numFmtId="0" fontId="43" fillId="20" borderId="6" xfId="0" applyFont="1" applyFill="1" applyBorder="1" applyAlignment="1">
      <alignment horizontal="center"/>
    </xf>
    <xf numFmtId="0" fontId="24" fillId="5" borderId="4" xfId="0" applyFont="1" applyFill="1" applyBorder="1"/>
    <xf numFmtId="43" fontId="17" fillId="0" borderId="0" xfId="1" applyNumberFormat="1" applyFont="1" applyFill="1" applyBorder="1"/>
    <xf numFmtId="0" fontId="16" fillId="4" borderId="5" xfId="0" applyFont="1" applyFill="1" applyBorder="1" applyAlignment="1">
      <alignment vertical="center"/>
    </xf>
    <xf numFmtId="0" fontId="21" fillId="4" borderId="13" xfId="0" applyFont="1" applyFill="1" applyBorder="1"/>
    <xf numFmtId="0" fontId="21" fillId="4" borderId="15" xfId="0" applyFont="1" applyFill="1" applyBorder="1"/>
    <xf numFmtId="43" fontId="17" fillId="0" borderId="16" xfId="1" applyNumberFormat="1" applyFont="1" applyFill="1" applyBorder="1"/>
    <xf numFmtId="43" fontId="17" fillId="0" borderId="0" xfId="0" applyNumberFormat="1" applyFont="1" applyBorder="1"/>
    <xf numFmtId="43" fontId="17" fillId="0" borderId="16" xfId="0" applyNumberFormat="1" applyFont="1" applyBorder="1"/>
    <xf numFmtId="0" fontId="27" fillId="24" borderId="6" xfId="0" applyFont="1" applyFill="1" applyBorder="1"/>
    <xf numFmtId="0" fontId="24" fillId="5" borderId="2" xfId="0" applyFont="1" applyFill="1" applyBorder="1"/>
    <xf numFmtId="43" fontId="17" fillId="0" borderId="0" xfId="1" applyFont="1" applyFill="1" applyBorder="1"/>
    <xf numFmtId="43" fontId="17" fillId="0" borderId="16" xfId="1" applyFont="1" applyFill="1" applyBorder="1"/>
    <xf numFmtId="180" fontId="25" fillId="0" borderId="17" xfId="3" applyNumberFormat="1" applyFont="1" applyBorder="1"/>
    <xf numFmtId="180" fontId="25" fillId="0" borderId="21" xfId="3" applyNumberFormat="1" applyFont="1" applyBorder="1"/>
    <xf numFmtId="180" fontId="17" fillId="0" borderId="21" xfId="3" applyNumberFormat="1" applyFont="1" applyBorder="1"/>
    <xf numFmtId="0" fontId="43" fillId="20" borderId="29" xfId="0" applyFont="1" applyFill="1" applyBorder="1" applyAlignment="1">
      <alignment horizontal="center"/>
    </xf>
    <xf numFmtId="0" fontId="43" fillId="20" borderId="31" xfId="0" applyFont="1" applyFill="1" applyBorder="1" applyAlignment="1">
      <alignment horizontal="center"/>
    </xf>
    <xf numFmtId="0" fontId="25" fillId="0" borderId="0" xfId="0" applyFont="1" applyAlignment="1">
      <alignment horizontal="center" vertical="center"/>
    </xf>
    <xf numFmtId="0" fontId="25" fillId="0" borderId="0" xfId="0" applyFont="1" applyAlignment="1">
      <alignment horizontal="center"/>
    </xf>
    <xf numFmtId="0" fontId="43" fillId="20" borderId="5" xfId="0" applyFont="1" applyFill="1" applyBorder="1" applyAlignment="1">
      <alignment horizontal="center"/>
    </xf>
    <xf numFmtId="0" fontId="17" fillId="0" borderId="15" xfId="0" applyFont="1" applyBorder="1" applyAlignment="1">
      <alignment horizontal="center" vertical="center" wrapText="1"/>
    </xf>
    <xf numFmtId="0" fontId="17" fillId="0" borderId="16" xfId="0" applyFont="1" applyBorder="1" applyAlignment="1">
      <alignment horizontal="center" vertical="center" wrapText="1"/>
    </xf>
    <xf numFmtId="0" fontId="17" fillId="0" borderId="21" xfId="0" applyFont="1" applyBorder="1" applyAlignment="1">
      <alignment horizontal="center" vertical="center" wrapText="1"/>
    </xf>
    <xf numFmtId="0" fontId="43" fillId="20" borderId="4" xfId="0" applyFont="1" applyFill="1" applyBorder="1" applyAlignment="1">
      <alignment horizontal="center"/>
    </xf>
    <xf numFmtId="0" fontId="17" fillId="0" borderId="0" xfId="0" applyFont="1" applyBorder="1" applyAlignment="1">
      <alignment vertical="top" wrapText="1"/>
    </xf>
    <xf numFmtId="0" fontId="17" fillId="0" borderId="0" xfId="0" applyFont="1" applyBorder="1"/>
    <xf numFmtId="0" fontId="17" fillId="23" borderId="60" xfId="0" applyFont="1" applyFill="1" applyBorder="1"/>
    <xf numFmtId="181" fontId="17" fillId="0" borderId="47" xfId="0" applyNumberFormat="1" applyFont="1" applyBorder="1" applyAlignment="1">
      <alignment horizontal="right"/>
    </xf>
    <xf numFmtId="0" fontId="17" fillId="23" borderId="61" xfId="0" applyFont="1" applyFill="1" applyBorder="1" applyAlignment="1">
      <alignment horizontal="left"/>
    </xf>
    <xf numFmtId="181" fontId="17" fillId="0" borderId="49" xfId="0" applyNumberFormat="1" applyFont="1" applyBorder="1" applyAlignment="1">
      <alignment horizontal="right"/>
    </xf>
    <xf numFmtId="0" fontId="17" fillId="23" borderId="61" xfId="0" applyFont="1" applyFill="1" applyBorder="1"/>
    <xf numFmtId="0" fontId="17" fillId="23" borderId="62" xfId="0" applyFont="1" applyFill="1" applyBorder="1"/>
    <xf numFmtId="181" fontId="17" fillId="0" borderId="51" xfId="0" applyNumberFormat="1" applyFont="1" applyBorder="1" applyAlignment="1">
      <alignment horizontal="right"/>
    </xf>
    <xf numFmtId="181" fontId="17" fillId="0" borderId="0" xfId="0" applyNumberFormat="1" applyFont="1" applyBorder="1" applyAlignment="1">
      <alignment horizontal="right"/>
    </xf>
    <xf numFmtId="0" fontId="17" fillId="0" borderId="0" xfId="0" applyFont="1" applyBorder="1" applyAlignment="1">
      <alignment horizontal="right"/>
    </xf>
    <xf numFmtId="0" fontId="36" fillId="24" borderId="46" xfId="0" applyFont="1" applyFill="1" applyBorder="1"/>
    <xf numFmtId="181" fontId="36" fillId="0" borderId="46" xfId="0" applyNumberFormat="1" applyFont="1" applyBorder="1" applyAlignment="1">
      <alignment horizontal="right"/>
    </xf>
    <xf numFmtId="0" fontId="36" fillId="24" borderId="48" xfId="0" applyFont="1" applyFill="1" applyBorder="1" applyAlignment="1">
      <alignment vertical="center"/>
    </xf>
    <xf numFmtId="9" fontId="36" fillId="0" borderId="48" xfId="0" applyNumberFormat="1" applyFont="1" applyBorder="1" applyAlignment="1">
      <alignment horizontal="right" vertical="center"/>
    </xf>
    <xf numFmtId="181" fontId="41" fillId="0" borderId="50" xfId="0" applyNumberFormat="1" applyFont="1" applyBorder="1" applyAlignment="1">
      <alignment horizontal="right"/>
    </xf>
    <xf numFmtId="0" fontId="36" fillId="23" borderId="46" xfId="0" applyFont="1" applyFill="1" applyBorder="1"/>
    <xf numFmtId="0" fontId="17" fillId="23" borderId="48" xfId="0" applyFont="1" applyFill="1" applyBorder="1"/>
    <xf numFmtId="9" fontId="17" fillId="0" borderId="48" xfId="0" applyNumberFormat="1" applyFont="1" applyBorder="1" applyAlignment="1">
      <alignment horizontal="right"/>
    </xf>
    <xf numFmtId="181" fontId="17" fillId="0" borderId="48" xfId="0" applyNumberFormat="1" applyFont="1" applyBorder="1" applyAlignment="1">
      <alignment horizontal="right"/>
    </xf>
    <xf numFmtId="9" fontId="17" fillId="0" borderId="22" xfId="0" applyNumberFormat="1" applyFont="1" applyBorder="1" applyAlignment="1">
      <alignment horizontal="right"/>
    </xf>
    <xf numFmtId="181" fontId="17" fillId="0" borderId="22" xfId="0" applyNumberFormat="1" applyFont="1" applyBorder="1" applyAlignment="1">
      <alignment horizontal="right"/>
    </xf>
    <xf numFmtId="181" fontId="25" fillId="0" borderId="8" xfId="0" applyNumberFormat="1" applyFont="1" applyBorder="1" applyAlignment="1">
      <alignment horizontal="right"/>
    </xf>
    <xf numFmtId="181" fontId="25" fillId="0" borderId="6" xfId="0" applyNumberFormat="1" applyFont="1" applyBorder="1" applyAlignment="1">
      <alignment horizontal="right"/>
    </xf>
    <xf numFmtId="181" fontId="17" fillId="0" borderId="8" xfId="0" applyNumberFormat="1" applyFont="1" applyBorder="1" applyAlignment="1">
      <alignment horizontal="right"/>
    </xf>
    <xf numFmtId="0" fontId="43" fillId="20" borderId="56" xfId="0" applyFont="1" applyFill="1" applyBorder="1" applyAlignment="1">
      <alignment horizontal="center"/>
    </xf>
    <xf numFmtId="0" fontId="43" fillId="20" borderId="63" xfId="0" applyFont="1" applyFill="1" applyBorder="1" applyAlignment="1">
      <alignment horizontal="center"/>
    </xf>
    <xf numFmtId="0" fontId="17" fillId="0" borderId="64" xfId="0" applyFont="1" applyBorder="1" applyAlignment="1">
      <alignment vertical="top" wrapText="1"/>
    </xf>
    <xf numFmtId="0" fontId="17" fillId="0" borderId="65" xfId="0" applyFont="1" applyBorder="1" applyAlignment="1">
      <alignment vertical="top" wrapText="1"/>
    </xf>
    <xf numFmtId="0" fontId="17" fillId="0" borderId="66" xfId="0" applyFont="1" applyBorder="1" applyAlignment="1">
      <alignment vertical="top" wrapText="1"/>
    </xf>
    <xf numFmtId="10" fontId="17" fillId="0" borderId="6" xfId="0" applyNumberFormat="1" applyFont="1" applyBorder="1"/>
    <xf numFmtId="10" fontId="17" fillId="0" borderId="8" xfId="0" applyNumberFormat="1" applyFont="1" applyBorder="1"/>
    <xf numFmtId="0" fontId="43" fillId="0" borderId="0" xfId="0" applyFont="1" applyFill="1" applyBorder="1" applyAlignment="1"/>
    <xf numFmtId="0" fontId="43" fillId="20" borderId="3" xfId="0" applyFont="1" applyFill="1" applyBorder="1" applyAlignment="1"/>
    <xf numFmtId="0" fontId="43" fillId="20" borderId="20" xfId="0" applyFont="1" applyFill="1" applyBorder="1" applyAlignment="1">
      <alignment horizontal="center"/>
    </xf>
    <xf numFmtId="0" fontId="43" fillId="20" borderId="15" xfId="0" applyFont="1" applyFill="1" applyBorder="1" applyAlignment="1">
      <alignment horizontal="center"/>
    </xf>
    <xf numFmtId="0" fontId="17" fillId="0" borderId="5" xfId="0" applyFont="1" applyBorder="1" applyAlignment="1">
      <alignment horizontal="left" vertical="top" wrapText="1"/>
    </xf>
    <xf numFmtId="0" fontId="17" fillId="0" borderId="15" xfId="0" applyFont="1" applyBorder="1" applyAlignment="1">
      <alignment horizontal="left" vertical="top" wrapText="1"/>
    </xf>
    <xf numFmtId="0" fontId="17" fillId="0" borderId="12" xfId="0" applyFont="1" applyBorder="1" applyAlignment="1">
      <alignment horizontal="left" vertical="top" wrapText="1"/>
    </xf>
    <xf numFmtId="0" fontId="17" fillId="0" borderId="16" xfId="0" applyFont="1" applyBorder="1" applyAlignment="1">
      <alignment horizontal="left" vertical="top" wrapText="1"/>
    </xf>
    <xf numFmtId="0" fontId="17" fillId="0" borderId="7" xfId="0" applyFont="1" applyBorder="1" applyAlignment="1">
      <alignment horizontal="left" vertical="top" wrapText="1"/>
    </xf>
    <xf numFmtId="0" fontId="17" fillId="0" borderId="21" xfId="0" applyFont="1" applyBorder="1" applyAlignment="1">
      <alignment horizontal="left" vertical="top" wrapText="1"/>
    </xf>
    <xf numFmtId="0" fontId="43" fillId="20" borderId="29" xfId="0" applyFont="1" applyFill="1" applyBorder="1" applyAlignment="1">
      <alignment horizontal="center"/>
    </xf>
    <xf numFmtId="0" fontId="43" fillId="20" borderId="31" xfId="0" applyFont="1" applyFill="1" applyBorder="1" applyAlignment="1">
      <alignment horizontal="center"/>
    </xf>
    <xf numFmtId="0" fontId="31" fillId="0" borderId="55" xfId="0" applyFont="1" applyBorder="1" applyAlignment="1">
      <alignment horizontal="center" vertical="center"/>
    </xf>
    <xf numFmtId="0" fontId="31" fillId="0" borderId="43" xfId="0" applyFont="1" applyBorder="1" applyAlignment="1">
      <alignment horizontal="center" vertical="center"/>
    </xf>
    <xf numFmtId="0" fontId="51" fillId="0" borderId="5" xfId="0" applyFont="1" applyBorder="1" applyAlignment="1">
      <alignment horizontal="left" vertical="top" wrapText="1"/>
    </xf>
    <xf numFmtId="0" fontId="51" fillId="0" borderId="15" xfId="0" applyFont="1" applyBorder="1" applyAlignment="1">
      <alignment horizontal="left" vertical="top" wrapText="1"/>
    </xf>
    <xf numFmtId="0" fontId="51" fillId="0" borderId="12" xfId="0" applyFont="1" applyBorder="1" applyAlignment="1">
      <alignment horizontal="left" vertical="top" wrapText="1"/>
    </xf>
    <xf numFmtId="0" fontId="51" fillId="0" borderId="16" xfId="0" applyFont="1" applyBorder="1" applyAlignment="1">
      <alignment horizontal="left" vertical="top" wrapText="1"/>
    </xf>
    <xf numFmtId="0" fontId="51" fillId="0" borderId="7" xfId="0" applyFont="1" applyBorder="1" applyAlignment="1">
      <alignment horizontal="left" vertical="top" wrapText="1"/>
    </xf>
    <xf numFmtId="0" fontId="51" fillId="0" borderId="21" xfId="0" applyFont="1" applyBorder="1" applyAlignment="1">
      <alignment horizontal="left" vertical="top" wrapText="1"/>
    </xf>
    <xf numFmtId="0" fontId="25" fillId="0" borderId="0" xfId="0" applyFont="1" applyAlignment="1">
      <alignment horizontal="center" vertical="center"/>
    </xf>
    <xf numFmtId="0" fontId="25" fillId="0" borderId="12" xfId="0" applyFont="1" applyBorder="1" applyAlignment="1">
      <alignment horizontal="right" vertical="center"/>
    </xf>
    <xf numFmtId="0" fontId="25" fillId="0" borderId="0" xfId="0" applyFont="1" applyAlignment="1">
      <alignment horizontal="center" wrapText="1"/>
    </xf>
    <xf numFmtId="0" fontId="25" fillId="0" borderId="0" xfId="0" applyFont="1" applyAlignment="1">
      <alignment horizontal="center"/>
    </xf>
    <xf numFmtId="0" fontId="25" fillId="0" borderId="0" xfId="0" applyFont="1" applyAlignment="1">
      <alignment horizontal="center" vertical="center" wrapText="1"/>
    </xf>
    <xf numFmtId="0" fontId="17" fillId="22" borderId="58" xfId="0" applyFont="1" applyFill="1" applyBorder="1" applyAlignment="1">
      <alignment horizontal="center" vertical="center"/>
    </xf>
    <xf numFmtId="0" fontId="17" fillId="22" borderId="59" xfId="0" applyFont="1" applyFill="1" applyBorder="1" applyAlignment="1">
      <alignment horizontal="center" vertical="center"/>
    </xf>
    <xf numFmtId="0" fontId="17" fillId="21" borderId="58" xfId="0" applyFont="1" applyFill="1" applyBorder="1" applyAlignment="1">
      <alignment horizontal="center" vertical="center"/>
    </xf>
    <xf numFmtId="0" fontId="17" fillId="21" borderId="59" xfId="0" applyFont="1" applyFill="1" applyBorder="1" applyAlignment="1">
      <alignment horizontal="center" vertical="center"/>
    </xf>
    <xf numFmtId="0" fontId="29" fillId="4" borderId="25" xfId="0" applyFont="1" applyFill="1" applyBorder="1" applyAlignment="1">
      <alignment horizontal="center"/>
    </xf>
    <xf numFmtId="0" fontId="29" fillId="4" borderId="28" xfId="0" applyFont="1" applyFill="1" applyBorder="1" applyAlignment="1">
      <alignment horizontal="center"/>
    </xf>
    <xf numFmtId="0" fontId="33" fillId="4" borderId="39" xfId="0" applyFont="1" applyFill="1" applyBorder="1" applyAlignment="1">
      <alignment horizontal="center"/>
    </xf>
    <xf numFmtId="0" fontId="33" fillId="4" borderId="40" xfId="0" applyFont="1" applyFill="1" applyBorder="1" applyAlignment="1">
      <alignment horizontal="center"/>
    </xf>
    <xf numFmtId="10" fontId="20" fillId="0" borderId="7" xfId="0" applyNumberFormat="1" applyFont="1" applyBorder="1" applyAlignment="1">
      <alignment horizontal="center"/>
    </xf>
    <xf numFmtId="10" fontId="20" fillId="0" borderId="17" xfId="0" applyNumberFormat="1" applyFont="1" applyBorder="1" applyAlignment="1">
      <alignment horizontal="center"/>
    </xf>
    <xf numFmtId="10" fontId="20" fillId="0" borderId="21" xfId="0" applyNumberFormat="1" applyFont="1" applyBorder="1" applyAlignment="1">
      <alignment horizontal="center"/>
    </xf>
    <xf numFmtId="0" fontId="16" fillId="10" borderId="2" xfId="0" applyFont="1" applyFill="1" applyBorder="1" applyAlignment="1">
      <alignment horizontal="center"/>
    </xf>
    <xf numFmtId="0" fontId="16" fillId="10" borderId="3" xfId="0" applyFont="1" applyFill="1" applyBorder="1" applyAlignment="1">
      <alignment horizontal="center"/>
    </xf>
    <xf numFmtId="0" fontId="16" fillId="10" borderId="4" xfId="0" applyFont="1" applyFill="1" applyBorder="1" applyAlignment="1">
      <alignment horizontal="center"/>
    </xf>
    <xf numFmtId="180" fontId="18" fillId="0" borderId="5" xfId="0" applyNumberFormat="1" applyFont="1" applyBorder="1" applyAlignment="1">
      <alignment horizontal="center"/>
    </xf>
    <xf numFmtId="180" fontId="18" fillId="0" borderId="13" xfId="0" applyNumberFormat="1" applyFont="1" applyBorder="1" applyAlignment="1">
      <alignment horizontal="center"/>
    </xf>
    <xf numFmtId="180" fontId="18" fillId="0" borderId="15" xfId="0" applyNumberFormat="1" applyFont="1" applyBorder="1" applyAlignment="1">
      <alignment horizontal="center"/>
    </xf>
    <xf numFmtId="0" fontId="31" fillId="14" borderId="16" xfId="0" applyFont="1" applyFill="1" applyBorder="1" applyAlignment="1">
      <alignment horizontal="center" vertical="center" wrapText="1"/>
    </xf>
    <xf numFmtId="0" fontId="31" fillId="14" borderId="21" xfId="0" applyFont="1" applyFill="1" applyBorder="1" applyAlignment="1">
      <alignment horizontal="center" vertical="center" wrapText="1"/>
    </xf>
    <xf numFmtId="0" fontId="16" fillId="4" borderId="2" xfId="0" applyFont="1" applyFill="1" applyBorder="1" applyAlignment="1">
      <alignment horizontal="center"/>
    </xf>
    <xf numFmtId="0" fontId="16" fillId="4" borderId="4" xfId="0" applyFont="1" applyFill="1" applyBorder="1" applyAlignment="1">
      <alignment horizontal="center"/>
    </xf>
    <xf numFmtId="0" fontId="41" fillId="14" borderId="12" xfId="0" applyFont="1" applyFill="1" applyBorder="1" applyAlignment="1">
      <alignment horizontal="center" vertical="center"/>
    </xf>
    <xf numFmtId="0" fontId="41" fillId="14" borderId="7" xfId="0" applyFont="1" applyFill="1" applyBorder="1" applyAlignment="1">
      <alignment horizontal="center" vertical="center"/>
    </xf>
    <xf numFmtId="0" fontId="31" fillId="14" borderId="0" xfId="0" applyFont="1" applyFill="1" applyAlignment="1">
      <alignment horizontal="center" vertical="center"/>
    </xf>
    <xf numFmtId="0" fontId="31" fillId="14" borderId="17" xfId="0" applyFont="1" applyFill="1" applyBorder="1" applyAlignment="1">
      <alignment horizontal="center" vertical="center"/>
    </xf>
    <xf numFmtId="0" fontId="31" fillId="14" borderId="16" xfId="0" applyFont="1" applyFill="1" applyBorder="1" applyAlignment="1">
      <alignment horizontal="center" vertical="center"/>
    </xf>
    <xf numFmtId="0" fontId="31" fillId="14" borderId="21" xfId="0" applyFont="1" applyFill="1" applyBorder="1" applyAlignment="1">
      <alignment horizontal="center" vertical="center"/>
    </xf>
    <xf numFmtId="0" fontId="31" fillId="14" borderId="3" xfId="0" applyFont="1" applyFill="1" applyBorder="1" applyAlignment="1">
      <alignment horizontal="center" vertical="center"/>
    </xf>
    <xf numFmtId="0" fontId="31" fillId="14" borderId="4" xfId="0" applyFont="1" applyFill="1" applyBorder="1" applyAlignment="1">
      <alignment horizontal="center" vertical="center"/>
    </xf>
    <xf numFmtId="0" fontId="41" fillId="14" borderId="12" xfId="0" applyFont="1" applyFill="1" applyBorder="1" applyAlignment="1">
      <alignment horizontal="center" vertical="center" wrapText="1"/>
    </xf>
    <xf numFmtId="0" fontId="41" fillId="14" borderId="0" xfId="0" applyFont="1" applyFill="1" applyBorder="1" applyAlignment="1">
      <alignment horizontal="center" vertical="center"/>
    </xf>
    <xf numFmtId="0" fontId="41" fillId="14" borderId="17" xfId="0" applyFont="1" applyFill="1" applyBorder="1" applyAlignment="1">
      <alignment horizontal="center" vertical="center"/>
    </xf>
    <xf numFmtId="0" fontId="43" fillId="20" borderId="39" xfId="0" applyFont="1" applyFill="1" applyBorder="1" applyAlignment="1">
      <alignment horizontal="center" vertical="center"/>
    </xf>
    <xf numFmtId="0" fontId="43" fillId="20" borderId="19" xfId="0" applyFont="1" applyFill="1" applyBorder="1" applyAlignment="1">
      <alignment horizontal="center" vertical="center"/>
    </xf>
    <xf numFmtId="0" fontId="17" fillId="0" borderId="60" xfId="0" applyFont="1" applyBorder="1" applyAlignment="1">
      <alignment horizontal="center" vertical="top" wrapText="1"/>
    </xf>
    <xf numFmtId="0" fontId="17" fillId="0" borderId="61" xfId="0" applyFont="1" applyBorder="1" applyAlignment="1">
      <alignment horizontal="center" vertical="top" wrapText="1"/>
    </xf>
    <xf numFmtId="0" fontId="17" fillId="0" borderId="62" xfId="0" applyFont="1" applyBorder="1" applyAlignment="1">
      <alignment horizontal="center" vertical="top" wrapText="1"/>
    </xf>
    <xf numFmtId="0" fontId="36" fillId="0" borderId="60" xfId="0" applyFont="1" applyBorder="1" applyAlignment="1">
      <alignment horizontal="center" vertical="top" wrapText="1"/>
    </xf>
    <xf numFmtId="0" fontId="36" fillId="0" borderId="61" xfId="0" applyFont="1" applyBorder="1" applyAlignment="1">
      <alignment horizontal="center" vertical="top" wrapText="1"/>
    </xf>
    <xf numFmtId="0" fontId="36" fillId="0" borderId="62" xfId="0" applyFont="1" applyBorder="1" applyAlignment="1">
      <alignment horizontal="center" vertical="top" wrapText="1"/>
    </xf>
    <xf numFmtId="0" fontId="17" fillId="0" borderId="47" xfId="0" applyFont="1" applyBorder="1" applyAlignment="1">
      <alignment horizontal="center" vertical="top" wrapText="1"/>
    </xf>
    <xf numFmtId="0" fontId="17" fillId="0" borderId="49" xfId="0" applyFont="1" applyBorder="1" applyAlignment="1">
      <alignment horizontal="center" vertical="top" wrapText="1"/>
    </xf>
    <xf numFmtId="0" fontId="17" fillId="0" borderId="51" xfId="0" applyFont="1" applyBorder="1" applyAlignment="1">
      <alignment horizontal="center" vertical="top" wrapText="1"/>
    </xf>
    <xf numFmtId="0" fontId="43" fillId="20" borderId="2" xfId="0" applyFont="1" applyFill="1" applyBorder="1" applyAlignment="1">
      <alignment horizontal="center"/>
    </xf>
    <xf numFmtId="0" fontId="43" fillId="20" borderId="3" xfId="0" applyFont="1" applyFill="1" applyBorder="1" applyAlignment="1">
      <alignment horizontal="center"/>
    </xf>
    <xf numFmtId="0" fontId="43" fillId="20" borderId="5" xfId="0" applyFont="1" applyFill="1" applyBorder="1" applyAlignment="1">
      <alignment horizontal="center"/>
    </xf>
    <xf numFmtId="0" fontId="43" fillId="20" borderId="13" xfId="0" applyFont="1" applyFill="1" applyBorder="1" applyAlignment="1">
      <alignment horizontal="center"/>
    </xf>
    <xf numFmtId="0" fontId="17" fillId="0" borderId="6" xfId="0" applyFont="1" applyBorder="1" applyAlignment="1">
      <alignment horizontal="center" wrapText="1"/>
    </xf>
    <xf numFmtId="0" fontId="17" fillId="0" borderId="22" xfId="0" applyFont="1" applyBorder="1" applyAlignment="1">
      <alignment horizontal="center" wrapText="1"/>
    </xf>
    <xf numFmtId="0" fontId="17" fillId="0" borderId="8" xfId="0" applyFont="1" applyBorder="1" applyAlignment="1">
      <alignment horizontal="center" wrapText="1"/>
    </xf>
    <xf numFmtId="0" fontId="17" fillId="0" borderId="15" xfId="0" applyFont="1" applyBorder="1" applyAlignment="1">
      <alignment horizontal="center" vertical="center" wrapText="1"/>
    </xf>
    <xf numFmtId="0" fontId="17" fillId="0" borderId="16" xfId="0" applyFont="1" applyBorder="1" applyAlignment="1">
      <alignment horizontal="center" vertical="center" wrapText="1"/>
    </xf>
    <xf numFmtId="0" fontId="17" fillId="0" borderId="21" xfId="0" applyFont="1" applyBorder="1" applyAlignment="1">
      <alignment horizontal="center" vertical="center" wrapText="1"/>
    </xf>
    <xf numFmtId="0" fontId="17" fillId="0" borderId="16" xfId="0" applyFont="1" applyBorder="1" applyAlignment="1">
      <alignment horizontal="center" wrapText="1"/>
    </xf>
    <xf numFmtId="0" fontId="17" fillId="0" borderId="21" xfId="0" applyFont="1" applyBorder="1" applyAlignment="1">
      <alignment horizontal="center" wrapText="1"/>
    </xf>
    <xf numFmtId="0" fontId="17" fillId="0" borderId="15" xfId="0" applyFont="1" applyBorder="1" applyAlignment="1">
      <alignment horizontal="center" wrapText="1"/>
    </xf>
    <xf numFmtId="0" fontId="43" fillId="20" borderId="12" xfId="0" applyFont="1" applyFill="1" applyBorder="1" applyAlignment="1">
      <alignment horizontal="center"/>
    </xf>
    <xf numFmtId="0" fontId="43" fillId="20" borderId="0" xfId="0" applyFont="1" applyFill="1" applyBorder="1" applyAlignment="1">
      <alignment horizontal="center"/>
    </xf>
    <xf numFmtId="0" fontId="43" fillId="20" borderId="4" xfId="0" applyFont="1" applyFill="1" applyBorder="1" applyAlignment="1">
      <alignment horizontal="center"/>
    </xf>
    <xf numFmtId="0" fontId="17" fillId="0" borderId="5" xfId="0" applyFont="1" applyBorder="1" applyAlignment="1">
      <alignment horizontal="center" wrapText="1"/>
    </xf>
    <xf numFmtId="0" fontId="17" fillId="0" borderId="13" xfId="0" applyFont="1" applyBorder="1" applyAlignment="1">
      <alignment horizontal="center" wrapText="1"/>
    </xf>
    <xf numFmtId="0" fontId="17" fillId="0" borderId="12" xfId="0" applyFont="1" applyBorder="1" applyAlignment="1">
      <alignment horizontal="center" wrapText="1"/>
    </xf>
    <xf numFmtId="0" fontId="17" fillId="0" borderId="0" xfId="0" applyFont="1" applyBorder="1" applyAlignment="1">
      <alignment horizontal="center" wrapText="1"/>
    </xf>
    <xf numFmtId="0" fontId="17" fillId="0" borderId="7" xfId="0" applyFont="1" applyBorder="1" applyAlignment="1">
      <alignment horizontal="center" wrapText="1"/>
    </xf>
    <xf numFmtId="0" fontId="17" fillId="0" borderId="17" xfId="0" applyFont="1" applyBorder="1" applyAlignment="1">
      <alignment horizontal="center" wrapText="1"/>
    </xf>
    <xf numFmtId="0" fontId="17" fillId="25" borderId="13" xfId="0" applyFont="1" applyFill="1" applyBorder="1" applyAlignment="1">
      <alignment horizontal="center"/>
    </xf>
    <xf numFmtId="0" fontId="17" fillId="25" borderId="15" xfId="0" applyFont="1" applyFill="1" applyBorder="1" applyAlignment="1">
      <alignment horizontal="center"/>
    </xf>
    <xf numFmtId="0" fontId="17" fillId="25" borderId="12" xfId="0" applyFont="1" applyFill="1" applyBorder="1" applyAlignment="1">
      <alignment horizontal="center" wrapText="1"/>
    </xf>
    <xf numFmtId="0" fontId="17" fillId="0" borderId="5" xfId="0" applyFont="1" applyBorder="1" applyAlignment="1">
      <alignment horizontal="center" vertical="center" wrapText="1"/>
    </xf>
    <xf numFmtId="0" fontId="17" fillId="0" borderId="12" xfId="0" applyFont="1" applyBorder="1" applyAlignment="1">
      <alignment horizontal="center" vertical="center" wrapText="1"/>
    </xf>
    <xf numFmtId="0" fontId="17" fillId="0" borderId="7" xfId="0" applyFont="1" applyBorder="1" applyAlignment="1">
      <alignment horizontal="center" vertical="center" wrapText="1"/>
    </xf>
  </cellXfs>
  <cellStyles count="9">
    <cellStyle name="Comma" xfId="1" builtinId="3"/>
    <cellStyle name="Comma 3" xfId="7" xr:uid="{D633CD52-085D-AB48-A743-4A1A6B116071}"/>
    <cellStyle name="Currency" xfId="2" builtinId="4"/>
    <cellStyle name="Hyperlink" xfId="8" builtinId="8"/>
    <cellStyle name="Invisible" xfId="5" xr:uid="{8689B64E-3CBB-4E48-8B3F-79DFAAD5DB4F}"/>
    <cellStyle name="Normal" xfId="0" builtinId="0"/>
    <cellStyle name="Normal 2" xfId="4" xr:uid="{77A5EBD5-B0D1-1B45-A346-B41C0A5D2455}"/>
    <cellStyle name="Percent" xfId="3" builtinId="5"/>
    <cellStyle name="Percent 3" xfId="6" xr:uid="{99F5186D-6E2E-C54B-BC33-238AE6862D28}"/>
  </cellStyles>
  <dxfs count="0"/>
  <tableStyles count="0" defaultTableStyle="TableStyleMedium2" defaultPivotStyle="PivotStyleMedium9"/>
  <colors>
    <mruColors>
      <color rgb="FF199563"/>
      <color rgb="FF6985AA"/>
      <color rgb="FF9FCAFF"/>
      <color rgb="FF0C00FF"/>
      <color rgb="FF85A9D6"/>
      <color rgb="FF0D03FF"/>
      <color rgb="FF4167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31"/>
    </mc:Choice>
    <mc:Fallback>
      <c:style val="31"/>
    </mc:Fallback>
  </mc:AlternateContent>
  <c:chart>
    <c:title>
      <c:tx>
        <c:rich>
          <a:bodyPr/>
          <a:lstStyle/>
          <a:p>
            <a:pPr>
              <a:defRPr>
                <a:latin typeface="Garamond" panose="02020404030301010803" pitchFamily="18" charset="0"/>
              </a:defRPr>
            </a:pPr>
            <a:r>
              <a:rPr lang="en-US">
                <a:latin typeface="Garamond" panose="02020404030301010803" pitchFamily="18" charset="0"/>
              </a:rPr>
              <a:t>Valuation Methods and Results (Synergy Adjusted)</a:t>
            </a:r>
          </a:p>
        </c:rich>
      </c:tx>
      <c:overlay val="0"/>
    </c:title>
    <c:autoTitleDeleted val="0"/>
    <c:plotArea>
      <c:layout>
        <c:manualLayout>
          <c:layoutTarget val="inner"/>
          <c:xMode val="edge"/>
          <c:yMode val="edge"/>
          <c:x val="0.29069807572395989"/>
          <c:y val="0.13506711409395974"/>
          <c:w val="0.67483606676237295"/>
          <c:h val="0.71813216720393169"/>
        </c:manualLayout>
      </c:layout>
      <c:barChart>
        <c:barDir val="bar"/>
        <c:grouping val="clustered"/>
        <c:varyColors val="0"/>
        <c:ser>
          <c:idx val="0"/>
          <c:order val="0"/>
          <c:spPr>
            <a:solidFill>
              <a:srgbClr val="44536A"/>
            </a:solidFill>
          </c:spPr>
          <c:invertIfNegative val="0"/>
          <c:dPt>
            <c:idx val="0"/>
            <c:invertIfNegative val="0"/>
            <c:bubble3D val="0"/>
            <c:spPr>
              <a:solidFill>
                <a:schemeClr val="bg1">
                  <a:lumMod val="75000"/>
                </a:schemeClr>
              </a:solidFill>
            </c:spPr>
            <c:extLst>
              <c:ext xmlns:c16="http://schemas.microsoft.com/office/drawing/2014/chart" uri="{C3380CC4-5D6E-409C-BE32-E72D297353CC}">
                <c16:uniqueId val="{00000001-309B-F542-8B72-0F572BE9168D}"/>
              </c:ext>
            </c:extLst>
          </c:dPt>
          <c:dPt>
            <c:idx val="1"/>
            <c:invertIfNegative val="0"/>
            <c:bubble3D val="0"/>
            <c:spPr>
              <a:solidFill>
                <a:schemeClr val="bg1">
                  <a:lumMod val="75000"/>
                </a:schemeClr>
              </a:solidFill>
            </c:spPr>
            <c:extLst>
              <c:ext xmlns:c16="http://schemas.microsoft.com/office/drawing/2014/chart" uri="{C3380CC4-5D6E-409C-BE32-E72D297353CC}">
                <c16:uniqueId val="{00000003-309B-F542-8B72-0F572BE9168D}"/>
              </c:ext>
            </c:extLst>
          </c:dPt>
          <c:dPt>
            <c:idx val="2"/>
            <c:invertIfNegative val="0"/>
            <c:bubble3D val="0"/>
            <c:spPr>
              <a:solidFill>
                <a:srgbClr val="9FCAFF"/>
              </a:solidFill>
            </c:spPr>
            <c:extLst>
              <c:ext xmlns:c16="http://schemas.microsoft.com/office/drawing/2014/chart" uri="{C3380CC4-5D6E-409C-BE32-E72D297353CC}">
                <c16:uniqueId val="{00000005-309B-F542-8B72-0F572BE9168D}"/>
              </c:ext>
            </c:extLst>
          </c:dPt>
          <c:dPt>
            <c:idx val="3"/>
            <c:invertIfNegative val="0"/>
            <c:bubble3D val="0"/>
            <c:spPr>
              <a:solidFill>
                <a:srgbClr val="9FCAFF"/>
              </a:solidFill>
            </c:spPr>
            <c:extLst>
              <c:ext xmlns:c16="http://schemas.microsoft.com/office/drawing/2014/chart" uri="{C3380CC4-5D6E-409C-BE32-E72D297353CC}">
                <c16:uniqueId val="{00000007-309B-F542-8B72-0F572BE9168D}"/>
              </c:ext>
            </c:extLst>
          </c:dPt>
          <c:dPt>
            <c:idx val="4"/>
            <c:invertIfNegative val="0"/>
            <c:bubble3D val="0"/>
            <c:spPr>
              <a:solidFill>
                <a:srgbClr val="6985A9"/>
              </a:solidFill>
            </c:spPr>
            <c:extLst>
              <c:ext xmlns:c16="http://schemas.microsoft.com/office/drawing/2014/chart" uri="{C3380CC4-5D6E-409C-BE32-E72D297353CC}">
                <c16:uniqueId val="{00000009-309B-F542-8B72-0F572BE9168D}"/>
              </c:ext>
            </c:extLst>
          </c:dPt>
          <c:dPt>
            <c:idx val="5"/>
            <c:invertIfNegative val="0"/>
            <c:bubble3D val="0"/>
            <c:spPr>
              <a:solidFill>
                <a:srgbClr val="6985AA"/>
              </a:solidFill>
            </c:spPr>
            <c:extLst>
              <c:ext xmlns:c16="http://schemas.microsoft.com/office/drawing/2014/chart" uri="{C3380CC4-5D6E-409C-BE32-E72D297353CC}">
                <c16:uniqueId val="{0000000B-FD49-1640-BD2C-9FC547F6E6BC}"/>
              </c:ext>
            </c:extLst>
          </c:dPt>
          <c:dLbls>
            <c:dLbl>
              <c:idx val="7"/>
              <c:layout>
                <c:manualLayout>
                  <c:x val="-0.1058398601247077"/>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FD49-1640-BD2C-9FC547F6E6BC}"/>
                </c:ext>
              </c:extLst>
            </c:dLbl>
            <c:spPr>
              <a:noFill/>
              <a:ln>
                <a:noFill/>
              </a:ln>
              <a:effectLst/>
            </c:spPr>
            <c:txPr>
              <a:bodyPr/>
              <a:lstStyle/>
              <a:p>
                <a:pPr>
                  <a:defRPr sz="1200" b="1">
                    <a:solidFill>
                      <a:schemeClr val="bg1"/>
                    </a:solidFill>
                    <a:latin typeface="Garamond" panose="02020404030301010803" pitchFamily="18"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'Football Fields'!$N$3:$N$10</c:f>
              <c:strCache>
                <c:ptCount val="8"/>
                <c:pt idx="0">
                  <c:v>Control Premium @ Exit Multiple</c:v>
                </c:pt>
                <c:pt idx="1">
                  <c:v>Control Premium @ g∞</c:v>
                </c:pt>
                <c:pt idx="2">
                  <c:v>Bear Case: DCF (Exit Multiple)</c:v>
                </c:pt>
                <c:pt idx="3">
                  <c:v>Bear Case: DCF (g∞)</c:v>
                </c:pt>
                <c:pt idx="4">
                  <c:v>Base Case: DCF (Exit Multiple)</c:v>
                </c:pt>
                <c:pt idx="5">
                  <c:v>Base Case: DCF (g∞)</c:v>
                </c:pt>
                <c:pt idx="6">
                  <c:v>Bull Case: DCF (Exit Multiple)</c:v>
                </c:pt>
                <c:pt idx="7">
                  <c:v>Bull Case: DCF (g∞)</c:v>
                </c:pt>
              </c:strCache>
            </c:strRef>
          </c:cat>
          <c:val>
            <c:numRef>
              <c:f>'Football Fields'!$O$3:$O$10</c:f>
              <c:numCache>
                <c:formatCode>"$"#,##0.00</c:formatCode>
                <c:ptCount val="8"/>
                <c:pt idx="0">
                  <c:v>367.42515609974811</c:v>
                </c:pt>
                <c:pt idx="1">
                  <c:v>91.240693912821129</c:v>
                </c:pt>
                <c:pt idx="2">
                  <c:v>290.92152789679437</c:v>
                </c:pt>
                <c:pt idx="3">
                  <c:v>81.466481465134152</c:v>
                </c:pt>
                <c:pt idx="4">
                  <c:v>558.15650056248512</c:v>
                </c:pt>
                <c:pt idx="5">
                  <c:v>164.35784249384579</c:v>
                </c:pt>
                <c:pt idx="6">
                  <c:v>851.24430353382661</c:v>
                </c:pt>
                <c:pt idx="7">
                  <c:v>256.30684486010307</c:v>
                </c:pt>
              </c:numCache>
            </c:numRef>
          </c:val>
          <c:extLst>
            <c:ext xmlns:c16="http://schemas.microsoft.com/office/drawing/2014/chart" uri="{C3380CC4-5D6E-409C-BE32-E72D297353CC}">
              <c16:uniqueId val="{0000000A-309B-F542-8B72-0F572BE9168D}"/>
            </c:ext>
          </c:extLst>
        </c:ser>
        <c:dLbls>
          <c:dLblPos val="inEnd"/>
          <c:showLegendKey val="0"/>
          <c:showVal val="1"/>
          <c:showCatName val="0"/>
          <c:showSerName val="0"/>
          <c:showPercent val="0"/>
          <c:showBubbleSize val="0"/>
        </c:dLbls>
        <c:gapWidth val="75"/>
        <c:overlap val="-25"/>
        <c:axId val="410652896"/>
        <c:axId val="410653456"/>
      </c:barChart>
      <c:catAx>
        <c:axId val="410652896"/>
        <c:scaling>
          <c:orientation val="minMax"/>
        </c:scaling>
        <c:delete val="0"/>
        <c:axPos val="l"/>
        <c:title>
          <c:tx>
            <c:rich>
              <a:bodyPr rot="-5400000" vert="horz"/>
              <a:lstStyle/>
              <a:p>
                <a:pPr>
                  <a:defRPr>
                    <a:latin typeface="Garamond" panose="02020404030301010803" pitchFamily="18" charset="0"/>
                  </a:defRPr>
                </a:pPr>
                <a:r>
                  <a:rPr lang="en-US">
                    <a:latin typeface="Garamond" panose="02020404030301010803" pitchFamily="18" charset="0"/>
                  </a:rPr>
                  <a:t>Valuation</a:t>
                </a:r>
                <a:r>
                  <a:rPr lang="en-US" baseline="0">
                    <a:latin typeface="Garamond" panose="02020404030301010803" pitchFamily="18" charset="0"/>
                  </a:rPr>
                  <a:t> Method</a:t>
                </a:r>
                <a:endParaRPr lang="en-US">
                  <a:latin typeface="Garamond" panose="02020404030301010803" pitchFamily="18" charset="0"/>
                </a:endParaRPr>
              </a:p>
            </c:rich>
          </c:tx>
          <c:overlay val="0"/>
        </c:title>
        <c:numFmt formatCode="General" sourceLinked="0"/>
        <c:majorTickMark val="none"/>
        <c:minorTickMark val="none"/>
        <c:tickLblPos val="nextTo"/>
        <c:txPr>
          <a:bodyPr/>
          <a:lstStyle/>
          <a:p>
            <a:pPr>
              <a:defRPr>
                <a:latin typeface="Garamond" panose="02020404030301010803" pitchFamily="18" charset="0"/>
              </a:defRPr>
            </a:pPr>
            <a:endParaRPr lang="en-US"/>
          </a:p>
        </c:txPr>
        <c:crossAx val="410653456"/>
        <c:crosses val="autoZero"/>
        <c:auto val="1"/>
        <c:lblAlgn val="ctr"/>
        <c:lblOffset val="100"/>
        <c:noMultiLvlLbl val="0"/>
      </c:catAx>
      <c:valAx>
        <c:axId val="410653456"/>
        <c:scaling>
          <c:logBase val="5"/>
          <c:orientation val="minMax"/>
          <c:max val="1500"/>
        </c:scaling>
        <c:delete val="0"/>
        <c:axPos val="b"/>
        <c:title>
          <c:tx>
            <c:rich>
              <a:bodyPr/>
              <a:lstStyle/>
              <a:p>
                <a:pPr>
                  <a:defRPr>
                    <a:latin typeface="Garamond" panose="02020404030301010803" pitchFamily="18" charset="0"/>
                  </a:defRPr>
                </a:pPr>
                <a:r>
                  <a:rPr lang="en-US">
                    <a:latin typeface="Garamond" panose="02020404030301010803" pitchFamily="18" charset="0"/>
                  </a:rPr>
                  <a:t>Implied Share Price </a:t>
                </a:r>
                <a:r>
                  <a:rPr lang="en-US" baseline="0">
                    <a:latin typeface="Garamond" panose="02020404030301010803" pitchFamily="18" charset="0"/>
                  </a:rPr>
                  <a:t> (USD)</a:t>
                </a:r>
                <a:endParaRPr lang="en-US">
                  <a:latin typeface="Garamond" panose="02020404030301010803" pitchFamily="18" charset="0"/>
                </a:endParaRPr>
              </a:p>
            </c:rich>
          </c:tx>
          <c:layout>
            <c:manualLayout>
              <c:xMode val="edge"/>
              <c:yMode val="edge"/>
              <c:x val="0.48397459913672325"/>
              <c:y val="0.9344441021889377"/>
            </c:manualLayout>
          </c:layout>
          <c:overlay val="0"/>
        </c:title>
        <c:numFmt formatCode="&quot;$&quot;#,##0.00" sourceLinked="1"/>
        <c:majorTickMark val="none"/>
        <c:minorTickMark val="none"/>
        <c:tickLblPos val="low"/>
        <c:txPr>
          <a:bodyPr/>
          <a:lstStyle/>
          <a:p>
            <a:pPr>
              <a:defRPr>
                <a:latin typeface="Garamond" panose="02020404030301010803" pitchFamily="18" charset="0"/>
              </a:defRPr>
            </a:pPr>
            <a:endParaRPr lang="en-US"/>
          </a:p>
        </c:txPr>
        <c:crossAx val="410652896"/>
        <c:crosses val="autoZero"/>
        <c:crossBetween val="between"/>
        <c:majorUnit val="5"/>
      </c:valAx>
      <c:spPr>
        <a:noFill/>
      </c:spPr>
    </c:plotArea>
    <c:plotVisOnly val="1"/>
    <c:dispBlanksAs val="gap"/>
    <c:showDLblsOverMax val="0"/>
  </c:chart>
  <c:spPr>
    <a:noFill/>
  </c:spPr>
  <c:printSettings>
    <c:headerFooter/>
    <c:pageMargins b="1" l="0.75" r="0.75" t="1" header="0.5" footer="0.5"/>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31"/>
    </mc:Choice>
    <mc:Fallback>
      <c:style val="31"/>
    </mc:Fallback>
  </mc:AlternateContent>
  <c:chart>
    <c:title>
      <c:tx>
        <c:rich>
          <a:bodyPr/>
          <a:lstStyle/>
          <a:p>
            <a:pPr>
              <a:defRPr>
                <a:latin typeface="Garamond" panose="02020404030301010803" pitchFamily="18" charset="0"/>
              </a:defRPr>
            </a:pPr>
            <a:r>
              <a:rPr lang="en-US">
                <a:latin typeface="Garamond" panose="02020404030301010803" pitchFamily="18" charset="0"/>
              </a:rPr>
              <a:t>Valuation Methods and Results (Dynamic)</a:t>
            </a:r>
          </a:p>
        </c:rich>
      </c:tx>
      <c:overlay val="0"/>
    </c:title>
    <c:autoTitleDeleted val="0"/>
    <c:plotArea>
      <c:layout/>
      <c:barChart>
        <c:barDir val="bar"/>
        <c:grouping val="clustered"/>
        <c:varyColors val="0"/>
        <c:ser>
          <c:idx val="0"/>
          <c:order val="0"/>
          <c:spPr>
            <a:solidFill>
              <a:srgbClr val="44536A"/>
            </a:solidFill>
          </c:spPr>
          <c:invertIfNegative val="0"/>
          <c:dLbls>
            <c:spPr>
              <a:noFill/>
              <a:ln>
                <a:noFill/>
              </a:ln>
              <a:effectLst/>
            </c:spPr>
            <c:txPr>
              <a:bodyPr/>
              <a:lstStyle/>
              <a:p>
                <a:pPr>
                  <a:defRPr sz="1400" b="1">
                    <a:solidFill>
                      <a:schemeClr val="bg1"/>
                    </a:solidFill>
                    <a:latin typeface="Garamond" panose="02020404030301010803" pitchFamily="18"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'Football Fields'!$B$5:$B$6</c:f>
              <c:strCache>
                <c:ptCount val="2"/>
                <c:pt idx="0">
                  <c:v>DCF | Exit Multiple</c:v>
                </c:pt>
                <c:pt idx="1">
                  <c:v>DCF | TV @ g∞</c:v>
                </c:pt>
              </c:strCache>
            </c:strRef>
          </c:cat>
          <c:val>
            <c:numRef>
              <c:f>'Football Fields'!$C$5:$C$6</c:f>
              <c:numCache>
                <c:formatCode>"$"#,##0.00</c:formatCode>
                <c:ptCount val="2"/>
                <c:pt idx="0">
                  <c:v>558.15650056248512</c:v>
                </c:pt>
                <c:pt idx="1">
                  <c:v>164.35784249384579</c:v>
                </c:pt>
              </c:numCache>
            </c:numRef>
          </c:val>
          <c:extLst>
            <c:ext xmlns:c16="http://schemas.microsoft.com/office/drawing/2014/chart" uri="{C3380CC4-5D6E-409C-BE32-E72D297353CC}">
              <c16:uniqueId val="{00000000-C97D-7E42-89E9-B671A903FC54}"/>
            </c:ext>
          </c:extLst>
        </c:ser>
        <c:dLbls>
          <c:dLblPos val="inEnd"/>
          <c:showLegendKey val="0"/>
          <c:showVal val="1"/>
          <c:showCatName val="0"/>
          <c:showSerName val="0"/>
          <c:showPercent val="0"/>
          <c:showBubbleSize val="0"/>
        </c:dLbls>
        <c:gapWidth val="75"/>
        <c:overlap val="-25"/>
        <c:axId val="410652896"/>
        <c:axId val="410653456"/>
      </c:barChart>
      <c:catAx>
        <c:axId val="410652896"/>
        <c:scaling>
          <c:orientation val="minMax"/>
        </c:scaling>
        <c:delete val="0"/>
        <c:axPos val="l"/>
        <c:title>
          <c:tx>
            <c:rich>
              <a:bodyPr rot="-5400000" vert="horz"/>
              <a:lstStyle/>
              <a:p>
                <a:pPr>
                  <a:defRPr>
                    <a:latin typeface="Garamond" panose="02020404030301010803" pitchFamily="18" charset="0"/>
                  </a:defRPr>
                </a:pPr>
                <a:r>
                  <a:rPr lang="en-US">
                    <a:latin typeface="Garamond" panose="02020404030301010803" pitchFamily="18" charset="0"/>
                  </a:rPr>
                  <a:t>Valuation</a:t>
                </a:r>
                <a:r>
                  <a:rPr lang="en-US" baseline="0">
                    <a:latin typeface="Garamond" panose="02020404030301010803" pitchFamily="18" charset="0"/>
                  </a:rPr>
                  <a:t> Method</a:t>
                </a:r>
                <a:endParaRPr lang="en-US">
                  <a:latin typeface="Garamond" panose="02020404030301010803" pitchFamily="18" charset="0"/>
                </a:endParaRPr>
              </a:p>
            </c:rich>
          </c:tx>
          <c:overlay val="0"/>
        </c:title>
        <c:numFmt formatCode="General" sourceLinked="0"/>
        <c:majorTickMark val="none"/>
        <c:minorTickMark val="none"/>
        <c:tickLblPos val="nextTo"/>
        <c:txPr>
          <a:bodyPr/>
          <a:lstStyle/>
          <a:p>
            <a:pPr>
              <a:defRPr>
                <a:latin typeface="Garamond" panose="02020404030301010803" pitchFamily="18" charset="0"/>
              </a:defRPr>
            </a:pPr>
            <a:endParaRPr lang="en-US"/>
          </a:p>
        </c:txPr>
        <c:crossAx val="410653456"/>
        <c:crosses val="autoZero"/>
        <c:auto val="1"/>
        <c:lblAlgn val="ctr"/>
        <c:lblOffset val="100"/>
        <c:noMultiLvlLbl val="0"/>
      </c:catAx>
      <c:valAx>
        <c:axId val="410653456"/>
        <c:scaling>
          <c:logBase val="2"/>
          <c:orientation val="minMax"/>
          <c:max val="1500"/>
        </c:scaling>
        <c:delete val="0"/>
        <c:axPos val="b"/>
        <c:title>
          <c:tx>
            <c:rich>
              <a:bodyPr/>
              <a:lstStyle/>
              <a:p>
                <a:pPr>
                  <a:defRPr>
                    <a:latin typeface="Garamond" panose="02020404030301010803" pitchFamily="18" charset="0"/>
                  </a:defRPr>
                </a:pPr>
                <a:r>
                  <a:rPr lang="en-US">
                    <a:latin typeface="Garamond" panose="02020404030301010803" pitchFamily="18" charset="0"/>
                  </a:rPr>
                  <a:t>Implied Share Price </a:t>
                </a:r>
                <a:r>
                  <a:rPr lang="en-US" baseline="0">
                    <a:latin typeface="Garamond" panose="02020404030301010803" pitchFamily="18" charset="0"/>
                  </a:rPr>
                  <a:t> (USD)</a:t>
                </a:r>
                <a:endParaRPr lang="en-US">
                  <a:latin typeface="Garamond" panose="02020404030301010803" pitchFamily="18" charset="0"/>
                </a:endParaRPr>
              </a:p>
            </c:rich>
          </c:tx>
          <c:layout>
            <c:manualLayout>
              <c:xMode val="edge"/>
              <c:yMode val="edge"/>
              <c:x val="0.48397459913672325"/>
              <c:y val="0.9344441021889377"/>
            </c:manualLayout>
          </c:layout>
          <c:overlay val="0"/>
        </c:title>
        <c:numFmt formatCode="&quot;$&quot;#,##0.00" sourceLinked="1"/>
        <c:majorTickMark val="none"/>
        <c:minorTickMark val="none"/>
        <c:tickLblPos val="low"/>
        <c:txPr>
          <a:bodyPr/>
          <a:lstStyle/>
          <a:p>
            <a:pPr>
              <a:defRPr>
                <a:latin typeface="Garamond" panose="02020404030301010803" pitchFamily="18" charset="0"/>
              </a:defRPr>
            </a:pPr>
            <a:endParaRPr lang="en-US"/>
          </a:p>
        </c:txPr>
        <c:crossAx val="410652896"/>
        <c:crosses val="autoZero"/>
        <c:crossBetween val="between"/>
        <c:majorUnit val="10"/>
      </c:valAx>
      <c:spPr>
        <a:noFill/>
      </c:spPr>
    </c:plotArea>
    <c:plotVisOnly val="1"/>
    <c:dispBlanksAs val="gap"/>
    <c:showDLblsOverMax val="0"/>
  </c:chart>
  <c:spPr>
    <a:noFill/>
  </c:spPr>
  <c:printSettings>
    <c:headerFooter/>
    <c:pageMargins b="1" l="0.75" r="0.75" t="1" header="0.5" footer="0.5"/>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31"/>
    </mc:Choice>
    <mc:Fallback>
      <c:style val="31"/>
    </mc:Fallback>
  </mc:AlternateContent>
  <c:chart>
    <c:title>
      <c:tx>
        <c:rich>
          <a:bodyPr/>
          <a:lstStyle/>
          <a:p>
            <a:pPr>
              <a:defRPr>
                <a:latin typeface="Garamond" panose="02020404030301010803" pitchFamily="18" charset="0"/>
              </a:defRPr>
            </a:pPr>
            <a:r>
              <a:rPr lang="en-US">
                <a:latin typeface="Garamond" panose="02020404030301010803" pitchFamily="18" charset="0"/>
              </a:rPr>
              <a:t>Valuation Methods and Results (Stand-Alone)</a:t>
            </a:r>
          </a:p>
        </c:rich>
      </c:tx>
      <c:overlay val="0"/>
    </c:title>
    <c:autoTitleDeleted val="0"/>
    <c:plotArea>
      <c:layout>
        <c:manualLayout>
          <c:layoutTarget val="inner"/>
          <c:xMode val="edge"/>
          <c:yMode val="edge"/>
          <c:x val="0.29069807572395989"/>
          <c:y val="0.13506711409395974"/>
          <c:w val="0.67483606676237295"/>
          <c:h val="0.71813216720393169"/>
        </c:manualLayout>
      </c:layout>
      <c:barChart>
        <c:barDir val="bar"/>
        <c:grouping val="clustered"/>
        <c:varyColors val="0"/>
        <c:ser>
          <c:idx val="0"/>
          <c:order val="0"/>
          <c:spPr>
            <a:solidFill>
              <a:srgbClr val="44536A"/>
            </a:solidFill>
          </c:spPr>
          <c:invertIfNegative val="0"/>
          <c:dPt>
            <c:idx val="0"/>
            <c:invertIfNegative val="0"/>
            <c:bubble3D val="0"/>
            <c:spPr>
              <a:solidFill>
                <a:srgbClr val="6985A9"/>
              </a:solidFill>
            </c:spPr>
            <c:extLst>
              <c:ext xmlns:c16="http://schemas.microsoft.com/office/drawing/2014/chart" uri="{C3380CC4-5D6E-409C-BE32-E72D297353CC}">
                <c16:uniqueId val="{00000001-309B-F542-8B72-0F572BE9168D}"/>
              </c:ext>
            </c:extLst>
          </c:dPt>
          <c:dPt>
            <c:idx val="1"/>
            <c:invertIfNegative val="0"/>
            <c:bubble3D val="0"/>
            <c:spPr>
              <a:solidFill>
                <a:srgbClr val="9FCAFF"/>
              </a:solidFill>
            </c:spPr>
            <c:extLst>
              <c:ext xmlns:c16="http://schemas.microsoft.com/office/drawing/2014/chart" uri="{C3380CC4-5D6E-409C-BE32-E72D297353CC}">
                <c16:uniqueId val="{00000003-309B-F542-8B72-0F572BE9168D}"/>
              </c:ext>
            </c:extLst>
          </c:dPt>
          <c:dPt>
            <c:idx val="2"/>
            <c:invertIfNegative val="0"/>
            <c:bubble3D val="0"/>
            <c:spPr>
              <a:solidFill>
                <a:srgbClr val="9FCAFF"/>
              </a:solidFill>
            </c:spPr>
            <c:extLst>
              <c:ext xmlns:c16="http://schemas.microsoft.com/office/drawing/2014/chart" uri="{C3380CC4-5D6E-409C-BE32-E72D297353CC}">
                <c16:uniqueId val="{00000005-309B-F542-8B72-0F572BE9168D}"/>
              </c:ext>
            </c:extLst>
          </c:dPt>
          <c:dPt>
            <c:idx val="3"/>
            <c:invertIfNegative val="0"/>
            <c:bubble3D val="0"/>
            <c:spPr>
              <a:solidFill>
                <a:srgbClr val="6985A9"/>
              </a:solidFill>
            </c:spPr>
            <c:extLst>
              <c:ext xmlns:c16="http://schemas.microsoft.com/office/drawing/2014/chart" uri="{C3380CC4-5D6E-409C-BE32-E72D297353CC}">
                <c16:uniqueId val="{00000007-309B-F542-8B72-0F572BE9168D}"/>
              </c:ext>
            </c:extLst>
          </c:dPt>
          <c:dPt>
            <c:idx val="4"/>
            <c:invertIfNegative val="0"/>
            <c:bubble3D val="0"/>
            <c:spPr>
              <a:solidFill>
                <a:srgbClr val="6985A9"/>
              </a:solidFill>
            </c:spPr>
            <c:extLst>
              <c:ext xmlns:c16="http://schemas.microsoft.com/office/drawing/2014/chart" uri="{C3380CC4-5D6E-409C-BE32-E72D297353CC}">
                <c16:uniqueId val="{00000009-309B-F542-8B72-0F572BE9168D}"/>
              </c:ext>
            </c:extLst>
          </c:dPt>
          <c:dLbls>
            <c:spPr>
              <a:noFill/>
              <a:ln>
                <a:noFill/>
              </a:ln>
              <a:effectLst/>
            </c:spPr>
            <c:txPr>
              <a:bodyPr/>
              <a:lstStyle/>
              <a:p>
                <a:pPr>
                  <a:defRPr sz="1200" b="1">
                    <a:solidFill>
                      <a:schemeClr val="bg1"/>
                    </a:solidFill>
                    <a:latin typeface="Garamond" panose="02020404030301010803" pitchFamily="18"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'Football Fields'!$N$13:$N$19</c:f>
              <c:strCache>
                <c:ptCount val="7"/>
                <c:pt idx="0">
                  <c:v>Pure EV/Sales Multiple</c:v>
                </c:pt>
                <c:pt idx="1">
                  <c:v>Bear Case: DCF (Exit Multiple)</c:v>
                </c:pt>
                <c:pt idx="2">
                  <c:v>Bear Case: DCF (g∞)</c:v>
                </c:pt>
                <c:pt idx="3">
                  <c:v>Base Case: DCF (Exit Multiple)</c:v>
                </c:pt>
                <c:pt idx="4">
                  <c:v>Base Case: DCF (g∞)</c:v>
                </c:pt>
                <c:pt idx="5">
                  <c:v>Bull Case: DCF (Exit Multiple)</c:v>
                </c:pt>
                <c:pt idx="6">
                  <c:v>Bull Case: DCF (g∞)</c:v>
                </c:pt>
              </c:strCache>
            </c:strRef>
          </c:cat>
          <c:val>
            <c:numRef>
              <c:f>'Football Fields'!$O$13:$O$19</c:f>
              <c:numCache>
                <c:formatCode>"$"#,##0.00</c:formatCode>
                <c:ptCount val="7"/>
                <c:pt idx="0">
                  <c:v>642.16459121081004</c:v>
                </c:pt>
                <c:pt idx="1">
                  <c:v>125.14773013689928</c:v>
                </c:pt>
                <c:pt idx="2">
                  <c:v>25.756056747044902</c:v>
                </c:pt>
                <c:pt idx="3">
                  <c:v>234.94003795438005</c:v>
                </c:pt>
                <c:pt idx="4">
                  <c:v>58.012131364420505</c:v>
                </c:pt>
                <c:pt idx="5">
                  <c:v>340.07907992341649</c:v>
                </c:pt>
                <c:pt idx="6">
                  <c:v>88.476002696096032</c:v>
                </c:pt>
              </c:numCache>
            </c:numRef>
          </c:val>
          <c:extLst>
            <c:ext xmlns:c16="http://schemas.microsoft.com/office/drawing/2014/chart" uri="{C3380CC4-5D6E-409C-BE32-E72D297353CC}">
              <c16:uniqueId val="{0000000A-309B-F542-8B72-0F572BE9168D}"/>
            </c:ext>
          </c:extLst>
        </c:ser>
        <c:dLbls>
          <c:dLblPos val="inEnd"/>
          <c:showLegendKey val="0"/>
          <c:showVal val="1"/>
          <c:showCatName val="0"/>
          <c:showSerName val="0"/>
          <c:showPercent val="0"/>
          <c:showBubbleSize val="0"/>
        </c:dLbls>
        <c:gapWidth val="75"/>
        <c:overlap val="-25"/>
        <c:axId val="410652896"/>
        <c:axId val="410653456"/>
      </c:barChart>
      <c:catAx>
        <c:axId val="410652896"/>
        <c:scaling>
          <c:orientation val="minMax"/>
        </c:scaling>
        <c:delete val="0"/>
        <c:axPos val="l"/>
        <c:title>
          <c:tx>
            <c:rich>
              <a:bodyPr rot="-5400000" vert="horz"/>
              <a:lstStyle/>
              <a:p>
                <a:pPr>
                  <a:defRPr>
                    <a:latin typeface="Garamond" panose="02020404030301010803" pitchFamily="18" charset="0"/>
                  </a:defRPr>
                </a:pPr>
                <a:r>
                  <a:rPr lang="en-US">
                    <a:latin typeface="Garamond" panose="02020404030301010803" pitchFamily="18" charset="0"/>
                  </a:rPr>
                  <a:t>Valuation</a:t>
                </a:r>
                <a:r>
                  <a:rPr lang="en-US" baseline="0">
                    <a:latin typeface="Garamond" panose="02020404030301010803" pitchFamily="18" charset="0"/>
                  </a:rPr>
                  <a:t> Method</a:t>
                </a:r>
                <a:endParaRPr lang="en-US">
                  <a:latin typeface="Garamond" panose="02020404030301010803" pitchFamily="18" charset="0"/>
                </a:endParaRPr>
              </a:p>
            </c:rich>
          </c:tx>
          <c:overlay val="0"/>
        </c:title>
        <c:numFmt formatCode="General" sourceLinked="0"/>
        <c:majorTickMark val="none"/>
        <c:minorTickMark val="none"/>
        <c:tickLblPos val="nextTo"/>
        <c:txPr>
          <a:bodyPr/>
          <a:lstStyle/>
          <a:p>
            <a:pPr>
              <a:defRPr>
                <a:latin typeface="Garamond" panose="02020404030301010803" pitchFamily="18" charset="0"/>
              </a:defRPr>
            </a:pPr>
            <a:endParaRPr lang="en-US"/>
          </a:p>
        </c:txPr>
        <c:crossAx val="410653456"/>
        <c:crosses val="autoZero"/>
        <c:auto val="1"/>
        <c:lblAlgn val="ctr"/>
        <c:lblOffset val="100"/>
        <c:noMultiLvlLbl val="0"/>
      </c:catAx>
      <c:valAx>
        <c:axId val="410653456"/>
        <c:scaling>
          <c:logBase val="5"/>
          <c:orientation val="minMax"/>
          <c:max val="1500"/>
        </c:scaling>
        <c:delete val="0"/>
        <c:axPos val="b"/>
        <c:title>
          <c:tx>
            <c:rich>
              <a:bodyPr/>
              <a:lstStyle/>
              <a:p>
                <a:pPr>
                  <a:defRPr>
                    <a:latin typeface="Garamond" panose="02020404030301010803" pitchFamily="18" charset="0"/>
                  </a:defRPr>
                </a:pPr>
                <a:r>
                  <a:rPr lang="en-US">
                    <a:latin typeface="Garamond" panose="02020404030301010803" pitchFamily="18" charset="0"/>
                  </a:rPr>
                  <a:t>Implied Share Price </a:t>
                </a:r>
                <a:r>
                  <a:rPr lang="en-US" baseline="0">
                    <a:latin typeface="Garamond" panose="02020404030301010803" pitchFamily="18" charset="0"/>
                  </a:rPr>
                  <a:t> (USD)</a:t>
                </a:r>
                <a:endParaRPr lang="en-US">
                  <a:latin typeface="Garamond" panose="02020404030301010803" pitchFamily="18" charset="0"/>
                </a:endParaRPr>
              </a:p>
            </c:rich>
          </c:tx>
          <c:layout>
            <c:manualLayout>
              <c:xMode val="edge"/>
              <c:yMode val="edge"/>
              <c:x val="0.48397459913672325"/>
              <c:y val="0.9344441021889377"/>
            </c:manualLayout>
          </c:layout>
          <c:overlay val="0"/>
        </c:title>
        <c:numFmt formatCode="&quot;$&quot;#,##0.00" sourceLinked="1"/>
        <c:majorTickMark val="none"/>
        <c:minorTickMark val="none"/>
        <c:tickLblPos val="low"/>
        <c:txPr>
          <a:bodyPr/>
          <a:lstStyle/>
          <a:p>
            <a:pPr>
              <a:defRPr>
                <a:latin typeface="Garamond" panose="02020404030301010803" pitchFamily="18" charset="0"/>
              </a:defRPr>
            </a:pPr>
            <a:endParaRPr lang="en-US"/>
          </a:p>
        </c:txPr>
        <c:crossAx val="410652896"/>
        <c:crosses val="autoZero"/>
        <c:crossBetween val="between"/>
      </c:valAx>
      <c:spPr>
        <a:noFill/>
      </c:spPr>
    </c:plotArea>
    <c:plotVisOnly val="1"/>
    <c:dispBlanksAs val="gap"/>
    <c:showDLblsOverMax val="0"/>
  </c:chart>
  <c:spPr>
    <a:noFill/>
  </c:spPr>
  <c:printSettings>
    <c:headerFooter/>
    <c:pageMargins b="1" l="0.75" r="0.75" t="1" header="0.5" footer="0.5"/>
    <c:pageSetup/>
  </c:printSettings>
  <c:userShapes r:id="rId1"/>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355600</xdr:colOff>
      <xdr:row>32</xdr:row>
      <xdr:rowOff>56730</xdr:rowOff>
    </xdr:from>
    <xdr:to>
      <xdr:col>11</xdr:col>
      <xdr:colOff>554668</xdr:colOff>
      <xdr:row>54</xdr:row>
      <xdr:rowOff>34435</xdr:rowOff>
    </xdr:to>
    <xdr:graphicFrame macro="">
      <xdr:nvGraphicFramePr>
        <xdr:cNvPr id="2" name="Chart 1">
          <a:extLst>
            <a:ext uri="{FF2B5EF4-FFF2-40B4-BE49-F238E27FC236}">
              <a16:creationId xmlns:a16="http://schemas.microsoft.com/office/drawing/2014/main" id="{8448B426-41E4-BD47-83ED-EA0B4E48DC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534350</xdr:colOff>
      <xdr:row>35</xdr:row>
      <xdr:rowOff>100419</xdr:rowOff>
    </xdr:from>
    <xdr:to>
      <xdr:col>10</xdr:col>
      <xdr:colOff>534350</xdr:colOff>
      <xdr:row>50</xdr:row>
      <xdr:rowOff>182888</xdr:rowOff>
    </xdr:to>
    <xdr:cxnSp macro="">
      <xdr:nvCxnSpPr>
        <xdr:cNvPr id="3" name="Straight Connector 2">
          <a:extLst>
            <a:ext uri="{FF2B5EF4-FFF2-40B4-BE49-F238E27FC236}">
              <a16:creationId xmlns:a16="http://schemas.microsoft.com/office/drawing/2014/main" id="{69AA869A-33C3-6349-A1A5-85A169CD940B}"/>
            </a:ext>
          </a:extLst>
        </xdr:cNvPr>
        <xdr:cNvCxnSpPr/>
      </xdr:nvCxnSpPr>
      <xdr:spPr>
        <a:xfrm>
          <a:off x="10486834" y="6865452"/>
          <a:ext cx="0" cy="2954495"/>
        </a:xfrm>
        <a:prstGeom prst="line">
          <a:avLst/>
        </a:prstGeom>
        <a:ln w="19050">
          <a:solidFill>
            <a:srgbClr val="C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355600</xdr:colOff>
      <xdr:row>8</xdr:row>
      <xdr:rowOff>127000</xdr:rowOff>
    </xdr:from>
    <xdr:to>
      <xdr:col>11</xdr:col>
      <xdr:colOff>533400</xdr:colOff>
      <xdr:row>30</xdr:row>
      <xdr:rowOff>71347</xdr:rowOff>
    </xdr:to>
    <xdr:graphicFrame macro="">
      <xdr:nvGraphicFramePr>
        <xdr:cNvPr id="10" name="Chart 3">
          <a:extLst>
            <a:ext uri="{FF2B5EF4-FFF2-40B4-BE49-F238E27FC236}">
              <a16:creationId xmlns:a16="http://schemas.microsoft.com/office/drawing/2014/main" id="{7D31545E-782D-AB45-A1C2-C3CB29E096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185677</xdr:colOff>
      <xdr:row>35</xdr:row>
      <xdr:rowOff>101623</xdr:rowOff>
    </xdr:from>
    <xdr:to>
      <xdr:col>10</xdr:col>
      <xdr:colOff>192528</xdr:colOff>
      <xdr:row>50</xdr:row>
      <xdr:rowOff>185129</xdr:rowOff>
    </xdr:to>
    <xdr:cxnSp macro="">
      <xdr:nvCxnSpPr>
        <xdr:cNvPr id="5" name="Straight Connector 4">
          <a:extLst>
            <a:ext uri="{FF2B5EF4-FFF2-40B4-BE49-F238E27FC236}">
              <a16:creationId xmlns:a16="http://schemas.microsoft.com/office/drawing/2014/main" id="{A4A3F496-5AD2-BE4C-AF61-CD29B2796DF7}"/>
            </a:ext>
          </a:extLst>
        </xdr:cNvPr>
        <xdr:cNvCxnSpPr/>
      </xdr:nvCxnSpPr>
      <xdr:spPr>
        <a:xfrm>
          <a:off x="10136065" y="6914002"/>
          <a:ext cx="6851" cy="2962583"/>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355600</xdr:colOff>
      <xdr:row>56</xdr:row>
      <xdr:rowOff>45357</xdr:rowOff>
    </xdr:from>
    <xdr:to>
      <xdr:col>11</xdr:col>
      <xdr:colOff>554668</xdr:colOff>
      <xdr:row>78</xdr:row>
      <xdr:rowOff>23062</xdr:rowOff>
    </xdr:to>
    <xdr:graphicFrame macro="">
      <xdr:nvGraphicFramePr>
        <xdr:cNvPr id="6" name="Chart 5">
          <a:extLst>
            <a:ext uri="{FF2B5EF4-FFF2-40B4-BE49-F238E27FC236}">
              <a16:creationId xmlns:a16="http://schemas.microsoft.com/office/drawing/2014/main" id="{82682AA9-51CD-D143-B98D-CD1829387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0.78805</cdr:x>
      <cdr:y>0.08499</cdr:y>
    </cdr:from>
    <cdr:to>
      <cdr:x>0.99037</cdr:x>
      <cdr:y>0.13952</cdr:y>
    </cdr:to>
    <cdr:sp macro="" textlink="">
      <cdr:nvSpPr>
        <cdr:cNvPr id="3" name="TextBox 8">
          <a:extLst xmlns:a="http://schemas.openxmlformats.org/drawingml/2006/main">
            <a:ext uri="{FF2B5EF4-FFF2-40B4-BE49-F238E27FC236}">
              <a16:creationId xmlns:a16="http://schemas.microsoft.com/office/drawing/2014/main" id="{EACDD9ED-6D4D-934E-9009-BEF0BC092276}"/>
            </a:ext>
          </a:extLst>
        </cdr:cNvPr>
        <cdr:cNvSpPr txBox="1"/>
      </cdr:nvSpPr>
      <cdr:spPr>
        <a:xfrm xmlns:a="http://schemas.openxmlformats.org/drawingml/2006/main">
          <a:off x="5671215" y="356485"/>
          <a:ext cx="1455997" cy="228711"/>
        </a:xfrm>
        <a:prstGeom xmlns:a="http://schemas.openxmlformats.org/drawingml/2006/main" prst="rect">
          <a:avLst/>
        </a:prstGeom>
        <a:solidFill xmlns:a="http://schemas.openxmlformats.org/drawingml/2006/main">
          <a:schemeClr val="lt1">
            <a:alpha val="0"/>
          </a:schemeClr>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100" b="0">
              <a:latin typeface="Garamond" panose="02020404030301010803" pitchFamily="18" charset="0"/>
            </a:rPr>
            <a:t>Upper Bound: $367.08</a:t>
          </a:r>
        </a:p>
      </cdr:txBody>
    </cdr:sp>
  </cdr:relSizeAnchor>
  <cdr:relSizeAnchor xmlns:cdr="http://schemas.openxmlformats.org/drawingml/2006/chartDrawing">
    <cdr:from>
      <cdr:x>0.60758</cdr:x>
      <cdr:y>0.08574</cdr:y>
    </cdr:from>
    <cdr:to>
      <cdr:x>0.80745</cdr:x>
      <cdr:y>0.13108</cdr:y>
    </cdr:to>
    <cdr:sp macro="" textlink="">
      <cdr:nvSpPr>
        <cdr:cNvPr id="5" name="TextBox 8">
          <a:extLst xmlns:a="http://schemas.openxmlformats.org/drawingml/2006/main">
            <a:ext uri="{FF2B5EF4-FFF2-40B4-BE49-F238E27FC236}">
              <a16:creationId xmlns:a16="http://schemas.microsoft.com/office/drawing/2014/main" id="{13C74BAF-EA12-1446-9172-1495BCD3B3B6}"/>
            </a:ext>
          </a:extLst>
        </cdr:cNvPr>
        <cdr:cNvSpPr txBox="1"/>
      </cdr:nvSpPr>
      <cdr:spPr>
        <a:xfrm xmlns:a="http://schemas.openxmlformats.org/drawingml/2006/main">
          <a:off x="4372439" y="359631"/>
          <a:ext cx="1438399" cy="190176"/>
        </a:xfrm>
        <a:prstGeom xmlns:a="http://schemas.openxmlformats.org/drawingml/2006/main" prst="rect">
          <a:avLst/>
        </a:prstGeom>
        <a:solidFill xmlns:a="http://schemas.openxmlformats.org/drawingml/2006/main">
          <a:schemeClr val="lt1">
            <a:alpha val="0"/>
          </a:schemeClr>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100" b="0">
              <a:latin typeface="Garamond" panose="02020404030301010803" pitchFamily="18" charset="0"/>
            </a:rPr>
            <a:t>Current Price: $207.78</a:t>
          </a:r>
        </a:p>
      </cdr:txBody>
    </cdr:sp>
  </cdr:relSizeAnchor>
</c:userShapes>
</file>

<file path=xl/drawings/drawing3.xml><?xml version="1.0" encoding="utf-8"?>
<c:userShapes xmlns:c="http://schemas.openxmlformats.org/drawingml/2006/chart">
  <cdr:relSizeAnchor xmlns:cdr="http://schemas.openxmlformats.org/drawingml/2006/chartDrawing">
    <cdr:from>
      <cdr:x>0.80318</cdr:x>
      <cdr:y>0.17541</cdr:y>
    </cdr:from>
    <cdr:to>
      <cdr:x>0.80345</cdr:x>
      <cdr:y>0.86764</cdr:y>
    </cdr:to>
    <cdr:cxnSp macro="">
      <cdr:nvCxnSpPr>
        <cdr:cNvPr id="5" name="Straight Connector 4">
          <a:extLst xmlns:a="http://schemas.openxmlformats.org/drawingml/2006/main">
            <a:ext uri="{FF2B5EF4-FFF2-40B4-BE49-F238E27FC236}">
              <a16:creationId xmlns:a16="http://schemas.microsoft.com/office/drawing/2014/main" id="{0C62795C-DCB2-224B-B6C9-778457A00635}"/>
            </a:ext>
          </a:extLst>
        </cdr:cNvPr>
        <cdr:cNvCxnSpPr/>
      </cdr:nvCxnSpPr>
      <cdr:spPr>
        <a:xfrm xmlns:a="http://schemas.openxmlformats.org/drawingml/2006/main">
          <a:off x="5773979" y="736367"/>
          <a:ext cx="1941" cy="2905967"/>
        </a:xfrm>
        <a:prstGeom xmlns:a="http://schemas.openxmlformats.org/drawingml/2006/main" prst="line">
          <a:avLst/>
        </a:prstGeom>
        <a:ln xmlns:a="http://schemas.openxmlformats.org/drawingml/2006/main" w="19050">
          <a:solidFill>
            <a:srgbClr val="C00000"/>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0.7103</cdr:x>
      <cdr:y>0.18538</cdr:y>
    </cdr:from>
    <cdr:to>
      <cdr:x>0.71125</cdr:x>
      <cdr:y>0.86734</cdr:y>
    </cdr:to>
    <cdr:cxnSp macro="">
      <cdr:nvCxnSpPr>
        <cdr:cNvPr id="6" name="Straight Connector 5">
          <a:extLst xmlns:a="http://schemas.openxmlformats.org/drawingml/2006/main">
            <a:ext uri="{FF2B5EF4-FFF2-40B4-BE49-F238E27FC236}">
              <a16:creationId xmlns:a16="http://schemas.microsoft.com/office/drawing/2014/main" id="{8265B56F-6FA0-F448-92B7-5C4763174529}"/>
            </a:ext>
          </a:extLst>
        </cdr:cNvPr>
        <cdr:cNvCxnSpPr/>
      </cdr:nvCxnSpPr>
      <cdr:spPr>
        <a:xfrm xmlns:a="http://schemas.openxmlformats.org/drawingml/2006/main">
          <a:off x="5106281" y="778221"/>
          <a:ext cx="6829" cy="2862853"/>
        </a:xfrm>
        <a:prstGeom xmlns:a="http://schemas.openxmlformats.org/drawingml/2006/main" prst="line">
          <a:avLst/>
        </a:prstGeom>
        <a:ln xmlns:a="http://schemas.openxmlformats.org/drawingml/2006/main" w="19050">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0.54515</cdr:x>
      <cdr:y>0.11574</cdr:y>
    </cdr:from>
    <cdr:to>
      <cdr:x>0.75771</cdr:x>
      <cdr:y>0.16113</cdr:y>
    </cdr:to>
    <cdr:sp macro="" textlink="">
      <cdr:nvSpPr>
        <cdr:cNvPr id="3" name="TextBox 8">
          <a:extLst xmlns:a="http://schemas.openxmlformats.org/drawingml/2006/main">
            <a:ext uri="{FF2B5EF4-FFF2-40B4-BE49-F238E27FC236}">
              <a16:creationId xmlns:a16="http://schemas.microsoft.com/office/drawing/2014/main" id="{EACDD9ED-6D4D-934E-9009-BEF0BC092276}"/>
            </a:ext>
          </a:extLst>
        </cdr:cNvPr>
        <cdr:cNvSpPr txBox="1"/>
      </cdr:nvSpPr>
      <cdr:spPr>
        <a:xfrm xmlns:a="http://schemas.openxmlformats.org/drawingml/2006/main">
          <a:off x="3919031" y="485874"/>
          <a:ext cx="1528072" cy="190546"/>
        </a:xfrm>
        <a:prstGeom xmlns:a="http://schemas.openxmlformats.org/drawingml/2006/main" prst="rect">
          <a:avLst/>
        </a:prstGeom>
        <a:solidFill xmlns:a="http://schemas.openxmlformats.org/drawingml/2006/main">
          <a:schemeClr val="lt1">
            <a:alpha val="0"/>
          </a:schemeClr>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100" b="0">
              <a:latin typeface="Garamond" panose="02020404030301010803" pitchFamily="18" charset="0"/>
            </a:rPr>
            <a:t>Lower Bound: $145.40</a:t>
          </a:r>
        </a:p>
      </cdr:txBody>
    </cdr:sp>
  </cdr:relSizeAnchor>
  <cdr:relSizeAnchor xmlns:cdr="http://schemas.openxmlformats.org/drawingml/2006/chartDrawing">
    <cdr:from>
      <cdr:x>0.75929</cdr:x>
      <cdr:y>0.11031</cdr:y>
    </cdr:from>
    <cdr:to>
      <cdr:x>0.9634</cdr:x>
      <cdr:y>0.16654</cdr:y>
    </cdr:to>
    <cdr:sp macro="" textlink="">
      <cdr:nvSpPr>
        <cdr:cNvPr id="4" name="TextBox 8">
          <a:extLst xmlns:a="http://schemas.openxmlformats.org/drawingml/2006/main">
            <a:ext uri="{FF2B5EF4-FFF2-40B4-BE49-F238E27FC236}">
              <a16:creationId xmlns:a16="http://schemas.microsoft.com/office/drawing/2014/main" id="{8EBD5C44-B275-B643-8D47-B8E97C293BCD}"/>
            </a:ext>
          </a:extLst>
        </cdr:cNvPr>
        <cdr:cNvSpPr txBox="1"/>
      </cdr:nvSpPr>
      <cdr:spPr>
        <a:xfrm xmlns:a="http://schemas.openxmlformats.org/drawingml/2006/main">
          <a:off x="5458461" y="463079"/>
          <a:ext cx="1467326" cy="236052"/>
        </a:xfrm>
        <a:prstGeom xmlns:a="http://schemas.openxmlformats.org/drawingml/2006/main" prst="rect">
          <a:avLst/>
        </a:prstGeom>
        <a:solidFill xmlns:a="http://schemas.openxmlformats.org/drawingml/2006/main">
          <a:schemeClr val="lt1">
            <a:alpha val="0"/>
          </a:schemeClr>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100" b="0">
              <a:latin typeface="Garamond" panose="02020404030301010803" pitchFamily="18" charset="0"/>
            </a:rPr>
            <a:t>Upper Bound: $367.08</a:t>
          </a:r>
        </a:p>
      </cdr:txBody>
    </cdr:sp>
  </cdr:relSizeAnchor>
</c:userShapes>
</file>

<file path=xl/drawings/drawing4.xml><?xml version="1.0" encoding="utf-8"?>
<c:userShapes xmlns:c="http://schemas.openxmlformats.org/drawingml/2006/chart">
  <cdr:relSizeAnchor xmlns:cdr="http://schemas.openxmlformats.org/drawingml/2006/chartDrawing">
    <cdr:from>
      <cdr:x>0.55844</cdr:x>
      <cdr:y>0.08499</cdr:y>
    </cdr:from>
    <cdr:to>
      <cdr:x>0.76613</cdr:x>
      <cdr:y>0.14332</cdr:y>
    </cdr:to>
    <cdr:sp macro="" textlink="">
      <cdr:nvSpPr>
        <cdr:cNvPr id="3" name="TextBox 8">
          <a:extLst xmlns:a="http://schemas.openxmlformats.org/drawingml/2006/main">
            <a:ext uri="{FF2B5EF4-FFF2-40B4-BE49-F238E27FC236}">
              <a16:creationId xmlns:a16="http://schemas.microsoft.com/office/drawing/2014/main" id="{EACDD9ED-6D4D-934E-9009-BEF0BC092276}"/>
            </a:ext>
          </a:extLst>
        </cdr:cNvPr>
        <cdr:cNvSpPr txBox="1"/>
      </cdr:nvSpPr>
      <cdr:spPr>
        <a:xfrm xmlns:a="http://schemas.openxmlformats.org/drawingml/2006/main">
          <a:off x="4018845" y="355073"/>
          <a:ext cx="1494644" cy="243683"/>
        </a:xfrm>
        <a:prstGeom xmlns:a="http://schemas.openxmlformats.org/drawingml/2006/main" prst="rect">
          <a:avLst/>
        </a:prstGeom>
        <a:solidFill xmlns:a="http://schemas.openxmlformats.org/drawingml/2006/main">
          <a:schemeClr val="lt1">
            <a:alpha val="0"/>
          </a:schemeClr>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100" b="0">
              <a:latin typeface="Garamond" panose="02020404030301010803" pitchFamily="18" charset="0"/>
            </a:rPr>
            <a:t>Lower Bound: $145.40</a:t>
          </a:r>
        </a:p>
      </cdr:txBody>
    </cdr:sp>
  </cdr:relSizeAnchor>
  <cdr:relSizeAnchor xmlns:cdr="http://schemas.openxmlformats.org/drawingml/2006/chartDrawing">
    <cdr:from>
      <cdr:x>0.74512</cdr:x>
      <cdr:y>0.08574</cdr:y>
    </cdr:from>
    <cdr:to>
      <cdr:x>0.94973</cdr:x>
      <cdr:y>0.13108</cdr:y>
    </cdr:to>
    <cdr:sp macro="" textlink="">
      <cdr:nvSpPr>
        <cdr:cNvPr id="5" name="TextBox 8">
          <a:extLst xmlns:a="http://schemas.openxmlformats.org/drawingml/2006/main">
            <a:ext uri="{FF2B5EF4-FFF2-40B4-BE49-F238E27FC236}">
              <a16:creationId xmlns:a16="http://schemas.microsoft.com/office/drawing/2014/main" id="{13C74BAF-EA12-1446-9172-1495BCD3B3B6}"/>
            </a:ext>
          </a:extLst>
        </cdr:cNvPr>
        <cdr:cNvSpPr txBox="1"/>
      </cdr:nvSpPr>
      <cdr:spPr>
        <a:xfrm xmlns:a="http://schemas.openxmlformats.org/drawingml/2006/main">
          <a:off x="5362285" y="358208"/>
          <a:ext cx="1472465" cy="189423"/>
        </a:xfrm>
        <a:prstGeom xmlns:a="http://schemas.openxmlformats.org/drawingml/2006/main" prst="rect">
          <a:avLst/>
        </a:prstGeom>
        <a:solidFill xmlns:a="http://schemas.openxmlformats.org/drawingml/2006/main">
          <a:schemeClr val="lt1">
            <a:alpha val="0"/>
          </a:schemeClr>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100" b="0">
              <a:latin typeface="Garamond" panose="02020404030301010803" pitchFamily="18" charset="0"/>
            </a:rPr>
            <a:t>Current Price: $207.78</a:t>
          </a:r>
        </a:p>
      </cdr:txBody>
    </cdr:sp>
  </cdr:relSizeAnchor>
  <cdr:relSizeAnchor xmlns:cdr="http://schemas.openxmlformats.org/drawingml/2006/chartDrawing">
    <cdr:from>
      <cdr:x>0.74197</cdr:x>
      <cdr:y>0.14544</cdr:y>
    </cdr:from>
    <cdr:to>
      <cdr:x>0.74197</cdr:x>
      <cdr:y>0.8524</cdr:y>
    </cdr:to>
    <cdr:cxnSp macro="">
      <cdr:nvCxnSpPr>
        <cdr:cNvPr id="4" name="Straight Connector 3">
          <a:extLst xmlns:a="http://schemas.openxmlformats.org/drawingml/2006/main">
            <a:ext uri="{FF2B5EF4-FFF2-40B4-BE49-F238E27FC236}">
              <a16:creationId xmlns:a16="http://schemas.microsoft.com/office/drawing/2014/main" id="{69AA869A-33C3-6349-A1A5-85A169CD940B}"/>
            </a:ext>
          </a:extLst>
        </cdr:cNvPr>
        <cdr:cNvCxnSpPr/>
      </cdr:nvCxnSpPr>
      <cdr:spPr>
        <a:xfrm xmlns:a="http://schemas.openxmlformats.org/drawingml/2006/main">
          <a:off x="5342843" y="602259"/>
          <a:ext cx="0" cy="2927487"/>
        </a:xfrm>
        <a:prstGeom xmlns:a="http://schemas.openxmlformats.org/drawingml/2006/main" prst="line">
          <a:avLst/>
        </a:prstGeom>
        <a:ln xmlns:a="http://schemas.openxmlformats.org/drawingml/2006/main" w="19050">
          <a:solidFill>
            <a:srgbClr val="C00000"/>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0.77504</cdr:x>
      <cdr:y>0.14646</cdr:y>
    </cdr:from>
    <cdr:to>
      <cdr:x>0.77504</cdr:x>
      <cdr:y>0.85295</cdr:y>
    </cdr:to>
    <cdr:cxnSp macro="">
      <cdr:nvCxnSpPr>
        <cdr:cNvPr id="6" name="Straight Connector 5">
          <a:extLst xmlns:a="http://schemas.openxmlformats.org/drawingml/2006/main">
            <a:ext uri="{FF2B5EF4-FFF2-40B4-BE49-F238E27FC236}">
              <a16:creationId xmlns:a16="http://schemas.microsoft.com/office/drawing/2014/main" id="{A4A3F496-5AD2-BE4C-AF61-CD29B2796DF7}"/>
            </a:ext>
          </a:extLst>
        </cdr:cNvPr>
        <cdr:cNvCxnSpPr/>
      </cdr:nvCxnSpPr>
      <cdr:spPr>
        <a:xfrm xmlns:a="http://schemas.openxmlformats.org/drawingml/2006/main">
          <a:off x="5580977" y="606464"/>
          <a:ext cx="0" cy="2925559"/>
        </a:xfrm>
        <a:prstGeom xmlns:a="http://schemas.openxmlformats.org/drawingml/2006/main" prst="line">
          <a:avLst/>
        </a:prstGeom>
        <a:ln xmlns:a="http://schemas.openxmlformats.org/drawingml/2006/main" w="19050">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2" name="Picture 2">
          <a:extLst>
            <a:ext uri="{FF2B5EF4-FFF2-40B4-BE49-F238E27FC236}">
              <a16:creationId xmlns:a16="http://schemas.microsoft.com/office/drawing/2014/main" id="{93E24F26-CF38-A64A-9D87-C8E5D3960A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2" name="Picture 2">
          <a:extLst>
            <a:ext uri="{FF2B5EF4-FFF2-40B4-BE49-F238E27FC236}">
              <a16:creationId xmlns:a16="http://schemas.microsoft.com/office/drawing/2014/main" id="{1F9C809F-D98F-1949-B10A-33CE4A32C2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2" name="Picture 2">
          <a:extLst>
            <a:ext uri="{FF2B5EF4-FFF2-40B4-BE49-F238E27FC236}">
              <a16:creationId xmlns:a16="http://schemas.microsoft.com/office/drawing/2014/main" id="{CF916D9A-EF78-6346-B758-4AF12DBE00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2" name="Picture 2">
          <a:extLst>
            <a:ext uri="{FF2B5EF4-FFF2-40B4-BE49-F238E27FC236}">
              <a16:creationId xmlns:a16="http://schemas.microsoft.com/office/drawing/2014/main" id="{E4DED47C-D676-B84B-9BBC-2EDCBB98C0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2" name="Picture 2">
          <a:extLst>
            <a:ext uri="{FF2B5EF4-FFF2-40B4-BE49-F238E27FC236}">
              <a16:creationId xmlns:a16="http://schemas.microsoft.com/office/drawing/2014/main" id="{5DAAFE1F-81DA-E240-AEC3-E17177BC1E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251</xdr:row>
      <xdr:rowOff>0</xdr:rowOff>
    </xdr:from>
    <xdr:to>
      <xdr:col>0</xdr:col>
      <xdr:colOff>12700</xdr:colOff>
      <xdr:row>251</xdr:row>
      <xdr:rowOff>12700</xdr:rowOff>
    </xdr:to>
    <xdr:pic>
      <xdr:nvPicPr>
        <xdr:cNvPr id="3" name="Picture 3">
          <a:extLst>
            <a:ext uri="{FF2B5EF4-FFF2-40B4-BE49-F238E27FC236}">
              <a16:creationId xmlns:a16="http://schemas.microsoft.com/office/drawing/2014/main" id="{7E0207AF-96D2-BD4D-B2D8-D1FF1C6FDB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524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456</xdr:row>
      <xdr:rowOff>0</xdr:rowOff>
    </xdr:from>
    <xdr:to>
      <xdr:col>0</xdr:col>
      <xdr:colOff>12700</xdr:colOff>
      <xdr:row>456</xdr:row>
      <xdr:rowOff>12700</xdr:rowOff>
    </xdr:to>
    <xdr:pic>
      <xdr:nvPicPr>
        <xdr:cNvPr id="4" name="Picture 4">
          <a:extLst>
            <a:ext uri="{FF2B5EF4-FFF2-40B4-BE49-F238E27FC236}">
              <a16:creationId xmlns:a16="http://schemas.microsoft.com/office/drawing/2014/main" id="{CAC27323-408C-AE4C-823D-5582C8073A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399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Lee, Seungho (Samuel)" id="{08B31E48-6F0E-6642-A82E-2C669FDCE3EF}" userId="S::slee19@cmc.edu::63fcdf6f-dcca-4fdc-b30f-955b87a78567" providerId="AD"/>
  <person displayName="Dubash, Sohrab" id="{FDE4A324-7ADC-E442-A45C-48390D3B01ED}" userId="S::sdubash22@cmc.edu::7f9db0ae-3807-47b0-8b55-781439c9e83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0-11-27T08:22:57.52" personId="{FDE4A324-7ADC-E442-A45C-48390D3B01ED}" id="{E2D7D7A9-519C-0C45-B1D5-AC17C3680FC1}">
    <text>Scenario toggle in DCF Main sheet</text>
  </threadedComment>
  <threadedComment ref="N3" dT="2020-11-27T09:20:07.36" personId="{08B31E48-6F0E-6642-A82E-2C669FDCE3EF}" id="{8F12BC31-F8D1-FA40-BEDB-B8B5636B9AF2}">
    <text>Calculated based on Stand-Alone DCF of relevant methods, under base case.</text>
  </threadedComment>
  <threadedComment ref="N4" dT="2020-11-27T09:20:17.13" personId="{08B31E48-6F0E-6642-A82E-2C669FDCE3EF}" id="{2CBB30EF-FDB6-1B48-9754-2DB3CCA61D76}">
    <text>Calculated based on Stand-Alone DCF of relevant methods, under base case.</text>
  </threadedComment>
  <threadedComment ref="N13" dT="2020-10-24T22:01:02.23" personId="{FDE4A324-7ADC-E442-A45C-48390D3B01ED}" id="{E234387F-180C-104F-A76F-352F31418CDF}">
    <text>Applying a pure EV/Sales multiple to current revenues yields a implied EV that is almost equal to Peleton’s current EV reflecting a fair valuation: However this approach fails to reflect Peleton’s growth prospects which constitute a significant component of its valuation</text>
  </threadedComment>
  <threadedComment ref="B15" dT="2020-10-24T20:06:45.23" personId="{FDE4A324-7ADC-E442-A45C-48390D3B01ED}" id="{F9E58790-D71A-A845-B9F2-26F936208739}">
    <text>The scenario average target price as computed by equally weighting each outcome (bull, bear and base) and determining an average target price between the three scenarios. The fact that it is close to the base case price target is reassuring.</text>
  </threadedComment>
</ThreadedComments>
</file>

<file path=xl/threadedComments/threadedComment2.xml><?xml version="1.0" encoding="utf-8"?>
<ThreadedComments xmlns="http://schemas.microsoft.com/office/spreadsheetml/2018/threadedcomments" xmlns:x="http://schemas.openxmlformats.org/spreadsheetml/2006/main">
  <threadedComment ref="M9" dT="2020-11-27T07:31:03.06" personId="{FDE4A324-7ADC-E442-A45C-48390D3B01ED}" id="{B4B8BD4E-AEC1-224F-8DD1-B17AE05596E6}">
    <text xml:space="preserve">Note about anomalous revenue increase: this may look large but it is driven mainly by a surge in Bitcoin revenues, which are very low margin (2%), so this revenue boost isn’t what it looks like.
The reason for this is that Square records the notional value of Bitcoin sales as revenue rather than their commission, or spread on the sale. </text>
  </threadedComment>
  <threadedComment ref="D11" dT="2020-11-24T09:26:11.13" personId="{FDE4A324-7ADC-E442-A45C-48390D3B01ED}" id="{975A0FFD-4474-4944-8161-AC62BF579052}">
    <text>CapIQ as of today</text>
  </threadedComment>
  <threadedComment ref="D47" dT="2020-11-27T10:23:23.58" personId="{08B31E48-6F0E-6642-A82E-2C669FDCE3EF}" id="{C5016EC4-5E3E-C747-85FA-F4FC2056949F}">
    <text>We set Corporate Tax Rate (Tc) as equal to Effective Tax Rate because…</text>
  </threadedComment>
  <threadedComment ref="D52" dT="2020-11-24T09:30:26.68" personId="{FDE4A324-7ADC-E442-A45C-48390D3B01ED}" id="{25AFC6A0-4643-1047-9A4A-FD589D3831E2}">
    <text xml:space="preserve">Weighted average interest rate on outstanding interest-bearing liabilities </text>
  </threadedComment>
  <threadedComment ref="D54" dT="2020-11-24T09:27:47.80" personId="{FDE4A324-7ADC-E442-A45C-48390D3B01ED}" id="{3D247737-4C8E-474F-B7B9-64D210B8A929}">
    <text>We obtained the raw CapIQ beta of 2.68 and and performed the Bloomberg “2/3, 1/3” adjustment to adjust the beta as it will tend to 1 as the company matures. We performed the adjustment as we believe that Square’s business risk will resemble PayPal’s more closely post-acquisition — PayPal’s beta is 1.09.</text>
  </threadedComment>
  <threadedComment ref="D56" dT="2020-11-26T12:33:51.36" personId="{08B31E48-6F0E-6642-A82E-2C669FDCE3EF}" id="{F58608D6-75E2-1643-BA33-B44A445FF919}">
    <text>10-Year Treasury Yield as of November 25, 2020</text>
  </threadedComment>
</ThreadedComments>
</file>

<file path=xl/threadedComments/threadedComment3.xml><?xml version="1.0" encoding="utf-8"?>
<ThreadedComments xmlns="http://schemas.microsoft.com/office/spreadsheetml/2018/threadedcomments" xmlns:x="http://schemas.openxmlformats.org/spreadsheetml/2006/main">
  <threadedComment ref="B5" dT="2020-11-27T07:14:30.96" personId="{FDE4A324-7ADC-E442-A45C-48390D3B01ED}" id="{10BAB29A-3E5A-AA4D-9D2A-4B3372A9FCAF}">
    <text>Base Case: We project that modest revenue synergies kick in within year one and grow conservatively to reach 4% by the end of the projection period
Bull Case: We project strong synergies kicking in within year one, and grow to reach 4.5% by the end of projection period.
Bear Case: We assume no synergies are immediately recognized and minor synergies slowly manifest by the end of the projection period if PayPal fails to fully integrate Square’s potential.
Justification: Square and PayPal have incredibly similar business models, making for easy integration. The merging of both of their ecosystems will create large cross-selling opportunities, and an increase in consolidated revenues.</text>
  </threadedComment>
  <threadedComment ref="C12" dT="2020-11-27T11:57:19.52" personId="{08B31E48-6F0E-6642-A82E-2C669FDCE3EF}" id="{9D212F91-3405-2A41-B889-366A397BDC4A}">
    <text>1 standard deviation above the base case is 53.97% Gross Margin.</text>
  </threadedComment>
  <threadedComment ref="D12" dT="2020-11-27T11:56:54.47" personId="{08B31E48-6F0E-6642-A82E-2C669FDCE3EF}" id="{FB59A63D-4364-7846-A585-EE9E8AEFF775}">
    <text>According to Capital IQ, PayPal’s Gross Margin is estimated to slightly decline, hovering slightly above 50% (2022E as 50.80%). As a rate of electronic transactions fee decreases as volume increases (major portion of COGS), we believe that COGS can converge to PayPal’s stand-alone projection levels. Therefore, we are selecting 2022E Gross Margin% as a base, with 1 standard deviations differences for bull and bear cases (reaching by end of 2027).</text>
  </threadedComment>
  <threadedComment ref="D12" dT="2020-11-27T11:57:01.46" personId="{08B31E48-6F0E-6642-A82E-2C669FDCE3EF}" id="{F33D4329-0DE9-E944-B9B3-FDCFDEBD1652}" parentId="{FB59A63D-4364-7846-A585-EE9E8AEFF775}">
    <text>Rationale: It is also important to note that PayPal acts as both payment aggregator and payment processor when both consumers and merchants use PayPal accounts. Since Square only acts as a payment service provider, inclusion of Square’s service to PayPal network would allow a reduction in Square’s COGS (payment processing fees incurred in transactions).</text>
  </threadedComment>
  <threadedComment ref="E12" dT="2020-11-27T11:57:48.76" personId="{08B31E48-6F0E-6642-A82E-2C669FDCE3EF}" id="{F962071F-5972-D14B-B45E-31A71B3C53F1}">
    <text>1 standard deviations lower than the base case is 47.63% Gross Margin.</text>
  </threadedComment>
  <threadedComment ref="B19" dT="2020-11-27T11:54:09.83" personId="{08B31E48-6F0E-6642-A82E-2C669FDCE3EF}" id="{2300FCF5-BF0F-9847-87C1-7235E61097F2}">
    <text>Base Case: We project that a large portion of SG&amp;A cost synergies kick in within a year and gradually grow until it reaches 35% reduction at the end of 2027.
Bull Case: We project that a large portion of SG&amp;A cost synergies kick in within a year and gradually grow until it reaches 30% reduction at the end of 2027.
Bear Case: We project that a large portion of SG&amp;A cost synergies kick in within a year and gradually grow until it reaches 25% reduction at the end of 2027.
Justification: Due to redundant back office operations as well as PayPal’s existing strong operations support, Square can significantly reduce its SG&amp;A expenses while maintaining same level of operability.</text>
  </threadedComment>
  <threadedComment ref="B26" dT="2020-11-27T11:52:37.55" personId="{08B31E48-6F0E-6642-A82E-2C669FDCE3EF}" id="{EFCE055D-C0BF-3C49-B2AD-E24C6F1FF33D}">
    <text>Base Case: We project that a large portion of R&amp;D cost synergies kick in within a year and gradually grow until it reaches 20% reduction at the end of 2027.
Bull Case: We project that a large portion of R&amp;D cost synergies kick in within a year and gradually grow until it reaches 15% reduction at the end of 2027.
Bear Case: We project that a large portion of R&amp;D cost synergies kick in within a year and gradually grow until it reaches 10% reduction at the end of 2027.
Justification: As Square can take a benefit of PayPal’s existing R&amp;D infrastructure and resources, Square can take advantage of PayPal’s economies of scale in R&amp;D.</text>
  </threadedComment>
  <threadedComment ref="B33" dT="2020-11-27T07:28:34.91" personId="{FDE4A324-7ADC-E442-A45C-48390D3B01ED}" id="{90026BBD-41E0-4E41-B41A-69EAA4E987B9}">
    <text>We do not assume any synergies arising from amortization charges</text>
  </threadedComment>
  <threadedComment ref="B40" dT="2020-11-27T12:04:35.69" personId="{08B31E48-6F0E-6642-A82E-2C669FDCE3EF}" id="{F86D519E-C3C6-F546-8066-3EC696093264}">
    <text>Base Case: We project that modest revenue synergies kick in within year one and grow conservatively to reach 6% by the end of the projection period
Bull Case: We project strong synergies kicking in within year one, and grow to reach 7% by the end of projection period.
Bear Case: We project strong synergies kicking in within year one, and grow to reach 3.5% by the end of projection period.
Justification: As an integration of Square leads to general reduction in costs as every aspect of operations will be at least partially consolidated, there will be a moderate decrease in miscellaneous expenses in Operating Expenses.</text>
  </threadedComment>
</ThreadedComments>
</file>

<file path=xl/threadedComments/threadedComment4.xml><?xml version="1.0" encoding="utf-8"?>
<ThreadedComments xmlns="http://schemas.microsoft.com/office/spreadsheetml/2018/threadedcomments" xmlns:x="http://schemas.openxmlformats.org/spreadsheetml/2006/main">
  <threadedComment ref="G5" dT="2020-11-24T00:58:16.88" personId="{FDE4A324-7ADC-E442-A45C-48390D3B01ED}" id="{43DBCDFB-A5F9-BA4F-8CBC-2E5E798B98DD}">
    <text>Square defines GPV as “the total dollar amount of all card payments processed by sellers using Square, net of refunds.” GPV is directly tied to and drives transaction revenues.</text>
  </threadedComment>
  <threadedComment ref="B6" dT="2020-11-27T05:25:30.64" personId="{08B31E48-6F0E-6642-A82E-2C669FDCE3EF}" id="{22D52885-6326-2149-A2C3-5218F683FA85}">
    <text>Base case for Gross Payment Volume is an average of past 5 years growth. Hence, we added and subtracted 1 standard deviation for bull and bear case scenarios.</text>
  </threadedComment>
  <threadedComment ref="G7" dT="2020-11-24T06:52:59.55" personId="{FDE4A324-7ADC-E442-A45C-48390D3B01ED}" id="{FB7A0949-22DA-BD4B-9932-0065837B3FEC}">
    <text>Source: 2019 10-K</text>
  </threadedComment>
  <threadedComment ref="B8" dT="2020-11-27T06:58:47.97" personId="{FDE4A324-7ADC-E442-A45C-48390D3B01ED}" id="{3C72A322-24D9-D947-9A3C-4BFD766E7530}">
    <text>According to PayPal’s 2019 10-K, its Total payment Volume was $712 billion in 2019. Hence, it generated transaction revenue of $16.099 million, which suggests that effective transaction fee was approx. 2.26%. As Square becomes larger and attain greater coverage, it will be able to reach the above level to stay profitable. Since a high transaction fee is one of primary reasons for consumers to switch, we will assume that Square will decrease its commission rate eventually but we assume it will retain its ability to price higher than PayPal due to brand value.</text>
  </threadedComment>
  <threadedComment ref="G13" dT="2020-11-24T00:58:16.88" personId="{FDE4A324-7ADC-E442-A45C-48390D3B01ED}" id="{252D30B2-96EE-C141-82A0-E00520EE55C6}">
    <text>Subscription and service revenue is Cash App, Square Capital and Instant Transfer services.</text>
  </threadedComment>
  <threadedComment ref="B14" dT="2020-11-27T02:07:42.94" personId="{08B31E48-6F0E-6642-A82E-2C669FDCE3EF}" id="{3258CF71-690E-454D-A254-CC288E210335}">
    <text>According to Statista, POS terminal market for service and software segments will increase from $8.09 billion in 2019 to $13.03 billion in 2025. Hence, we will be assuming a similar trend as a basic assumption for the S&amp;S growth. However, we also need to note outperformance of Square’s S&amp;S products in the market. By comparing revenue growth of the product with the industry growth, we found that Square outperformed the industry in a range of x1.57 to x2.12 in 2016-2019 periods. Therefore, we will be using max and min values of the outperformance as bull and base cases, with mean of the outperformance as our base case. Furthermore, the above rates were recalculated as CAGR for the input.</text>
  </threadedComment>
  <threadedComment ref="B19" dT="2020-11-27T05:27:36.64" personId="{08B31E48-6F0E-6642-A82E-2C669FDCE3EF}" id="{F7978609-8FB1-B448-B163-BB5278882879}">
    <text>According to Statista, POS terminal market for hardware segment will increase from $8.12 billion in 2019 to $9.54 billion in 2025. Hence, we will be assuming a similar trend as a basic assumption for the hardware growth. However, we also need to note outperformance of Square’s hardware products in the market. By comparing revenue growth of the product with the industry growth, we found that Square outperformed the industry in a range of x0.87 to x2.49 in 2016-2019 periods. Therefore, we used mean+0.5 s.d. and mean-0.5 s.d. values of the outperformance as bull and bear cases, with mean of the outperformance as our base case. Furthermore, the above rates were recalculated as CAGR for the input.</text>
  </threadedComment>
  <threadedComment ref="B23" dT="2020-11-27T07:00:54.21" personId="{FDE4A324-7ADC-E442-A45C-48390D3B01ED}" id="{98F80C8D-7632-B744-BF85-9D5634B15A85}">
    <text>We project accelerated Bitcoin revenue growth due to fast initial adoption, but rapidly decrease growth rates as the Bitcoin broker market becomes more saturated.</text>
  </threadedComment>
  <threadedComment ref="G34" dT="2020-11-24T06:57:34.72" personId="{FDE4A324-7ADC-E442-A45C-48390D3B01ED}" id="{53AB31AB-EC8C-9948-BD46-2B4A23FFE483}">
    <text>Discontinued payment processing agreement with Starbucks.</text>
  </threadedComment>
  <threadedComment ref="B39" dT="2020-11-27T07:02:22.74" personId="{FDE4A324-7ADC-E442-A45C-48390D3B01ED}" id="{CF0D3838-F87C-B144-AE58-E50231E60FF0}">
    <text>We assume in the base case that  Square is able to maintain an average of historical margins, one standard deviation above the mean for the bull case, and one standard deviation below for the bear case to incorporate historical trends into our projections.</text>
  </threadedComment>
  <threadedComment ref="B46" dT="2020-11-27T07:02:40.90" personId="{FDE4A324-7ADC-E442-A45C-48390D3B01ED}" id="{DA90C7DB-3CA9-7F42-947D-AC96D4B2530D}">
    <text>We assume in the base case that  Square is able to maintain an average of historical margins, one standard deviation above the mean for the bull case, and one standard deviation below for the bear case to incorporate historical trends into our projections.</text>
  </threadedComment>
  <threadedComment ref="B53" dT="2020-11-27T07:02:48.87" personId="{FDE4A324-7ADC-E442-A45C-48390D3B01ED}" id="{56FE5F1A-63FA-A547-9DDB-89F74708BB76}">
    <text>We assume in the base case that  Square is able to maintain an average of historical margins, one standard deviation above the mean for the bull case, and one standard deviation below for the bear case to incorporate historical trends into our projections.</text>
  </threadedComment>
  <threadedComment ref="B60" dT="2020-11-27T07:04:22.86" personId="{FDE4A324-7ADC-E442-A45C-48390D3B01ED}" id="{F71186AB-00E3-6E47-AA8A-81482AB4B4B5}">
    <text>We assume the Square is gradually able to increase its pricing on Bitcoin-related services in all cases as they gain market share and increased pricing power. The rate of increase varies depending on the case scenario.</text>
  </threadedComment>
  <threadedComment ref="G73" dT="2020-11-24T06:58:47.86" personId="{FDE4A324-7ADC-E442-A45C-48390D3B01ED}" id="{8A997EED-FB7A-DF40-A1F6-1E04C1839F56}">
    <text>Discontinued payment processing agreement with Starbucks.</text>
  </threadedComment>
  <threadedComment ref="B78" dT="2020-11-27T07:08:42.60" personId="{FDE4A324-7ADC-E442-A45C-48390D3B01ED}" id="{BB0D8079-2C1C-494B-ADBB-1E9FF0282D9B}">
    <text>Our OpEx assumptions are based on FY2020 OpEx margins. We did this as we feel that older OpEx margins won’t represent the the future moving forward as Bitcoin revenues (which have very low gross margins) become a larger part of their revenue, ‘inflating’ it in a sense. 
Furthermore, their business model fundamentally shifts to a more subscription and serviced based one, and they are able to spread their OpEx over more greater revenues and improve fixed-cost leverage.</text>
  </threadedComment>
  <threadedComment ref="B83" dT="2020-11-27T07:09:42.18" personId="{FDE4A324-7ADC-E442-A45C-48390D3B01ED}" id="{490109E1-A761-554E-84CE-EFF65DC30E2B}">
    <text>We model R&amp;D expense declining as a percent of revenues as Square matures as a company.</text>
  </threadedComment>
</ThreadedComments>
</file>

<file path=xl/threadedComments/threadedComment5.xml><?xml version="1.0" encoding="utf-8"?>
<ThreadedComments xmlns="http://schemas.microsoft.com/office/spreadsheetml/2018/threadedcomments" xmlns:x="http://schemas.openxmlformats.org/spreadsheetml/2006/main">
  <threadedComment ref="E4" dT="2020-11-26T05:14:17.26" personId="{08B31E48-6F0E-6642-A82E-2C669FDCE3EF}" id="{EDB129AF-1EFE-8743-8B26-87E1AA8EA37A}">
    <text>Source: Capital IQ</text>
  </threadedComment>
  <threadedComment ref="H8" dT="2020-11-25T21:12:09.22" personId="{08B31E48-6F0E-6642-A82E-2C669FDCE3EF}" id="{666FAB00-C0A1-EB4D-A90A-A10CD01C8C61}">
    <text>LTM 12 months Sep-30-2020</text>
  </threadedComment>
  <threadedComment ref="E28" dT="2020-11-25T23:39:19.79" personId="{08B31E48-6F0E-6642-A82E-2C669FDCE3EF}" id="{902DD481-50CA-434D-82CF-13A17D83E04C}">
    <text>List compiled via referencing precedent transactions list from DEFM14A filings of LinkedIn-Microsoft and Redhat-IBM. Precedent Transactions data extracted from Capital IQ.</text>
  </threadedComment>
  <threadedComment ref="E28" dT="2020-11-26T05:54:15.11" personId="{08B31E48-6F0E-6642-A82E-2C669FDCE3EF}" id="{4475ED53-A2A6-754D-AA57-FD5E69FDFB02}" parentId="{902DD481-50CA-434D-82CF-13A17D83E04C}">
    <text>LinkedIn: https://www.sec.gov/Archives/edgar/data/1271024/000104746916014430/a2229104zdefm14a.htm</text>
  </threadedComment>
  <threadedComment ref="E28" dT="2020-11-26T05:54:43.38" personId="{08B31E48-6F0E-6642-A82E-2C669FDCE3EF}" id="{3A3D7811-BA33-784E-90BE-D31E6A47BAC8}" parentId="{902DD481-50CA-434D-82CF-13A17D83E04C}">
    <text>Red Hat: https://www.sec.gov/Archives/edgar/data/1087423/000119312518339886/d654192dprem14a.htm</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443CF-7C40-A749-AFE5-A98396B0CFBC}">
  <sheetPr>
    <tabColor rgb="FFC00000"/>
  </sheetPr>
  <dimension ref="B1:O76"/>
  <sheetViews>
    <sheetView showGridLines="0" view="pageBreakPreview" zoomScale="60" zoomScaleNormal="65" workbookViewId="0">
      <selection activeCell="N74" sqref="N74"/>
    </sheetView>
  </sheetViews>
  <sheetFormatPr baseColWidth="10" defaultColWidth="11.5" defaultRowHeight="15"/>
  <cols>
    <col min="1" max="1" width="4.1640625" customWidth="1"/>
    <col min="2" max="2" width="25.6640625" customWidth="1"/>
    <col min="3" max="3" width="20.33203125" customWidth="1"/>
    <col min="4" max="4" width="5" customWidth="1"/>
    <col min="5" max="5" width="16.5" bestFit="1" customWidth="1"/>
    <col min="6" max="6" width="15.6640625" customWidth="1"/>
    <col min="7" max="7" width="5" customWidth="1"/>
    <col min="8" max="8" width="19.1640625" customWidth="1"/>
    <col min="9" max="9" width="14" customWidth="1"/>
    <col min="10" max="10" width="5" customWidth="1"/>
    <col min="11" max="11" width="16.5" bestFit="1" customWidth="1"/>
    <col min="12" max="12" width="15.33203125" customWidth="1"/>
    <col min="13" max="13" width="5" customWidth="1"/>
    <col min="14" max="14" width="35" bestFit="1" customWidth="1"/>
  </cols>
  <sheetData>
    <row r="1" spans="2:15" ht="16" thickBot="1"/>
    <row r="2" spans="2:15" ht="15" customHeight="1" thickBot="1">
      <c r="B2" s="641" t="s">
        <v>0</v>
      </c>
      <c r="C2" s="642"/>
      <c r="E2" s="641" t="s">
        <v>1</v>
      </c>
      <c r="F2" s="642"/>
      <c r="H2" s="641" t="s">
        <v>2</v>
      </c>
      <c r="I2" s="642"/>
      <c r="K2" s="641" t="s">
        <v>3</v>
      </c>
      <c r="L2" s="642"/>
      <c r="N2" s="641" t="s">
        <v>4</v>
      </c>
      <c r="O2" s="642"/>
    </row>
    <row r="3" spans="2:15" s="459" customFormat="1">
      <c r="B3" s="643" t="s">
        <v>5</v>
      </c>
      <c r="C3" s="500" t="str">
        <f>IF('DCF Main'!G2=1,"Stand-Alone","Synergy Adjusted")</f>
        <v>Synergy Adjusted</v>
      </c>
      <c r="E3" s="286" t="s">
        <v>6</v>
      </c>
      <c r="F3" s="460">
        <f>IF($C$3="Stand-Alone",O18,O9)</f>
        <v>851.24430353382661</v>
      </c>
      <c r="H3" s="461" t="s">
        <v>6</v>
      </c>
      <c r="I3" s="462">
        <f>IF($C$3="Stand-Alone",O16,O7)</f>
        <v>558.15650056248512</v>
      </c>
      <c r="K3" s="286" t="s">
        <v>6</v>
      </c>
      <c r="L3" s="460">
        <f>IF($C$3="Stand-Alone",O14,O5)</f>
        <v>290.92152789679437</v>
      </c>
      <c r="N3" s="470" t="s">
        <v>7</v>
      </c>
      <c r="O3" s="471">
        <f>(106484.02811363*(1+Comps!$N$44)-2668.373+2118.808)/'DCF Main'!D11</f>
        <v>367.42515609974811</v>
      </c>
    </row>
    <row r="4" spans="2:15" s="459" customFormat="1" ht="15" customHeight="1">
      <c r="B4" s="644"/>
      <c r="C4" s="501" t="str">
        <f>IF('DCF Main'!D2=1,"Base Scenario",(IF('DCF Main'!D2=2,"Bull Scenario","Bear Scenario")))</f>
        <v>Base Scenario</v>
      </c>
      <c r="E4" s="286" t="s">
        <v>8</v>
      </c>
      <c r="F4" s="460">
        <f>IF($C$3="Stand-Alone",O19,O10)</f>
        <v>256.30684486010307</v>
      </c>
      <c r="H4" s="286" t="s">
        <v>8</v>
      </c>
      <c r="I4" s="460">
        <f>IF($C$3="Stand-Alone",O17,O8)</f>
        <v>164.35784249384579</v>
      </c>
      <c r="K4" s="286" t="s">
        <v>8</v>
      </c>
      <c r="L4" s="460">
        <f>IF($C$3="Stand-Alone",O15,O6)</f>
        <v>81.466481465134152</v>
      </c>
      <c r="N4" s="467" t="s">
        <v>9</v>
      </c>
      <c r="O4" s="468">
        <f>(26707.2350322172*(1+Comps!$N$44)-2668.373+2118.808)/'DCF Main'!D11</f>
        <v>91.240693912821129</v>
      </c>
    </row>
    <row r="5" spans="2:15" s="459" customFormat="1" ht="15" customHeight="1">
      <c r="B5" s="286" t="s">
        <v>6</v>
      </c>
      <c r="C5" s="460">
        <f>'DCF Main'!D12</f>
        <v>558.15650056248512</v>
      </c>
      <c r="D5" s="509"/>
      <c r="E5" s="465" t="s">
        <v>10</v>
      </c>
      <c r="F5" s="466">
        <f>AVERAGE(F3:F4)</f>
        <v>553.77557419696484</v>
      </c>
      <c r="H5" s="465" t="s">
        <v>10</v>
      </c>
      <c r="I5" s="466">
        <f>AVERAGE(I3:I4)</f>
        <v>361.25717152816549</v>
      </c>
      <c r="K5" s="465" t="s">
        <v>10</v>
      </c>
      <c r="L5" s="466">
        <f>AVERAGE(L3:L4)</f>
        <v>186.19400468096427</v>
      </c>
      <c r="N5" s="286" t="s">
        <v>11</v>
      </c>
      <c r="O5" s="460">
        <v>290.92152789679437</v>
      </c>
    </row>
    <row r="6" spans="2:15" s="459" customFormat="1" ht="16" thickBot="1">
      <c r="B6" s="286" t="s">
        <v>12</v>
      </c>
      <c r="C6" s="460">
        <f>'DCF Main'!D23</f>
        <v>164.35784249384579</v>
      </c>
      <c r="E6" s="469" t="s">
        <v>13</v>
      </c>
      <c r="F6" s="460">
        <f>'DCF Main'!$D$14</f>
        <v>207.78</v>
      </c>
      <c r="H6" s="469" t="s">
        <v>13</v>
      </c>
      <c r="I6" s="460">
        <f>'DCF Main'!$D$14</f>
        <v>207.78</v>
      </c>
      <c r="K6" s="469" t="s">
        <v>13</v>
      </c>
      <c r="L6" s="460">
        <f>'DCF Main'!$D$14</f>
        <v>207.78</v>
      </c>
      <c r="N6" s="467" t="s">
        <v>14</v>
      </c>
      <c r="O6" s="468">
        <v>81.466481465134152</v>
      </c>
    </row>
    <row r="7" spans="2:15" s="459" customFormat="1" ht="16" thickBot="1">
      <c r="B7" s="465" t="s">
        <v>10</v>
      </c>
      <c r="C7" s="466">
        <f>AVERAGE(C5:C6)</f>
        <v>361.25717152816549</v>
      </c>
      <c r="E7" s="472" t="s">
        <v>15</v>
      </c>
      <c r="F7" s="473">
        <f>F5/F6-1</f>
        <v>1.6652015314128636</v>
      </c>
      <c r="H7" s="472" t="s">
        <v>15</v>
      </c>
      <c r="I7" s="473">
        <f>I5/I6-1</f>
        <v>0.7386522838009697</v>
      </c>
      <c r="K7" s="472" t="s">
        <v>15</v>
      </c>
      <c r="L7" s="473">
        <f>L5/L6-1</f>
        <v>-0.10388870593433308</v>
      </c>
      <c r="N7" s="470" t="s">
        <v>16</v>
      </c>
      <c r="O7" s="471">
        <v>558.15650056248512</v>
      </c>
    </row>
    <row r="8" spans="2:15" s="459" customFormat="1" ht="16" thickBot="1">
      <c r="B8" s="469" t="s">
        <v>13</v>
      </c>
      <c r="C8" s="460">
        <f>'DCF Main'!D14</f>
        <v>207.78</v>
      </c>
      <c r="N8" s="467" t="s">
        <v>17</v>
      </c>
      <c r="O8" s="468">
        <v>164.35784249384579</v>
      </c>
    </row>
    <row r="9" spans="2:15" s="459" customFormat="1" ht="16" thickBot="1">
      <c r="B9" s="472" t="s">
        <v>15</v>
      </c>
      <c r="C9" s="473">
        <f>C7/C8-1</f>
        <v>0.7386522838009697</v>
      </c>
      <c r="N9" s="286" t="s">
        <v>18</v>
      </c>
      <c r="O9" s="460">
        <v>851.24430353382661</v>
      </c>
    </row>
    <row r="10" spans="2:15" ht="15" customHeight="1" thickBot="1">
      <c r="B10" s="459"/>
      <c r="C10" s="459"/>
      <c r="N10" s="474" t="s">
        <v>19</v>
      </c>
      <c r="O10" s="475">
        <v>256.30684486010307</v>
      </c>
    </row>
    <row r="11" spans="2:15" ht="16" thickBot="1">
      <c r="B11" s="641" t="s">
        <v>20</v>
      </c>
      <c r="C11" s="642"/>
    </row>
    <row r="12" spans="2:15">
      <c r="B12" s="286" t="s">
        <v>13</v>
      </c>
      <c r="C12" s="476">
        <f>'DCF Main'!D14</f>
        <v>207.78</v>
      </c>
      <c r="N12" s="641" t="s">
        <v>21</v>
      </c>
      <c r="O12" s="642"/>
    </row>
    <row r="13" spans="2:15">
      <c r="B13" s="286" t="s">
        <v>22</v>
      </c>
      <c r="C13" s="477">
        <f>I5</f>
        <v>361.25717152816549</v>
      </c>
      <c r="N13" s="463" t="s">
        <v>23</v>
      </c>
      <c r="O13" s="464">
        <v>642.16459121081004</v>
      </c>
    </row>
    <row r="14" spans="2:15">
      <c r="B14" s="478" t="s">
        <v>24</v>
      </c>
      <c r="C14" s="479">
        <f>C13/C12-1</f>
        <v>0.7386522838009697</v>
      </c>
      <c r="N14" s="286" t="s">
        <v>11</v>
      </c>
      <c r="O14" s="460">
        <v>125.14773013689928</v>
      </c>
    </row>
    <row r="15" spans="2:15">
      <c r="B15" s="286" t="s">
        <v>25</v>
      </c>
      <c r="C15" s="477">
        <f>AVERAGE(F5,I5,L5)</f>
        <v>367.0755834686982</v>
      </c>
      <c r="E15" s="480"/>
      <c r="N15" s="467" t="s">
        <v>14</v>
      </c>
      <c r="O15" s="468">
        <v>25.756056747044902</v>
      </c>
    </row>
    <row r="16" spans="2:15" ht="16" thickBot="1">
      <c r="B16" s="506" t="s">
        <v>24</v>
      </c>
      <c r="C16" s="507">
        <f>C15/C12-1</f>
        <v>0.76665503642650012</v>
      </c>
      <c r="N16" s="470" t="s">
        <v>16</v>
      </c>
      <c r="O16" s="471">
        <v>234.94003795438005</v>
      </c>
    </row>
    <row r="17" spans="2:15">
      <c r="B17" s="211"/>
      <c r="C17" s="481"/>
      <c r="N17" s="467" t="s">
        <v>17</v>
      </c>
      <c r="O17" s="468">
        <v>58.012131364420505</v>
      </c>
    </row>
    <row r="18" spans="2:15" ht="15" customHeight="1">
      <c r="B18" s="645" t="s">
        <v>26</v>
      </c>
      <c r="C18" s="646"/>
      <c r="N18" s="286" t="s">
        <v>18</v>
      </c>
      <c r="O18" s="460">
        <v>340.07907992341649</v>
      </c>
    </row>
    <row r="19" spans="2:15" ht="16" customHeight="1" thickBot="1">
      <c r="B19" s="647"/>
      <c r="C19" s="648"/>
      <c r="N19" s="474" t="s">
        <v>19</v>
      </c>
      <c r="O19" s="475">
        <v>88.476002696096032</v>
      </c>
    </row>
    <row r="20" spans="2:15" ht="16" customHeight="1">
      <c r="B20" s="647"/>
      <c r="C20" s="648"/>
    </row>
    <row r="21" spans="2:15" ht="15" customHeight="1">
      <c r="B21" s="647"/>
      <c r="C21" s="648"/>
    </row>
    <row r="22" spans="2:15" ht="15" customHeight="1">
      <c r="B22" s="647"/>
      <c r="C22" s="648"/>
      <c r="N22" s="635" t="s">
        <v>27</v>
      </c>
      <c r="O22" s="636"/>
    </row>
    <row r="23" spans="2:15" ht="15" customHeight="1">
      <c r="B23" s="647"/>
      <c r="C23" s="648"/>
      <c r="N23" s="637"/>
      <c r="O23" s="638"/>
    </row>
    <row r="24" spans="2:15" ht="15" customHeight="1">
      <c r="B24" s="647"/>
      <c r="C24" s="648"/>
      <c r="N24" s="637"/>
      <c r="O24" s="638"/>
    </row>
    <row r="25" spans="2:15" ht="15" customHeight="1">
      <c r="B25" s="647"/>
      <c r="C25" s="648"/>
      <c r="N25" s="637"/>
      <c r="O25" s="638"/>
    </row>
    <row r="26" spans="2:15" ht="15" customHeight="1">
      <c r="B26" s="647"/>
      <c r="C26" s="648"/>
      <c r="N26" s="637"/>
      <c r="O26" s="638"/>
    </row>
    <row r="27" spans="2:15" ht="15" customHeight="1">
      <c r="B27" s="647"/>
      <c r="C27" s="648"/>
      <c r="N27" s="637"/>
      <c r="O27" s="638"/>
    </row>
    <row r="28" spans="2:15" ht="15" customHeight="1">
      <c r="B28" s="647"/>
      <c r="C28" s="648"/>
      <c r="N28" s="637"/>
      <c r="O28" s="638"/>
    </row>
    <row r="29" spans="2:15" ht="15" customHeight="1">
      <c r="B29" s="647"/>
      <c r="C29" s="648"/>
      <c r="N29" s="637"/>
      <c r="O29" s="638"/>
    </row>
    <row r="30" spans="2:15" ht="15" customHeight="1">
      <c r="B30" s="647"/>
      <c r="C30" s="648"/>
      <c r="N30" s="637"/>
      <c r="O30" s="638"/>
    </row>
    <row r="31" spans="2:15" ht="15" customHeight="1">
      <c r="B31" s="647"/>
      <c r="C31" s="648"/>
      <c r="N31" s="639"/>
      <c r="O31" s="640"/>
    </row>
    <row r="32" spans="2:15" ht="15" customHeight="1">
      <c r="B32" s="647"/>
      <c r="C32" s="648"/>
      <c r="N32" s="482"/>
      <c r="O32" s="482"/>
    </row>
    <row r="33" spans="2:15" ht="16" customHeight="1">
      <c r="B33" s="647"/>
      <c r="C33" s="648"/>
      <c r="N33" s="635" t="s">
        <v>28</v>
      </c>
      <c r="O33" s="636"/>
    </row>
    <row r="34" spans="2:15" ht="15" customHeight="1">
      <c r="B34" s="647"/>
      <c r="C34" s="648"/>
      <c r="N34" s="637"/>
      <c r="O34" s="638"/>
    </row>
    <row r="35" spans="2:15" ht="15" customHeight="1">
      <c r="B35" s="647"/>
      <c r="C35" s="648"/>
      <c r="N35" s="637"/>
      <c r="O35" s="638"/>
    </row>
    <row r="36" spans="2:15" ht="15" customHeight="1">
      <c r="B36" s="647"/>
      <c r="C36" s="648"/>
      <c r="N36" s="637"/>
      <c r="O36" s="638"/>
    </row>
    <row r="37" spans="2:15" ht="15" customHeight="1">
      <c r="B37" s="647"/>
      <c r="C37" s="648"/>
      <c r="N37" s="637"/>
      <c r="O37" s="638"/>
    </row>
    <row r="38" spans="2:15" ht="15" customHeight="1">
      <c r="B38" s="647"/>
      <c r="C38" s="648"/>
      <c r="N38" s="637"/>
      <c r="O38" s="638"/>
    </row>
    <row r="39" spans="2:15" ht="15" customHeight="1">
      <c r="B39" s="647"/>
      <c r="C39" s="648"/>
      <c r="N39" s="637"/>
      <c r="O39" s="638"/>
    </row>
    <row r="40" spans="2:15" ht="15" customHeight="1">
      <c r="B40" s="647"/>
      <c r="C40" s="648"/>
      <c r="N40" s="639"/>
      <c r="O40" s="640"/>
    </row>
    <row r="41" spans="2:15" ht="15" customHeight="1">
      <c r="B41" s="647"/>
      <c r="C41" s="648"/>
      <c r="N41" s="599"/>
      <c r="O41" s="599"/>
    </row>
    <row r="42" spans="2:15" ht="15" customHeight="1">
      <c r="B42" s="647"/>
      <c r="C42" s="648"/>
      <c r="N42" s="635" t="s">
        <v>29</v>
      </c>
      <c r="O42" s="636"/>
    </row>
    <row r="43" spans="2:15" ht="15" customHeight="1">
      <c r="B43" s="647"/>
      <c r="C43" s="648"/>
      <c r="N43" s="637"/>
      <c r="O43" s="638"/>
    </row>
    <row r="44" spans="2:15" ht="15" customHeight="1">
      <c r="B44" s="647"/>
      <c r="C44" s="648"/>
      <c r="N44" s="637"/>
      <c r="O44" s="638"/>
    </row>
    <row r="45" spans="2:15" ht="15" customHeight="1">
      <c r="B45" s="647"/>
      <c r="C45" s="648"/>
      <c r="N45" s="637"/>
      <c r="O45" s="638"/>
    </row>
    <row r="46" spans="2:15" ht="15" customHeight="1">
      <c r="B46" s="647"/>
      <c r="C46" s="648"/>
      <c r="N46" s="637"/>
      <c r="O46" s="638"/>
    </row>
    <row r="47" spans="2:15" ht="15" customHeight="1">
      <c r="B47" s="647"/>
      <c r="C47" s="648"/>
      <c r="N47" s="637"/>
      <c r="O47" s="638"/>
    </row>
    <row r="48" spans="2:15" ht="15" customHeight="1">
      <c r="B48" s="647"/>
      <c r="C48" s="648"/>
      <c r="N48" s="637"/>
      <c r="O48" s="638"/>
    </row>
    <row r="49" spans="2:15" ht="16" customHeight="1">
      <c r="B49" s="647"/>
      <c r="C49" s="648"/>
      <c r="N49" s="637"/>
      <c r="O49" s="638"/>
    </row>
    <row r="50" spans="2:15" ht="15" customHeight="1">
      <c r="B50" s="647"/>
      <c r="C50" s="648"/>
      <c r="N50" s="639"/>
      <c r="O50" s="640"/>
    </row>
    <row r="51" spans="2:15" ht="15" customHeight="1">
      <c r="B51" s="647"/>
      <c r="C51" s="648"/>
    </row>
    <row r="52" spans="2:15" ht="15" customHeight="1">
      <c r="B52" s="647"/>
      <c r="C52" s="648"/>
    </row>
    <row r="53" spans="2:15" ht="15" customHeight="1">
      <c r="B53" s="647"/>
      <c r="C53" s="648"/>
    </row>
    <row r="54" spans="2:15" ht="15" customHeight="1">
      <c r="B54" s="647"/>
      <c r="C54" s="648"/>
    </row>
    <row r="55" spans="2:15" ht="15" customHeight="1">
      <c r="B55" s="647"/>
      <c r="C55" s="648"/>
    </row>
    <row r="56" spans="2:15" ht="16" customHeight="1">
      <c r="B56" s="647"/>
      <c r="C56" s="648"/>
      <c r="N56" s="599"/>
      <c r="O56" s="599"/>
    </row>
    <row r="57" spans="2:15" ht="15" customHeight="1">
      <c r="B57" s="647"/>
      <c r="C57" s="648"/>
    </row>
    <row r="58" spans="2:15" ht="15" customHeight="1">
      <c r="B58" s="647"/>
      <c r="C58" s="648"/>
    </row>
    <row r="59" spans="2:15" ht="15" customHeight="1">
      <c r="B59" s="647"/>
      <c r="C59" s="648"/>
    </row>
    <row r="60" spans="2:15" ht="15" customHeight="1">
      <c r="B60" s="647"/>
      <c r="C60" s="648"/>
    </row>
    <row r="61" spans="2:15" ht="15" customHeight="1">
      <c r="B61" s="647"/>
      <c r="C61" s="648"/>
    </row>
    <row r="62" spans="2:15" ht="15" customHeight="1">
      <c r="B62" s="647"/>
      <c r="C62" s="648"/>
      <c r="M62" s="508"/>
    </row>
    <row r="63" spans="2:15" ht="15" customHeight="1">
      <c r="B63" s="647"/>
      <c r="C63" s="648"/>
    </row>
    <row r="64" spans="2:15" ht="15" customHeight="1">
      <c r="B64" s="647"/>
      <c r="C64" s="648"/>
    </row>
    <row r="65" spans="2:3" ht="15" customHeight="1">
      <c r="B65" s="647"/>
      <c r="C65" s="648"/>
    </row>
    <row r="66" spans="2:3" ht="15" customHeight="1">
      <c r="B66" s="647"/>
      <c r="C66" s="648"/>
    </row>
    <row r="67" spans="2:3" ht="15" customHeight="1">
      <c r="B67" s="647"/>
      <c r="C67" s="648"/>
    </row>
    <row r="68" spans="2:3" ht="15" customHeight="1">
      <c r="B68" s="647"/>
      <c r="C68" s="648"/>
    </row>
    <row r="69" spans="2:3" ht="15" customHeight="1">
      <c r="B69" s="647"/>
      <c r="C69" s="648"/>
    </row>
    <row r="70" spans="2:3" ht="15" customHeight="1">
      <c r="B70" s="647"/>
      <c r="C70" s="648"/>
    </row>
    <row r="71" spans="2:3" ht="15" customHeight="1">
      <c r="B71" s="647"/>
      <c r="C71" s="648"/>
    </row>
    <row r="72" spans="2:3" ht="15" customHeight="1">
      <c r="B72" s="647"/>
      <c r="C72" s="648"/>
    </row>
    <row r="73" spans="2:3" ht="15" customHeight="1">
      <c r="B73" s="647"/>
      <c r="C73" s="648"/>
    </row>
    <row r="74" spans="2:3" ht="15" customHeight="1">
      <c r="B74" s="647"/>
      <c r="C74" s="648"/>
    </row>
    <row r="75" spans="2:3" ht="15" customHeight="1">
      <c r="B75" s="647"/>
      <c r="C75" s="648"/>
    </row>
    <row r="76" spans="2:3" ht="24" customHeight="1">
      <c r="B76" s="649"/>
      <c r="C76" s="650"/>
    </row>
  </sheetData>
  <dataConsolidate/>
  <mergeCells count="12">
    <mergeCell ref="N22:O31"/>
    <mergeCell ref="B2:C2"/>
    <mergeCell ref="E2:F2"/>
    <mergeCell ref="H2:I2"/>
    <mergeCell ref="K2:L2"/>
    <mergeCell ref="N2:O2"/>
    <mergeCell ref="B11:C11"/>
    <mergeCell ref="N12:O12"/>
    <mergeCell ref="B3:B4"/>
    <mergeCell ref="B18:C76"/>
    <mergeCell ref="N33:O40"/>
    <mergeCell ref="N42:O50"/>
  </mergeCells>
  <phoneticPr fontId="35" type="noConversion"/>
  <pageMargins left="0.7" right="0.7" top="0.75" bottom="0.75" header="0.3" footer="0.3"/>
  <pageSetup scale="44" orientation="landscape" horizontalDpi="0" verticalDpi="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7A305-76BB-814B-986E-213D045A8085}">
  <sheetPr>
    <tabColor theme="3"/>
    <pageSetUpPr fitToPage="1"/>
  </sheetPr>
  <dimension ref="C2:AF73"/>
  <sheetViews>
    <sheetView showGridLines="0" view="pageBreakPreview" zoomScale="60" zoomScaleNormal="85" workbookViewId="0">
      <pane xSplit="1" ySplit="4" topLeftCell="B5" activePane="bottomRight" state="frozen"/>
      <selection pane="topRight" activeCell="B1" sqref="B1"/>
      <selection pane="bottomLeft" activeCell="A5" sqref="A5"/>
      <selection pane="bottomRight" activeCell="T56" sqref="T56"/>
    </sheetView>
  </sheetViews>
  <sheetFormatPr baseColWidth="10" defaultColWidth="9.1640625" defaultRowHeight="15"/>
  <cols>
    <col min="1" max="1" width="2.1640625" style="131" customWidth="1"/>
    <col min="2" max="2" width="2.83203125" style="131" customWidth="1"/>
    <col min="3" max="3" width="26.5" style="131" bestFit="1" customWidth="1"/>
    <col min="4" max="4" width="18.83203125" style="131" customWidth="1"/>
    <col min="5" max="5" width="9.1640625" style="131"/>
    <col min="6" max="6" width="34.33203125" style="131" customWidth="1"/>
    <col min="7" max="9" width="13.83203125" style="131" customWidth="1"/>
    <col min="10" max="10" width="14.5" style="131" customWidth="1"/>
    <col min="11" max="19" width="13.83203125" style="131" customWidth="1"/>
    <col min="20" max="16384" width="9.1640625" style="131"/>
  </cols>
  <sheetData>
    <row r="2" spans="3:19">
      <c r="C2" s="653" t="s">
        <v>30</v>
      </c>
      <c r="D2" s="658">
        <v>1</v>
      </c>
      <c r="F2" s="653" t="s">
        <v>31</v>
      </c>
      <c r="G2" s="656">
        <v>2</v>
      </c>
      <c r="I2" s="655" t="s">
        <v>5</v>
      </c>
      <c r="J2" s="592" t="str">
        <f>IF('DCF Main'!G2=1,"Stand-Alone","Synergy Adjusted")</f>
        <v>Synergy Adjusted</v>
      </c>
    </row>
    <row r="3" spans="3:19">
      <c r="C3" s="654"/>
      <c r="D3" s="659"/>
      <c r="F3" s="654"/>
      <c r="G3" s="657"/>
      <c r="I3" s="655"/>
      <c r="J3" s="592" t="str">
        <f>IF('DCF Main'!D2=1,"Base Scenario",(IF('DCF Main'!D2=2,"Bull Scenario","Bear Scenario")))</f>
        <v>Base Scenario</v>
      </c>
      <c r="K3" s="502"/>
    </row>
    <row r="4" spans="3:19" s="497" customFormat="1">
      <c r="C4" s="495"/>
      <c r="D4" s="496"/>
      <c r="F4" s="495"/>
      <c r="G4" s="496"/>
      <c r="I4" s="498"/>
      <c r="J4" s="499"/>
      <c r="K4" s="499"/>
    </row>
    <row r="5" spans="3:19" ht="16" thickBot="1">
      <c r="C5" s="593"/>
      <c r="F5" s="494"/>
      <c r="G5" s="494"/>
    </row>
    <row r="6" spans="3:19" ht="17" thickBot="1">
      <c r="C6" s="660" t="s">
        <v>32</v>
      </c>
      <c r="D6" s="661"/>
      <c r="F6" s="212" t="s">
        <v>33</v>
      </c>
      <c r="G6" s="213"/>
      <c r="H6" s="213"/>
      <c r="I6" s="213"/>
      <c r="J6" s="213"/>
      <c r="K6" s="213"/>
      <c r="L6" s="213"/>
      <c r="M6" s="214">
        <v>1</v>
      </c>
      <c r="N6" s="213">
        <f>M6+1</f>
        <v>2</v>
      </c>
      <c r="O6" s="213">
        <f t="shared" ref="O6:Q6" si="0">N6+1</f>
        <v>3</v>
      </c>
      <c r="P6" s="213">
        <f t="shared" si="0"/>
        <v>4</v>
      </c>
      <c r="Q6" s="213">
        <f t="shared" si="0"/>
        <v>5</v>
      </c>
      <c r="R6" s="213">
        <f>Q6+1</f>
        <v>6</v>
      </c>
      <c r="S6" s="213">
        <v>7</v>
      </c>
    </row>
    <row r="7" spans="3:19">
      <c r="C7" s="215" t="s">
        <v>34</v>
      </c>
      <c r="D7" s="216">
        <f>SUM(M36:S36)+S38</f>
        <v>252222.33110362454</v>
      </c>
      <c r="F7" s="217"/>
      <c r="G7" s="64">
        <v>2015</v>
      </c>
      <c r="H7" s="307">
        <f>G7+1</f>
        <v>2016</v>
      </c>
      <c r="I7" s="307">
        <f t="shared" ref="I7:J7" si="1">H7+1</f>
        <v>2017</v>
      </c>
      <c r="J7" s="307">
        <f t="shared" si="1"/>
        <v>2018</v>
      </c>
      <c r="K7" s="307">
        <f>J7+1</f>
        <v>2019</v>
      </c>
      <c r="L7" s="307">
        <f>K7+1</f>
        <v>2020</v>
      </c>
      <c r="M7" s="218">
        <f>L7+1</f>
        <v>2021</v>
      </c>
      <c r="N7" s="219">
        <f t="shared" ref="N7:P7" si="2">M7+1</f>
        <v>2022</v>
      </c>
      <c r="O7" s="219">
        <f t="shared" si="2"/>
        <v>2023</v>
      </c>
      <c r="P7" s="219">
        <f t="shared" si="2"/>
        <v>2024</v>
      </c>
      <c r="Q7" s="219">
        <f>P7+1</f>
        <v>2025</v>
      </c>
      <c r="R7" s="219">
        <f>Q7+1</f>
        <v>2026</v>
      </c>
      <c r="S7" s="220">
        <f>R7+1</f>
        <v>2027</v>
      </c>
    </row>
    <row r="8" spans="3:19">
      <c r="C8" s="221" t="s">
        <v>35</v>
      </c>
      <c r="D8" s="222">
        <f>D51*-1</f>
        <v>-2668.3730000000005</v>
      </c>
      <c r="F8" s="303" t="s">
        <v>36</v>
      </c>
      <c r="G8" s="316">
        <f>'IS Drivers'!H35</f>
        <v>1267.1179999999997</v>
      </c>
      <c r="H8" s="223">
        <f>'IS Drivers'!I35</f>
        <v>1708.721</v>
      </c>
      <c r="I8" s="223">
        <f>'IS Drivers'!J35</f>
        <v>2214.2529999999997</v>
      </c>
      <c r="J8" s="223">
        <f>'IS Drivers'!K35</f>
        <v>3298.1770000000001</v>
      </c>
      <c r="K8" s="223">
        <f>'IS Drivers'!L35</f>
        <v>4713.5</v>
      </c>
      <c r="L8" s="224">
        <f>'IS Drivers'!M35</f>
        <v>7652.0370000000003</v>
      </c>
      <c r="M8" s="223">
        <f>CHOOSE('DCF Main'!$G$2, 'IS Drivers'!N35, 'Synergy Adjustments'!H9)</f>
        <v>11890.072837307593</v>
      </c>
      <c r="N8" s="223">
        <f>CHOOSE('DCF Main'!$G$2, 'IS Drivers'!O35, 'Synergy Adjustments'!I9)</f>
        <v>16580.287955772485</v>
      </c>
      <c r="O8" s="223">
        <f>CHOOSE('DCF Main'!$G$2, 'IS Drivers'!P35, 'Synergy Adjustments'!J9)</f>
        <v>21435.505230279021</v>
      </c>
      <c r="P8" s="223">
        <f>CHOOSE('DCF Main'!$G$2, 'IS Drivers'!Q35, 'Synergy Adjustments'!K9)</f>
        <v>26445.329604889816</v>
      </c>
      <c r="Q8" s="223">
        <f>CHOOSE('DCF Main'!$G$2, 'IS Drivers'!R35, 'Synergy Adjustments'!L9)</f>
        <v>31795.647317836785</v>
      </c>
      <c r="R8" s="223">
        <f>CHOOSE('DCF Main'!$G$2, 'IS Drivers'!S35, 'Synergy Adjustments'!M9)</f>
        <v>37682.42536444599</v>
      </c>
      <c r="S8" s="224">
        <f>CHOOSE('DCF Main'!$G$2, 'IS Drivers'!T35, 'Synergy Adjustments'!N9)</f>
        <v>44221.046547853504</v>
      </c>
    </row>
    <row r="9" spans="3:19">
      <c r="C9" s="221" t="s">
        <v>37</v>
      </c>
      <c r="D9" s="225">
        <f>BS!G18</f>
        <v>2118.808</v>
      </c>
      <c r="F9" s="304" t="s">
        <v>38</v>
      </c>
      <c r="G9" s="317" t="s">
        <v>39</v>
      </c>
      <c r="H9" s="226">
        <f>H8/G8-1</f>
        <v>0.34850976783535592</v>
      </c>
      <c r="I9" s="226">
        <f t="shared" ref="I9:J9" si="3">I8/H8-1</f>
        <v>0.29585403351395567</v>
      </c>
      <c r="J9" s="226">
        <f t="shared" si="3"/>
        <v>0.4895212967985143</v>
      </c>
      <c r="K9" s="226">
        <f>K8/J8-1</f>
        <v>0.42912281542197395</v>
      </c>
      <c r="L9" s="227">
        <f>L8/K8-1</f>
        <v>0.62342993529224566</v>
      </c>
      <c r="M9" s="226">
        <f>M8/K8-1</f>
        <v>1.5225570886406263</v>
      </c>
      <c r="N9" s="226">
        <f>N8/M8-1</f>
        <v>0.39446479282686653</v>
      </c>
      <c r="O9" s="226">
        <f t="shared" ref="O9" si="4">O8/N8-1</f>
        <v>0.2928306967561547</v>
      </c>
      <c r="P9" s="226">
        <f t="shared" ref="P9" si="5">P8/O8-1</f>
        <v>0.23371617887196328</v>
      </c>
      <c r="Q9" s="226">
        <f t="shared" ref="Q9" si="6">Q8/P8-1</f>
        <v>0.2023161667063389</v>
      </c>
      <c r="R9" s="226">
        <f>R8/Q8-1</f>
        <v>0.18514414843527427</v>
      </c>
      <c r="S9" s="227">
        <f>S8/R8-1</f>
        <v>0.17351911720567803</v>
      </c>
    </row>
    <row r="10" spans="3:19" ht="14.5" customHeight="1">
      <c r="C10" s="221" t="s">
        <v>40</v>
      </c>
      <c r="D10" s="222">
        <f>D7+D8+D9</f>
        <v>251672.76610362454</v>
      </c>
      <c r="F10" s="304"/>
      <c r="G10" s="317"/>
      <c r="H10" s="226"/>
      <c r="I10" s="226"/>
      <c r="J10" s="226"/>
      <c r="K10" s="226"/>
      <c r="L10" s="227"/>
      <c r="M10" s="226"/>
      <c r="N10" s="226"/>
      <c r="O10" s="226"/>
      <c r="P10" s="226"/>
      <c r="Q10" s="226"/>
      <c r="R10" s="226"/>
      <c r="S10" s="227"/>
    </row>
    <row r="11" spans="3:19">
      <c r="C11" s="221" t="s">
        <v>41</v>
      </c>
      <c r="D11" s="228">
        <v>450.9</v>
      </c>
      <c r="F11" s="303" t="s">
        <v>42</v>
      </c>
      <c r="G11" s="318">
        <f>'IS Drivers'!H74</f>
        <v>-891.44900000000007</v>
      </c>
      <c r="H11" s="229">
        <f>'IS Drivers'!I74</f>
        <v>-1124.655</v>
      </c>
      <c r="I11" s="229">
        <f>'IS Drivers'!J74</f>
        <v>-1368.403</v>
      </c>
      <c r="J11" s="229">
        <f>'IS Drivers'!K74</f>
        <v>-1987.3869999999999</v>
      </c>
      <c r="K11" s="229">
        <f>'IS Drivers'!L74</f>
        <v>-2816.8650000000002</v>
      </c>
      <c r="L11" s="230">
        <f>'IS Drivers'!M74</f>
        <v>-5185.6790000000001</v>
      </c>
      <c r="M11" s="229">
        <f>CHOOSE('DCF Main'!$G$2, 'IS Drivers'!N74,'Synergy Adjustments'!H16)</f>
        <v>-8308.6487143662853</v>
      </c>
      <c r="N11" s="229">
        <f>CHOOSE('DCF Main'!$G$2, 'IS Drivers'!O74,'Synergy Adjustments'!I16)</f>
        <v>-11295.831685946176</v>
      </c>
      <c r="O11" s="229">
        <f>CHOOSE('DCF Main'!$G$2, 'IS Drivers'!P74,'Synergy Adjustments'!J16)</f>
        <v>-13931.242465702046</v>
      </c>
      <c r="P11" s="229">
        <f>CHOOSE('DCF Main'!$G$2, 'IS Drivers'!Q74,'Synergy Adjustments'!K16)</f>
        <v>-16180.251217804578</v>
      </c>
      <c r="Q11" s="229">
        <f>CHOOSE('DCF Main'!$G$2, 'IS Drivers'!R74,'Synergy Adjustments'!L16)</f>
        <v>-18192.366620513716</v>
      </c>
      <c r="R11" s="229">
        <f>CHOOSE('DCF Main'!$G$2, 'IS Drivers'!S74,'Synergy Adjustments'!M16)</f>
        <v>-20131.315640670105</v>
      </c>
      <c r="S11" s="230">
        <f>CHOOSE('DCF Main'!$G$2, 'IS Drivers'!T74,'Synergy Adjustments'!N16)</f>
        <v>-22107.47844563557</v>
      </c>
    </row>
    <row r="12" spans="3:19">
      <c r="C12" s="221" t="s">
        <v>43</v>
      </c>
      <c r="D12" s="231">
        <f>D10/D11</f>
        <v>558.15650056248512</v>
      </c>
      <c r="F12" s="303"/>
      <c r="G12" s="318"/>
      <c r="H12" s="229"/>
      <c r="I12" s="229"/>
      <c r="J12" s="229"/>
      <c r="K12" s="229"/>
      <c r="L12" s="230"/>
      <c r="M12" s="229"/>
      <c r="N12" s="229"/>
      <c r="O12" s="229"/>
      <c r="P12" s="229"/>
      <c r="Q12" s="229"/>
      <c r="R12" s="229"/>
      <c r="S12" s="230"/>
    </row>
    <row r="13" spans="3:19">
      <c r="C13" s="221"/>
      <c r="D13" s="232"/>
      <c r="F13" s="303" t="s">
        <v>44</v>
      </c>
      <c r="G13" s="319">
        <f>G8+G11</f>
        <v>375.66899999999964</v>
      </c>
      <c r="H13" s="233">
        <f t="shared" ref="H13:J13" si="7">H8+H11</f>
        <v>584.06600000000003</v>
      </c>
      <c r="I13" s="233">
        <f t="shared" si="7"/>
        <v>845.84999999999968</v>
      </c>
      <c r="J13" s="233">
        <f t="shared" si="7"/>
        <v>1310.7900000000002</v>
      </c>
      <c r="K13" s="233">
        <f>K8+K11</f>
        <v>1896.6349999999998</v>
      </c>
      <c r="L13" s="234">
        <f>L8+L11</f>
        <v>2466.3580000000002</v>
      </c>
      <c r="M13" s="233">
        <f>M8+M11</f>
        <v>3581.4241229413074</v>
      </c>
      <c r="N13" s="233">
        <f t="shared" ref="N13:Q13" si="8">N8+N11</f>
        <v>5284.4562698263089</v>
      </c>
      <c r="O13" s="233">
        <f t="shared" si="8"/>
        <v>7504.2627645769753</v>
      </c>
      <c r="P13" s="233">
        <f t="shared" si="8"/>
        <v>10265.078387085237</v>
      </c>
      <c r="Q13" s="233">
        <f t="shared" si="8"/>
        <v>13603.280697323069</v>
      </c>
      <c r="R13" s="233">
        <f>R8+R11</f>
        <v>17551.109723775884</v>
      </c>
      <c r="S13" s="234">
        <f>S8+S11</f>
        <v>22113.568102217934</v>
      </c>
    </row>
    <row r="14" spans="3:19" ht="16" thickBot="1">
      <c r="C14" s="235" t="s">
        <v>13</v>
      </c>
      <c r="D14" s="236">
        <v>207.78</v>
      </c>
      <c r="F14" s="304" t="s">
        <v>45</v>
      </c>
      <c r="G14" s="320">
        <f>G13/G8</f>
        <v>0.29647515069630431</v>
      </c>
      <c r="H14" s="237">
        <f t="shared" ref="H14:J14" si="9">H13/H8</f>
        <v>0.34181472575101496</v>
      </c>
      <c r="I14" s="237">
        <f t="shared" si="9"/>
        <v>0.38200241797120738</v>
      </c>
      <c r="J14" s="237">
        <f t="shared" si="9"/>
        <v>0.39742864012452944</v>
      </c>
      <c r="K14" s="237">
        <f>K13/K8</f>
        <v>0.40238357908136202</v>
      </c>
      <c r="L14" s="238">
        <f>L13/L8</f>
        <v>0.3223139145824831</v>
      </c>
      <c r="M14" s="237">
        <f>M13/M8</f>
        <v>0.3012112854097781</v>
      </c>
      <c r="N14" s="237">
        <f t="shared" ref="N14" si="10">N13/N8</f>
        <v>0.31871920945658289</v>
      </c>
      <c r="O14" s="237">
        <f t="shared" ref="O14" si="11">O13/O8</f>
        <v>0.35008564920488672</v>
      </c>
      <c r="P14" s="237">
        <f t="shared" ref="P14" si="12">P13/P8</f>
        <v>0.38816224038240749</v>
      </c>
      <c r="Q14" s="237">
        <f t="shared" ref="Q14" si="13">Q13/Q8</f>
        <v>0.42783468319866141</v>
      </c>
      <c r="R14" s="237">
        <f>R13/R8</f>
        <v>0.46576380246308813</v>
      </c>
      <c r="S14" s="238">
        <f>S13/S8</f>
        <v>0.50006885473160134</v>
      </c>
    </row>
    <row r="15" spans="3:19" ht="16" thickBot="1">
      <c r="C15" s="239" t="s">
        <v>15</v>
      </c>
      <c r="D15" s="240">
        <f>D12/D14-1</f>
        <v>1.6862859782581823</v>
      </c>
      <c r="F15" s="305"/>
      <c r="G15" s="321"/>
      <c r="H15" s="308"/>
      <c r="I15" s="308"/>
      <c r="J15" s="308"/>
      <c r="K15" s="308"/>
      <c r="L15" s="241"/>
      <c r="M15" s="308"/>
      <c r="N15" s="308"/>
      <c r="O15" s="308"/>
      <c r="P15" s="308"/>
      <c r="Q15" s="308"/>
      <c r="R15" s="308"/>
      <c r="S15" s="241"/>
    </row>
    <row r="16" spans="3:19" ht="16" thickBot="1">
      <c r="F16" s="303" t="s">
        <v>46</v>
      </c>
      <c r="G16" s="318">
        <f>'IS Drivers'!H104</f>
        <v>-545.72699999999998</v>
      </c>
      <c r="H16" s="229">
        <f>'IS Drivers'!I104</f>
        <v>-706.51900000000001</v>
      </c>
      <c r="I16" s="229">
        <f>'IS Drivers'!J104</f>
        <v>-900.05600000000004</v>
      </c>
      <c r="J16" s="229">
        <f>'IS Drivers'!K104</f>
        <v>-1347.404</v>
      </c>
      <c r="K16" s="229">
        <f>'IS Drivers'!L104</f>
        <v>-1870.0780000000002</v>
      </c>
      <c r="L16" s="230">
        <f>'IS Drivers'!M104</f>
        <v>-2513.0079999999998</v>
      </c>
      <c r="M16" s="233">
        <f>CHOOSE('DCF Main'!$G$2, 'IS Drivers'!N104,'Synergy Adjustments'!H53)</f>
        <v>-3197.7579209839832</v>
      </c>
      <c r="N16" s="233">
        <f>CHOOSE('DCF Main'!$G$2, 'IS Drivers'!O104,'Synergy Adjustments'!I53)</f>
        <v>-4182.9059484408081</v>
      </c>
      <c r="O16" s="233">
        <f>CHOOSE('DCF Main'!$G$2, 'IS Drivers'!P104,'Synergy Adjustments'!J53)</f>
        <v>-5060.050415763013</v>
      </c>
      <c r="P16" s="233">
        <f>CHOOSE('DCF Main'!$G$2, 'IS Drivers'!Q104,'Synergy Adjustments'!K53)</f>
        <v>-5825.0968985599875</v>
      </c>
      <c r="Q16" s="233">
        <f>CHOOSE('DCF Main'!$G$2, 'IS Drivers'!R104,'Synergy Adjustments'!L53)</f>
        <v>-6515.1143529131286</v>
      </c>
      <c r="R16" s="233">
        <f>CHOOSE('DCF Main'!$G$2, 'IS Drivers'!S104,'Synergy Adjustments'!M53)</f>
        <v>-7158.2474285199332</v>
      </c>
      <c r="S16" s="230">
        <f>CHOOSE('DCF Main'!$G$2, 'IS Drivers'!T104,'Synergy Adjustments'!N53)</f>
        <v>-7757.8417499152883</v>
      </c>
    </row>
    <row r="17" spans="3:20" ht="17" thickBot="1">
      <c r="C17" s="660" t="s">
        <v>47</v>
      </c>
      <c r="D17" s="661"/>
      <c r="F17" s="304" t="s">
        <v>45</v>
      </c>
      <c r="G17" s="322">
        <f>G16/G8*-1</f>
        <v>0.43068364587986291</v>
      </c>
      <c r="H17" s="242">
        <f t="shared" ref="H17:J17" si="14">H16/H8*-1</f>
        <v>0.41347826824859063</v>
      </c>
      <c r="I17" s="242">
        <f t="shared" si="14"/>
        <v>0.40648290868297354</v>
      </c>
      <c r="J17" s="242">
        <f t="shared" si="14"/>
        <v>0.40852992425815837</v>
      </c>
      <c r="K17" s="242">
        <f>K16/K8*-1</f>
        <v>0.39674933701071396</v>
      </c>
      <c r="L17" s="243">
        <f>L16/L8*-1</f>
        <v>0.32841033047801516</v>
      </c>
      <c r="M17" s="237">
        <f>M16/M8*-1</f>
        <v>0.26894350982866549</v>
      </c>
      <c r="N17" s="237">
        <f t="shared" ref="N17" si="15">N16/N8*-1</f>
        <v>0.25228186383726314</v>
      </c>
      <c r="O17" s="237">
        <f t="shared" ref="O17" si="16">O16/O8*-1</f>
        <v>0.23605930261048236</v>
      </c>
      <c r="P17" s="237">
        <f t="shared" ref="P17" si="17">P16/P8*-1</f>
        <v>0.22026940051762148</v>
      </c>
      <c r="Q17" s="237">
        <f t="shared" ref="Q17" si="18">Q16/Q8*-1</f>
        <v>0.20490585669750674</v>
      </c>
      <c r="R17" s="237">
        <f>R16/R8*-1</f>
        <v>0.18996249204473611</v>
      </c>
      <c r="S17" s="243">
        <f>S16/S8*-1</f>
        <v>0.17543324628285747</v>
      </c>
    </row>
    <row r="18" spans="3:20">
      <c r="C18" s="215" t="s">
        <v>34</v>
      </c>
      <c r="D18" s="216">
        <f>SUM(M36:S36)+S40</f>
        <v>74658.516180475068</v>
      </c>
      <c r="F18" s="303"/>
      <c r="G18" s="323"/>
      <c r="H18" s="244"/>
      <c r="I18" s="244"/>
      <c r="J18" s="244"/>
      <c r="K18" s="244"/>
      <c r="L18" s="245"/>
      <c r="M18" s="246"/>
      <c r="N18" s="246"/>
      <c r="O18" s="246"/>
      <c r="P18" s="246"/>
      <c r="Q18" s="246"/>
      <c r="R18" s="246"/>
      <c r="S18" s="245"/>
    </row>
    <row r="19" spans="3:20">
      <c r="C19" s="221" t="s">
        <v>35</v>
      </c>
      <c r="D19" s="222">
        <f>D51*-1</f>
        <v>-2668.3730000000005</v>
      </c>
      <c r="F19" s="305" t="s">
        <v>48</v>
      </c>
      <c r="G19" s="324">
        <f>G23+G21*-1</f>
        <v>-145.63200000000035</v>
      </c>
      <c r="H19" s="309">
        <f t="shared" ref="H19:J19" si="19">H23+H21*-1</f>
        <v>-91.807999999999979</v>
      </c>
      <c r="I19" s="310">
        <f t="shared" si="19"/>
        <v>-23.52700000000036</v>
      </c>
      <c r="J19" s="310">
        <f t="shared" si="19"/>
        <v>13.747000000000192</v>
      </c>
      <c r="K19" s="310">
        <f>K23+K21*-1</f>
        <v>83.254999999999569</v>
      </c>
      <c r="L19" s="247">
        <f>L23+L21*-1</f>
        <v>-7.0399999999996368</v>
      </c>
      <c r="M19" s="248">
        <f>M23+M21*-1</f>
        <v>549.21786154430686</v>
      </c>
      <c r="N19" s="248">
        <f t="shared" ref="N19:Q19" si="20">N23+N21*-1</f>
        <v>1317.6130833327754</v>
      </c>
      <c r="O19" s="248">
        <f t="shared" si="20"/>
        <v>2706.0279556756059</v>
      </c>
      <c r="P19" s="248">
        <f t="shared" si="20"/>
        <v>4755.7542789179379</v>
      </c>
      <c r="Q19" s="248">
        <f t="shared" si="20"/>
        <v>7450.18508304638</v>
      </c>
      <c r="R19" s="248">
        <f>R23+R21*-1</f>
        <v>10863.857310500387</v>
      </c>
      <c r="S19" s="249">
        <f>S23+S21*-1</f>
        <v>14895.849817972276</v>
      </c>
    </row>
    <row r="20" spans="3:20">
      <c r="C20" s="221" t="s">
        <v>37</v>
      </c>
      <c r="D20" s="225">
        <f>BS!G18</f>
        <v>2118.808</v>
      </c>
      <c r="F20" s="304" t="s">
        <v>45</v>
      </c>
      <c r="G20" s="339">
        <f>G19/G8</f>
        <v>-0.11493167960679304</v>
      </c>
      <c r="H20" s="309">
        <f t="shared" ref="H20:J20" si="21">H19/H8</f>
        <v>-5.3729075723889373E-2</v>
      </c>
      <c r="I20" s="311">
        <f t="shared" si="21"/>
        <v>-1.062525375374917E-2</v>
      </c>
      <c r="J20" s="311">
        <f t="shared" si="21"/>
        <v>4.1680601132080518E-3</v>
      </c>
      <c r="K20" s="311">
        <f>K19/K8</f>
        <v>1.7663095364378819E-2</v>
      </c>
      <c r="L20" s="250">
        <f>L19/L8</f>
        <v>-9.2001646097629127E-4</v>
      </c>
      <c r="M20" s="311">
        <f>M19/M8</f>
        <v>4.6191294961711322E-2</v>
      </c>
      <c r="N20" s="311">
        <f t="shared" ref="N20" si="22">N19/N8</f>
        <v>7.9468648967223984E-2</v>
      </c>
      <c r="O20" s="311">
        <f t="shared" ref="O20" si="23">O19/O8</f>
        <v>0.12624045603801157</v>
      </c>
      <c r="P20" s="311">
        <f t="shared" ref="P20" si="24">P19/P8</f>
        <v>0.17983342805599162</v>
      </c>
      <c r="Q20" s="311">
        <f t="shared" ref="Q20" si="25">Q19/Q8</f>
        <v>0.23431462201642175</v>
      </c>
      <c r="R20" s="311">
        <f>R19/R8</f>
        <v>0.28830037359406863</v>
      </c>
      <c r="S20" s="250">
        <f>S19/S8</f>
        <v>0.33684978038348401</v>
      </c>
    </row>
    <row r="21" spans="3:20">
      <c r="C21" s="221" t="s">
        <v>40</v>
      </c>
      <c r="D21" s="222">
        <f>D18+D19+D20</f>
        <v>74108.951180475065</v>
      </c>
      <c r="F21" s="303" t="s">
        <v>49</v>
      </c>
      <c r="G21" s="318">
        <f>'D&amp;A - NWC'!C7</f>
        <v>-24.425999999999998</v>
      </c>
      <c r="H21" s="229">
        <f>'D&amp;A - NWC'!D7</f>
        <v>-30.645</v>
      </c>
      <c r="I21" s="229">
        <f>'D&amp;A - NWC'!E7</f>
        <v>-30.678999999999998</v>
      </c>
      <c r="J21" s="229">
        <f>'D&amp;A - NWC'!F7</f>
        <v>-50.360999999999997</v>
      </c>
      <c r="K21" s="229">
        <f>'D&amp;A - NWC'!G7</f>
        <v>-56.698</v>
      </c>
      <c r="L21" s="230">
        <f>'D&amp;A - NWC'!H7</f>
        <v>-39.61</v>
      </c>
      <c r="M21" s="233">
        <f>'D&amp;A - NWC'!I7</f>
        <v>-165.55165958698271</v>
      </c>
      <c r="N21" s="233">
        <f>'D&amp;A - NWC'!J7</f>
        <v>-216.06276194727457</v>
      </c>
      <c r="O21" s="233">
        <f>'D&amp;A - NWC'!K7</f>
        <v>-261.81560686164357</v>
      </c>
      <c r="P21" s="233">
        <f>'D&amp;A - NWC'!L7</f>
        <v>-315.77279039268785</v>
      </c>
      <c r="Q21" s="233">
        <f>'D&amp;A - NWC'!M7</f>
        <v>-362.01873863643948</v>
      </c>
      <c r="R21" s="233">
        <f>'D&amp;A - NWC'!N7</f>
        <v>-470.99501524443542</v>
      </c>
      <c r="S21" s="230">
        <f>'D&amp;A - NWC'!O7</f>
        <v>-540.12346566963038</v>
      </c>
    </row>
    <row r="22" spans="3:20">
      <c r="C22" s="221" t="s">
        <v>41</v>
      </c>
      <c r="D22" s="228">
        <v>450.9</v>
      </c>
      <c r="F22" s="303"/>
      <c r="G22" s="318"/>
      <c r="H22" s="229"/>
      <c r="I22" s="229"/>
      <c r="J22" s="229"/>
      <c r="K22" s="229"/>
      <c r="L22" s="230"/>
      <c r="M22" s="233"/>
      <c r="N22" s="233"/>
      <c r="O22" s="233"/>
      <c r="P22" s="233"/>
      <c r="Q22" s="233"/>
      <c r="R22" s="233"/>
      <c r="S22" s="230"/>
    </row>
    <row r="23" spans="3:20">
      <c r="C23" s="221" t="s">
        <v>43</v>
      </c>
      <c r="D23" s="231">
        <f>D21/D22</f>
        <v>164.35784249384579</v>
      </c>
      <c r="F23" s="305" t="s">
        <v>50</v>
      </c>
      <c r="G23" s="325">
        <f>G13+G16</f>
        <v>-170.05800000000033</v>
      </c>
      <c r="H23" s="310">
        <f t="shared" ref="H23:J23" si="26">H13+H16</f>
        <v>-122.45299999999997</v>
      </c>
      <c r="I23" s="310">
        <f t="shared" si="26"/>
        <v>-54.206000000000358</v>
      </c>
      <c r="J23" s="310">
        <f t="shared" si="26"/>
        <v>-36.613999999999805</v>
      </c>
      <c r="K23" s="310">
        <f>K13+K16</f>
        <v>26.556999999999562</v>
      </c>
      <c r="L23" s="247">
        <f>L13+L16</f>
        <v>-46.649999999999636</v>
      </c>
      <c r="M23" s="310">
        <f>M13+M16</f>
        <v>383.66620195732412</v>
      </c>
      <c r="N23" s="310">
        <f t="shared" ref="N23:Q23" si="27">N13+N16</f>
        <v>1101.5503213855009</v>
      </c>
      <c r="O23" s="310">
        <f t="shared" si="27"/>
        <v>2444.2123488139623</v>
      </c>
      <c r="P23" s="310">
        <f t="shared" si="27"/>
        <v>4439.9814885252499</v>
      </c>
      <c r="Q23" s="310">
        <f t="shared" si="27"/>
        <v>7088.1663444099404</v>
      </c>
      <c r="R23" s="310">
        <f>R13+R16</f>
        <v>10392.862295255951</v>
      </c>
      <c r="S23" s="247">
        <f>S13+S16</f>
        <v>14355.726352302645</v>
      </c>
    </row>
    <row r="24" spans="3:20">
      <c r="C24" s="221"/>
      <c r="D24" s="232"/>
      <c r="F24" s="304" t="s">
        <v>45</v>
      </c>
      <c r="G24" s="326">
        <f t="shared" ref="G24" si="28">G23/G8</f>
        <v>-0.13420849518355857</v>
      </c>
      <c r="H24" s="311">
        <f t="shared" ref="H24:J24" si="29">H23/H8</f>
        <v>-7.1663542497575658E-2</v>
      </c>
      <c r="I24" s="311">
        <f t="shared" si="29"/>
        <v>-2.4480490711766164E-2</v>
      </c>
      <c r="J24" s="311">
        <f t="shared" si="29"/>
        <v>-1.1101284133628911E-2</v>
      </c>
      <c r="K24" s="311">
        <f>K23/K8</f>
        <v>5.6342420706480449E-3</v>
      </c>
      <c r="L24" s="250">
        <f>L23/L8</f>
        <v>-6.0964158955320834E-3</v>
      </c>
      <c r="M24" s="311">
        <f>M23/M8</f>
        <v>3.2267775581112601E-2</v>
      </c>
      <c r="N24" s="311">
        <f t="shared" ref="N24:Q24" si="30">N23/N8</f>
        <v>6.6437345619319743E-2</v>
      </c>
      <c r="O24" s="311">
        <f t="shared" si="30"/>
        <v>0.11402634659440432</v>
      </c>
      <c r="P24" s="311">
        <f t="shared" si="30"/>
        <v>0.16789283986478598</v>
      </c>
      <c r="Q24" s="311">
        <f t="shared" si="30"/>
        <v>0.22292882650115467</v>
      </c>
      <c r="R24" s="311">
        <f>R23/R8</f>
        <v>0.27580131041835204</v>
      </c>
      <c r="S24" s="250">
        <f>S23/S8</f>
        <v>0.32463560844874384</v>
      </c>
    </row>
    <row r="25" spans="3:20" ht="16.5" customHeight="1" thickBot="1">
      <c r="C25" s="235" t="s">
        <v>13</v>
      </c>
      <c r="D25" s="236">
        <f>D14</f>
        <v>207.78</v>
      </c>
      <c r="F25" s="304"/>
      <c r="G25" s="327"/>
      <c r="H25" s="312"/>
      <c r="I25" s="312"/>
      <c r="J25" s="312"/>
      <c r="K25" s="312"/>
      <c r="L25" s="251"/>
      <c r="M25" s="312"/>
      <c r="N25" s="312"/>
      <c r="O25" s="312"/>
      <c r="P25" s="312"/>
      <c r="Q25" s="312"/>
      <c r="R25" s="312"/>
      <c r="S25" s="251"/>
    </row>
    <row r="26" spans="3:20" ht="16" thickBot="1">
      <c r="C26" s="239" t="s">
        <v>15</v>
      </c>
      <c r="D26" s="240">
        <f>D23/D25-1</f>
        <v>-0.20898141065624321</v>
      </c>
      <c r="F26" s="303" t="s">
        <v>51</v>
      </c>
      <c r="G26" s="328">
        <f>IS!B58*-1/IS!B56</f>
        <v>2.1272004542873368E-2</v>
      </c>
      <c r="H26" s="252">
        <f>IS!C58*-1/IS!C56</f>
        <v>1.1296405421331764E-2</v>
      </c>
      <c r="I26" s="252">
        <f>IS!D58*-1/IS!D56</f>
        <v>2.3763955342902708E-3</v>
      </c>
      <c r="J26" s="252">
        <f>IS!E58*-1/IS!E56</f>
        <v>6.443213296398892E-2</v>
      </c>
      <c r="K26" s="252">
        <f>IS!F58*-1/IS!F56</f>
        <v>-7.3159833215674756E-3</v>
      </c>
      <c r="L26" s="253">
        <f>IS!G58*-1/IS!G56</f>
        <v>3.5597783876145607E-3</v>
      </c>
      <c r="M26" s="313">
        <f>$D$47</f>
        <v>0.21</v>
      </c>
      <c r="N26" s="313">
        <f t="shared" ref="N26:S26" si="31">$D$47</f>
        <v>0.21</v>
      </c>
      <c r="O26" s="313">
        <f t="shared" si="31"/>
        <v>0.21</v>
      </c>
      <c r="P26" s="313">
        <f t="shared" si="31"/>
        <v>0.21</v>
      </c>
      <c r="Q26" s="313">
        <f t="shared" si="31"/>
        <v>0.21</v>
      </c>
      <c r="R26" s="313">
        <f t="shared" si="31"/>
        <v>0.21</v>
      </c>
      <c r="S26" s="253">
        <f t="shared" si="31"/>
        <v>0.21</v>
      </c>
    </row>
    <row r="27" spans="3:20" ht="16" thickBot="1">
      <c r="F27" s="303"/>
      <c r="G27" s="328"/>
      <c r="H27" s="252"/>
      <c r="I27" s="252"/>
      <c r="J27" s="252"/>
      <c r="K27" s="252"/>
      <c r="L27" s="253"/>
      <c r="M27" s="313"/>
      <c r="N27" s="313"/>
      <c r="O27" s="313"/>
      <c r="P27" s="313"/>
      <c r="Q27" s="313"/>
      <c r="R27" s="313"/>
      <c r="S27" s="253"/>
    </row>
    <row r="28" spans="3:20" ht="17" thickBot="1">
      <c r="C28" s="660" t="s">
        <v>52</v>
      </c>
      <c r="D28" s="661"/>
      <c r="F28" s="305" t="s">
        <v>53</v>
      </c>
      <c r="G28" s="321"/>
      <c r="H28" s="308"/>
      <c r="I28" s="308"/>
      <c r="J28" s="308"/>
      <c r="K28" s="308"/>
      <c r="L28" s="241"/>
      <c r="M28" s="308"/>
      <c r="N28" s="308"/>
      <c r="O28" s="308"/>
      <c r="P28" s="308"/>
      <c r="Q28" s="308"/>
      <c r="R28" s="308"/>
      <c r="S28" s="241"/>
    </row>
    <row r="29" spans="3:20">
      <c r="C29" s="215" t="s">
        <v>34</v>
      </c>
      <c r="D29" s="216">
        <f>L8*D40</f>
        <v>290101.57917695428</v>
      </c>
      <c r="F29" s="303" t="s">
        <v>54</v>
      </c>
      <c r="G29" s="329"/>
      <c r="H29" s="254"/>
      <c r="I29" s="254"/>
      <c r="J29" s="254"/>
      <c r="K29" s="254"/>
      <c r="L29" s="255"/>
      <c r="M29" s="254">
        <f>IF(M23&gt;0,M23*(1-M26),M23)</f>
        <v>303.09629954628605</v>
      </c>
      <c r="N29" s="254">
        <f t="shared" ref="N29:S29" si="32">IF(N23&gt;0,N23*(1-N26),N23)</f>
        <v>870.22475389454576</v>
      </c>
      <c r="O29" s="254">
        <f t="shared" si="32"/>
        <v>1930.9277555630304</v>
      </c>
      <c r="P29" s="254">
        <f t="shared" si="32"/>
        <v>3507.5853759349475</v>
      </c>
      <c r="Q29" s="254">
        <f t="shared" si="32"/>
        <v>5599.6514120838528</v>
      </c>
      <c r="R29" s="254">
        <f t="shared" si="32"/>
        <v>8210.3612132522012</v>
      </c>
      <c r="S29" s="255">
        <f t="shared" si="32"/>
        <v>11341.02381831909</v>
      </c>
    </row>
    <row r="30" spans="3:20">
      <c r="C30" s="221" t="s">
        <v>35</v>
      </c>
      <c r="D30" s="222">
        <f>D51*-1</f>
        <v>-2668.3730000000005</v>
      </c>
      <c r="F30" s="303" t="s">
        <v>55</v>
      </c>
      <c r="G30" s="319"/>
      <c r="H30" s="233"/>
      <c r="I30" s="233"/>
      <c r="J30" s="233"/>
      <c r="K30" s="233"/>
      <c r="L30" s="234"/>
      <c r="M30" s="233">
        <f>M21*-1</f>
        <v>165.55165958698271</v>
      </c>
      <c r="N30" s="233">
        <f t="shared" ref="N30:Q30" si="33">N21*-1</f>
        <v>216.06276194727457</v>
      </c>
      <c r="O30" s="233">
        <f t="shared" si="33"/>
        <v>261.81560686164357</v>
      </c>
      <c r="P30" s="233">
        <f t="shared" si="33"/>
        <v>315.77279039268785</v>
      </c>
      <c r="Q30" s="233">
        <f t="shared" si="33"/>
        <v>362.01873863643948</v>
      </c>
      <c r="R30" s="233">
        <f>R21*-1</f>
        <v>470.99501524443542</v>
      </c>
      <c r="S30" s="234">
        <f>S21*-1</f>
        <v>540.12346566963038</v>
      </c>
      <c r="T30" s="256"/>
    </row>
    <row r="31" spans="3:20">
      <c r="C31" s="221" t="s">
        <v>37</v>
      </c>
      <c r="D31" s="225">
        <f>BS!G18</f>
        <v>2118.808</v>
      </c>
      <c r="F31" s="303" t="s">
        <v>56</v>
      </c>
      <c r="G31" s="319"/>
      <c r="H31" s="233"/>
      <c r="I31" s="233"/>
      <c r="J31" s="233"/>
      <c r="K31" s="233"/>
      <c r="L31" s="234"/>
      <c r="M31" s="233">
        <f>'D&amp;A - NWC'!I42</f>
        <v>301.34211516745108</v>
      </c>
      <c r="N31" s="233">
        <f>'D&amp;A - NWC'!J42</f>
        <v>-188.8932779354418</v>
      </c>
      <c r="O31" s="233">
        <f>'D&amp;A - NWC'!K42</f>
        <v>-126.05190064240469</v>
      </c>
      <c r="P31" s="233">
        <f>'D&amp;A - NWC'!L42</f>
        <v>-121.00416040989603</v>
      </c>
      <c r="Q31" s="233">
        <f>'D&amp;A - NWC'!M42</f>
        <v>-87.414285220449528</v>
      </c>
      <c r="R31" s="233">
        <f>'D&amp;A - NWC'!N42</f>
        <v>270.90819269820349</v>
      </c>
      <c r="S31" s="234">
        <f>'D&amp;A - NWC'!O42</f>
        <v>-189.36734706042625</v>
      </c>
    </row>
    <row r="32" spans="3:20" s="257" customFormat="1">
      <c r="C32" s="221" t="s">
        <v>40</v>
      </c>
      <c r="D32" s="222">
        <f>D29+D30+D31</f>
        <v>289552.01417695428</v>
      </c>
      <c r="E32" s="211"/>
      <c r="F32" s="303" t="s">
        <v>57</v>
      </c>
      <c r="G32" s="319">
        <f>'D&amp;A - NWC'!C9</f>
        <v>-37.4</v>
      </c>
      <c r="H32" s="233">
        <f>'D&amp;A - NWC'!D9</f>
        <v>-25.4</v>
      </c>
      <c r="I32" s="259">
        <f>'D&amp;A - NWC'!E9</f>
        <v>-26.1</v>
      </c>
      <c r="J32" s="259">
        <f>'D&amp;A - NWC'!F9</f>
        <v>-61.2</v>
      </c>
      <c r="K32" s="259">
        <f>'D&amp;A - NWC'!G9</f>
        <v>-62.5</v>
      </c>
      <c r="L32" s="258">
        <f>'D&amp;A - NWC'!H9</f>
        <v>-103</v>
      </c>
      <c r="M32" s="233">
        <f>'D&amp;A - NWC'!I9</f>
        <v>-201.02932216014455</v>
      </c>
      <c r="N32" s="233">
        <f>'D&amp;A - NWC'!J9</f>
        <v>-241.85841386928416</v>
      </c>
      <c r="O32" s="233">
        <f>'D&amp;A - NWC'!K9</f>
        <v>-310.94255258829588</v>
      </c>
      <c r="P32" s="233">
        <f>'D&amp;A - NWC'!L9</f>
        <v>-394.68159678490099</v>
      </c>
      <c r="Q32" s="233">
        <f>'D&amp;A - NWC'!M9</f>
        <v>-455.46551871907923</v>
      </c>
      <c r="R32" s="233">
        <f>'D&amp;A - NWC'!N9</f>
        <v>-546.25467894735368</v>
      </c>
      <c r="S32" s="258">
        <f>'D&amp;A - NWC'!O9</f>
        <v>-648.89439889455093</v>
      </c>
      <c r="T32" s="415"/>
    </row>
    <row r="33" spans="3:32" s="257" customFormat="1">
      <c r="C33" s="221" t="s">
        <v>41</v>
      </c>
      <c r="D33" s="228">
        <f>D11</f>
        <v>450.9</v>
      </c>
      <c r="E33" s="211"/>
      <c r="F33" s="306"/>
      <c r="G33" s="321"/>
      <c r="H33" s="308"/>
      <c r="I33" s="308"/>
      <c r="J33" s="308"/>
      <c r="K33" s="308"/>
      <c r="L33" s="241"/>
      <c r="M33" s="330"/>
      <c r="N33" s="330"/>
      <c r="O33" s="330"/>
      <c r="P33" s="330"/>
      <c r="Q33" s="330"/>
      <c r="R33" s="330"/>
      <c r="S33" s="260"/>
      <c r="T33" s="415"/>
      <c r="U33" s="415"/>
      <c r="V33" s="415"/>
      <c r="W33" s="415"/>
      <c r="X33" s="415"/>
      <c r="Y33" s="415"/>
      <c r="Z33" s="415"/>
      <c r="AA33" s="415"/>
      <c r="AB33" s="415"/>
      <c r="AC33" s="415"/>
      <c r="AD33" s="415"/>
      <c r="AE33" s="415"/>
      <c r="AF33" s="415"/>
    </row>
    <row r="34" spans="3:32" s="257" customFormat="1" ht="16" thickBot="1">
      <c r="C34" s="221" t="s">
        <v>43</v>
      </c>
      <c r="D34" s="231">
        <f>D32/D33</f>
        <v>642.16459121081016</v>
      </c>
      <c r="E34" s="211"/>
      <c r="F34" s="261" t="s">
        <v>58</v>
      </c>
      <c r="G34" s="331"/>
      <c r="H34" s="262"/>
      <c r="I34" s="262"/>
      <c r="J34" s="262"/>
      <c r="K34" s="262"/>
      <c r="L34" s="263"/>
      <c r="M34" s="314">
        <f>SUM(M29:M32)</f>
        <v>568.96075214057532</v>
      </c>
      <c r="N34" s="314">
        <f t="shared" ref="N34:P34" si="34">SUM(N29:N32)</f>
        <v>655.53582403709436</v>
      </c>
      <c r="O34" s="314">
        <f t="shared" si="34"/>
        <v>1755.7489091939735</v>
      </c>
      <c r="P34" s="314">
        <f t="shared" si="34"/>
        <v>3307.6724091328383</v>
      </c>
      <c r="Q34" s="314">
        <f t="shared" ref="Q34" si="35">SUM(Q29:Q32)</f>
        <v>5418.7903467807637</v>
      </c>
      <c r="R34" s="314">
        <f>SUM(R29:R32)</f>
        <v>8406.0097422474864</v>
      </c>
      <c r="S34" s="315">
        <f>SUM(S29:S32)</f>
        <v>11042.885538033745</v>
      </c>
      <c r="T34" s="415"/>
      <c r="U34" s="415"/>
      <c r="V34" s="415"/>
      <c r="W34" s="415"/>
      <c r="X34" s="415"/>
      <c r="Y34" s="415"/>
      <c r="Z34" s="415"/>
      <c r="AA34" s="415"/>
      <c r="AB34" s="415"/>
      <c r="AC34" s="415"/>
      <c r="AD34" s="415"/>
      <c r="AE34" s="415"/>
      <c r="AF34" s="415"/>
    </row>
    <row r="35" spans="3:32">
      <c r="C35" s="221"/>
      <c r="D35" s="232"/>
    </row>
    <row r="36" spans="3:32" ht="16" thickBot="1">
      <c r="C36" s="235" t="s">
        <v>13</v>
      </c>
      <c r="D36" s="236">
        <f>D25</f>
        <v>207.78</v>
      </c>
      <c r="F36" s="264" t="s">
        <v>59</v>
      </c>
      <c r="G36" s="265"/>
      <c r="H36" s="265"/>
      <c r="I36" s="265"/>
      <c r="J36" s="265"/>
      <c r="K36" s="265"/>
      <c r="L36" s="265"/>
      <c r="M36" s="266">
        <f>M34/((1+$D$58)^M6)</f>
        <v>502.42709809353556</v>
      </c>
      <c r="N36" s="266">
        <f t="shared" ref="N36:S36" si="36">N34/((1+$D$58)^N6)</f>
        <v>511.184788144744</v>
      </c>
      <c r="O36" s="266">
        <f t="shared" si="36"/>
        <v>1209.0232270304402</v>
      </c>
      <c r="P36" s="266">
        <f t="shared" si="36"/>
        <v>2011.33992023105</v>
      </c>
      <c r="Q36" s="266">
        <f t="shared" si="36"/>
        <v>2909.7526804104082</v>
      </c>
      <c r="R36" s="266">
        <f t="shared" si="36"/>
        <v>3985.9730971077101</v>
      </c>
      <c r="S36" s="267">
        <f t="shared" si="36"/>
        <v>4623.9996279917086</v>
      </c>
    </row>
    <row r="37" spans="3:32" ht="15" customHeight="1" thickBot="1">
      <c r="C37" s="239" t="s">
        <v>15</v>
      </c>
      <c r="D37" s="240">
        <f>D34/D36-1</f>
        <v>2.0905986678737616</v>
      </c>
      <c r="F37" s="352" t="s">
        <v>60</v>
      </c>
      <c r="G37" s="353"/>
      <c r="H37" s="353"/>
      <c r="I37" s="353"/>
      <c r="J37" s="353"/>
      <c r="K37" s="353"/>
      <c r="L37" s="353"/>
      <c r="M37" s="353"/>
      <c r="N37" s="353"/>
      <c r="O37" s="353"/>
      <c r="P37" s="353"/>
      <c r="Q37" s="353"/>
      <c r="R37" s="292"/>
      <c r="S37" s="354">
        <f>S19*$D$40</f>
        <v>564726.69373873959</v>
      </c>
    </row>
    <row r="38" spans="3:32" ht="16" thickBot="1">
      <c r="F38" s="268" t="s">
        <v>61</v>
      </c>
      <c r="G38" s="269"/>
      <c r="H38" s="269"/>
      <c r="I38" s="269"/>
      <c r="J38" s="269"/>
      <c r="K38" s="269"/>
      <c r="L38" s="269"/>
      <c r="M38" s="269"/>
      <c r="N38" s="269"/>
      <c r="O38" s="269"/>
      <c r="P38" s="269"/>
      <c r="Q38" s="269"/>
      <c r="R38" s="179"/>
      <c r="S38" s="270">
        <f>S37/((1+$D$58)^$S$6)</f>
        <v>236468.63066461496</v>
      </c>
    </row>
    <row r="39" spans="3:32" ht="15" customHeight="1" thickBot="1">
      <c r="C39" s="660" t="s">
        <v>62</v>
      </c>
      <c r="D39" s="661"/>
      <c r="F39" s="352" t="s">
        <v>63</v>
      </c>
      <c r="G39" s="353"/>
      <c r="H39" s="353"/>
      <c r="I39" s="353"/>
      <c r="J39" s="353"/>
      <c r="K39" s="353"/>
      <c r="L39" s="353"/>
      <c r="M39" s="353"/>
      <c r="N39" s="353"/>
      <c r="O39" s="353"/>
      <c r="P39" s="353"/>
      <c r="Q39" s="353"/>
      <c r="R39" s="292"/>
      <c r="S39" s="354">
        <f>(S34*(1+$D$43))/($D$58-$D$43)</f>
        <v>140674.56535555283</v>
      </c>
    </row>
    <row r="40" spans="3:32">
      <c r="C40" s="221" t="s">
        <v>64</v>
      </c>
      <c r="D40" s="448">
        <f>Comps!L19</f>
        <v>37.911680141765423</v>
      </c>
      <c r="F40" s="268" t="s">
        <v>61</v>
      </c>
      <c r="G40" s="269"/>
      <c r="H40" s="269"/>
      <c r="I40" s="269"/>
      <c r="J40" s="269"/>
      <c r="K40" s="269"/>
      <c r="L40" s="269"/>
      <c r="M40" s="269"/>
      <c r="N40" s="269"/>
      <c r="O40" s="269"/>
      <c r="P40" s="269"/>
      <c r="Q40" s="269"/>
      <c r="R40" s="179"/>
      <c r="S40" s="270">
        <f>S39/((1+$D$58)^$S$6)</f>
        <v>58904.815741465471</v>
      </c>
    </row>
    <row r="41" spans="3:32">
      <c r="C41" s="271" t="s">
        <v>65</v>
      </c>
      <c r="D41" s="272">
        <f>(S37*D58-R34)/(S37+R34)</f>
        <v>0.11581547573156359</v>
      </c>
    </row>
    <row r="42" spans="3:32">
      <c r="C42" s="271" t="s">
        <v>66</v>
      </c>
      <c r="D42" s="272">
        <f>S38/D7</f>
        <v>0.93754042169827845</v>
      </c>
      <c r="F42" s="74" t="s">
        <v>67</v>
      </c>
      <c r="G42" s="274">
        <v>2017</v>
      </c>
      <c r="H42" s="274">
        <v>2018</v>
      </c>
      <c r="I42" s="275">
        <v>2019</v>
      </c>
      <c r="J42" s="275">
        <v>2019</v>
      </c>
      <c r="K42" s="275">
        <v>2019</v>
      </c>
      <c r="L42" s="275">
        <v>2020</v>
      </c>
      <c r="M42" s="276">
        <v>2020</v>
      </c>
      <c r="N42" s="276">
        <v>2021</v>
      </c>
      <c r="O42" s="276">
        <v>2022</v>
      </c>
      <c r="P42" s="276">
        <v>2023</v>
      </c>
      <c r="Q42" s="276">
        <v>2023</v>
      </c>
      <c r="R42" s="276">
        <v>2025</v>
      </c>
      <c r="S42" s="277">
        <v>2026</v>
      </c>
    </row>
    <row r="43" spans="3:32">
      <c r="C43" s="221" t="s">
        <v>68</v>
      </c>
      <c r="D43" s="273">
        <v>0.05</v>
      </c>
      <c r="F43" s="56" t="s">
        <v>69</v>
      </c>
      <c r="G43" s="333">
        <f t="shared" ref="G43:Q43" si="37">G11/G8*-1</f>
        <v>0.70352484930369574</v>
      </c>
      <c r="H43" s="334">
        <f t="shared" si="37"/>
        <v>0.6581852742489851</v>
      </c>
      <c r="I43" s="334">
        <f t="shared" si="37"/>
        <v>0.61799758202879262</v>
      </c>
      <c r="J43" s="334">
        <f t="shared" si="37"/>
        <v>0.60257135987547061</v>
      </c>
      <c r="K43" s="334">
        <f>K11/K8*-1</f>
        <v>0.59761642091863798</v>
      </c>
      <c r="L43" s="336">
        <f>L11/L8*-1</f>
        <v>0.67768608541751696</v>
      </c>
      <c r="M43" s="335">
        <f>M11/M8*-1</f>
        <v>0.69878871459022185</v>
      </c>
      <c r="N43" s="335">
        <f t="shared" si="37"/>
        <v>0.68128079054341717</v>
      </c>
      <c r="O43" s="335">
        <f t="shared" si="37"/>
        <v>0.64991435079511328</v>
      </c>
      <c r="P43" s="335">
        <f t="shared" si="37"/>
        <v>0.61183775961759257</v>
      </c>
      <c r="Q43" s="335">
        <f t="shared" si="37"/>
        <v>0.57216531680133864</v>
      </c>
      <c r="R43" s="335">
        <f>R11/R8*-1</f>
        <v>0.53423619753691187</v>
      </c>
      <c r="S43" s="336">
        <f>S11/S8*-1</f>
        <v>0.49993114526839866</v>
      </c>
    </row>
    <row r="44" spans="3:32">
      <c r="C44" s="271" t="s">
        <v>70</v>
      </c>
      <c r="D44" s="278">
        <f>S39/S19</f>
        <v>9.4438764538176851</v>
      </c>
      <c r="F44" s="66" t="s">
        <v>71</v>
      </c>
      <c r="G44" s="337">
        <f t="shared" ref="G44:Q44" si="38">G16/G8*-1</f>
        <v>0.43068364587986291</v>
      </c>
      <c r="H44" s="279">
        <f t="shared" si="38"/>
        <v>0.41347826824859063</v>
      </c>
      <c r="I44" s="279">
        <f t="shared" si="38"/>
        <v>0.40648290868297354</v>
      </c>
      <c r="J44" s="279">
        <f t="shared" si="38"/>
        <v>0.40852992425815837</v>
      </c>
      <c r="K44" s="279">
        <f>K16/K8*-1</f>
        <v>0.39674933701071396</v>
      </c>
      <c r="L44" s="280">
        <f>L16/L8*-1</f>
        <v>0.32841033047801516</v>
      </c>
      <c r="M44" s="281">
        <f>M16/M8*-1</f>
        <v>0.26894350982866549</v>
      </c>
      <c r="N44" s="281">
        <f t="shared" si="38"/>
        <v>0.25228186383726314</v>
      </c>
      <c r="O44" s="281">
        <f t="shared" si="38"/>
        <v>0.23605930261048236</v>
      </c>
      <c r="P44" s="281">
        <f t="shared" si="38"/>
        <v>0.22026940051762148</v>
      </c>
      <c r="Q44" s="281">
        <f t="shared" si="38"/>
        <v>0.20490585669750674</v>
      </c>
      <c r="R44" s="281">
        <f>R16/R8*-1</f>
        <v>0.18996249204473611</v>
      </c>
      <c r="S44" s="280">
        <f>S16/S8*-1</f>
        <v>0.17543324628285747</v>
      </c>
    </row>
    <row r="45" spans="3:32">
      <c r="C45" s="271" t="s">
        <v>66</v>
      </c>
      <c r="D45" s="272">
        <f>S40/$D$7</f>
        <v>0.23354322150509607</v>
      </c>
      <c r="F45" s="332" t="s">
        <v>72</v>
      </c>
      <c r="G45" s="338">
        <f t="shared" ref="G45:Q45" si="39">G32/G8*-1</f>
        <v>2.9515798844306534E-2</v>
      </c>
      <c r="H45" s="283">
        <f t="shared" si="39"/>
        <v>1.4864919433892367E-2</v>
      </c>
      <c r="I45" s="283">
        <f t="shared" si="39"/>
        <v>1.1787270921615554E-2</v>
      </c>
      <c r="J45" s="283">
        <f t="shared" si="39"/>
        <v>1.8555705166823977E-2</v>
      </c>
      <c r="K45" s="283">
        <f>K32/K8*-1</f>
        <v>1.3259785721862734E-2</v>
      </c>
      <c r="L45" s="284">
        <f>L32/L8*-1</f>
        <v>1.3460468108034501E-2</v>
      </c>
      <c r="M45" s="285">
        <f>M32/M8*-1</f>
        <v>1.6907324699422611E-2</v>
      </c>
      <c r="N45" s="285">
        <f t="shared" si="39"/>
        <v>1.458710575560784E-2</v>
      </c>
      <c r="O45" s="285">
        <f t="shared" si="39"/>
        <v>1.450595865354597E-2</v>
      </c>
      <c r="P45" s="285">
        <f t="shared" si="39"/>
        <v>1.4924434774748403E-2</v>
      </c>
      <c r="Q45" s="285">
        <f t="shared" si="39"/>
        <v>1.4324775783494469E-2</v>
      </c>
      <c r="R45" s="285">
        <f>R32/R8*-1</f>
        <v>1.4496271767654167E-2</v>
      </c>
      <c r="S45" s="284">
        <f>S32/S8*-1</f>
        <v>1.4673881546253192E-2</v>
      </c>
    </row>
    <row r="46" spans="3:32">
      <c r="C46" s="221" t="s">
        <v>73</v>
      </c>
      <c r="D46" s="448">
        <f>Comps!K19</f>
        <v>21.435448577698736</v>
      </c>
    </row>
    <row r="47" spans="3:32" ht="16" thickBot="1">
      <c r="C47" s="235" t="s">
        <v>74</v>
      </c>
      <c r="D47" s="282">
        <v>0.21</v>
      </c>
      <c r="F47" s="74" t="s">
        <v>75</v>
      </c>
      <c r="G47" s="274"/>
      <c r="H47" s="274"/>
      <c r="I47" s="274"/>
      <c r="J47" s="274"/>
      <c r="K47" s="274"/>
      <c r="L47" s="274"/>
      <c r="M47" s="274"/>
      <c r="N47" s="274"/>
      <c r="O47" s="274"/>
      <c r="P47" s="274"/>
      <c r="Q47" s="275"/>
    </row>
    <row r="48" spans="3:32" ht="16" thickBot="1">
      <c r="F48" s="289"/>
      <c r="G48" s="290"/>
      <c r="H48" s="291"/>
      <c r="I48" s="292"/>
      <c r="J48" s="292"/>
      <c r="K48" s="292"/>
      <c r="L48" s="292"/>
      <c r="M48" s="292"/>
      <c r="N48" s="292"/>
      <c r="O48" s="292"/>
      <c r="P48" s="292"/>
      <c r="Q48" s="293"/>
    </row>
    <row r="49" spans="3:17">
      <c r="C49" s="662" t="s">
        <v>76</v>
      </c>
      <c r="D49" s="663"/>
      <c r="F49" s="101"/>
      <c r="H49" s="651" t="s">
        <v>77</v>
      </c>
      <c r="I49" s="651"/>
      <c r="J49" s="651"/>
      <c r="K49" s="651"/>
      <c r="L49" s="651"/>
      <c r="M49" s="651"/>
      <c r="N49" s="651"/>
      <c r="Q49" s="146"/>
    </row>
    <row r="50" spans="3:17">
      <c r="C50" s="286" t="s">
        <v>78</v>
      </c>
      <c r="D50" s="287">
        <f>D51/(D51+D53)</f>
        <v>2.769274996075766E-2</v>
      </c>
      <c r="F50" s="101"/>
      <c r="G50" s="294">
        <f>D15</f>
        <v>1.6862859782581823</v>
      </c>
      <c r="H50" s="295">
        <f t="shared" ref="H50:I50" si="40">I50-1</f>
        <v>35</v>
      </c>
      <c r="I50" s="295">
        <f t="shared" si="40"/>
        <v>36</v>
      </c>
      <c r="J50" s="295">
        <f>K50-1</f>
        <v>37</v>
      </c>
      <c r="K50" s="295">
        <v>38</v>
      </c>
      <c r="L50" s="295">
        <f>K50+1</f>
        <v>39</v>
      </c>
      <c r="M50" s="295">
        <f t="shared" ref="M50:N50" si="41">L50+1</f>
        <v>40</v>
      </c>
      <c r="N50" s="295">
        <f t="shared" si="41"/>
        <v>41</v>
      </c>
      <c r="Q50" s="146"/>
    </row>
    <row r="51" spans="3:17">
      <c r="C51" s="286" t="s">
        <v>79</v>
      </c>
      <c r="D51" s="288">
        <f>BS!G48+BS!G49+BS!G54+BS!G55</f>
        <v>2668.3730000000005</v>
      </c>
      <c r="E51" s="414"/>
      <c r="F51" s="652" t="s">
        <v>80</v>
      </c>
      <c r="G51" s="296">
        <f>G52-0.005</f>
        <v>0.11749999999999999</v>
      </c>
      <c r="H51" s="297">
        <f t="dataTable" ref="H51:N57" dt2D="1" dtr="1" r1="D40" r2="D58" ca="1"/>
        <v>1.7315723755058499</v>
      </c>
      <c r="I51" s="297">
        <v>1.804627146747499</v>
      </c>
      <c r="J51" s="297">
        <v>1.8776819179891486</v>
      </c>
      <c r="K51" s="297">
        <v>1.9507366892307982</v>
      </c>
      <c r="L51" s="297">
        <v>2.0237914604724478</v>
      </c>
      <c r="M51" s="297">
        <v>2.096846231714097</v>
      </c>
      <c r="N51" s="297">
        <v>2.1699010029557466</v>
      </c>
      <c r="Q51" s="146"/>
    </row>
    <row r="52" spans="3:17">
      <c r="C52" s="286" t="s">
        <v>81</v>
      </c>
      <c r="D52" s="287">
        <f>'Cap Structure'!E19</f>
        <v>8.7171569032471301E-3</v>
      </c>
      <c r="E52" s="414"/>
      <c r="F52" s="652"/>
      <c r="G52" s="296">
        <f>G53-0.005</f>
        <v>0.1225</v>
      </c>
      <c r="H52" s="297">
        <v>1.6486343223143343</v>
      </c>
      <c r="I52" s="297">
        <v>1.7194414308638617</v>
      </c>
      <c r="J52" s="297">
        <v>1.7902485394133896</v>
      </c>
      <c r="K52" s="297">
        <v>1.861055647962917</v>
      </c>
      <c r="L52" s="297">
        <v>1.9318627565124453</v>
      </c>
      <c r="M52" s="297">
        <v>2.0026698650619732</v>
      </c>
      <c r="N52" s="297">
        <v>2.0734769736115006</v>
      </c>
      <c r="Q52" s="146"/>
    </row>
    <row r="53" spans="3:17">
      <c r="C53" s="286" t="s">
        <v>82</v>
      </c>
      <c r="D53" s="288">
        <f>D11*D14</f>
        <v>93688.001999999993</v>
      </c>
      <c r="F53" s="652"/>
      <c r="G53" s="296">
        <f>G54-0.005</f>
        <v>0.1275</v>
      </c>
      <c r="H53" s="297">
        <v>1.5685781656735283</v>
      </c>
      <c r="I53" s="297">
        <v>1.6372162974141711</v>
      </c>
      <c r="J53" s="297">
        <v>1.7058544291548139</v>
      </c>
      <c r="K53" s="297">
        <v>1.7744925608954567</v>
      </c>
      <c r="L53" s="297">
        <v>1.8431306926361</v>
      </c>
      <c r="M53" s="297">
        <v>1.9117688243767423</v>
      </c>
      <c r="N53" s="297">
        <v>1.9804069561173852</v>
      </c>
      <c r="Q53" s="146"/>
    </row>
    <row r="54" spans="3:17">
      <c r="C54" s="286" t="s">
        <v>83</v>
      </c>
      <c r="D54" s="485">
        <f>2.68*(2/3)+(1/3)</f>
        <v>2.12</v>
      </c>
      <c r="F54" s="652"/>
      <c r="G54" s="296">
        <v>0.13250000000000001</v>
      </c>
      <c r="H54" s="297">
        <v>1.4912914147517009</v>
      </c>
      <c r="I54" s="297">
        <v>1.5578361701445451</v>
      </c>
      <c r="J54" s="297">
        <v>1.6243809255373889</v>
      </c>
      <c r="K54" s="298">
        <v>1.690925680930234</v>
      </c>
      <c r="L54" s="297">
        <v>1.7574704363230782</v>
      </c>
      <c r="M54" s="297">
        <v>1.824015191715922</v>
      </c>
      <c r="N54" s="297">
        <v>1.8905599471087671</v>
      </c>
      <c r="Q54" s="146"/>
    </row>
    <row r="55" spans="3:17">
      <c r="C55" s="286" t="s">
        <v>84</v>
      </c>
      <c r="D55" s="273">
        <v>0.06</v>
      </c>
      <c r="F55" s="652"/>
      <c r="G55" s="296">
        <f t="shared" ref="G55:G57" si="42">G54+0.005</f>
        <v>0.13750000000000001</v>
      </c>
      <c r="H55" s="297">
        <v>1.4166664434145555</v>
      </c>
      <c r="I55" s="297">
        <v>1.4811904713421686</v>
      </c>
      <c r="J55" s="297">
        <v>1.5457144992697822</v>
      </c>
      <c r="K55" s="297">
        <v>1.6102385271973962</v>
      </c>
      <c r="L55" s="297">
        <v>1.6747625551250094</v>
      </c>
      <c r="M55" s="297">
        <v>1.739286583052623</v>
      </c>
      <c r="N55" s="297">
        <v>1.8038106109802361</v>
      </c>
      <c r="Q55" s="146"/>
    </row>
    <row r="56" spans="3:17">
      <c r="C56" s="286" t="s">
        <v>85</v>
      </c>
      <c r="D56" s="273">
        <v>8.8000000000000005E-3</v>
      </c>
      <c r="F56" s="652"/>
      <c r="G56" s="296">
        <f t="shared" si="42"/>
        <v>0.14250000000000002</v>
      </c>
      <c r="H56" s="297">
        <v>1.3446002596183653</v>
      </c>
      <c r="I56" s="297">
        <v>1.4071733848694152</v>
      </c>
      <c r="J56" s="297">
        <v>1.4697465101204661</v>
      </c>
      <c r="K56" s="297">
        <v>1.5323196353715161</v>
      </c>
      <c r="L56" s="297">
        <v>1.5948927606225665</v>
      </c>
      <c r="M56" s="297">
        <v>1.6574658858736169</v>
      </c>
      <c r="N56" s="297">
        <v>1.7200390111246677</v>
      </c>
      <c r="Q56" s="146"/>
    </row>
    <row r="57" spans="3:17">
      <c r="C57" s="286" t="s">
        <v>86</v>
      </c>
      <c r="D57" s="287">
        <f>D56+(D55*D54)</f>
        <v>0.13600000000000001</v>
      </c>
      <c r="F57" s="652"/>
      <c r="G57" s="296">
        <f t="shared" si="42"/>
        <v>0.14750000000000002</v>
      </c>
      <c r="H57" s="297">
        <v>1.2749942866836821</v>
      </c>
      <c r="I57" s="297">
        <v>1.3356836314067126</v>
      </c>
      <c r="J57" s="297">
        <v>1.3963729761297432</v>
      </c>
      <c r="K57" s="297">
        <v>1.4570623208527742</v>
      </c>
      <c r="L57" s="297">
        <v>1.5177516655758052</v>
      </c>
      <c r="M57" s="297">
        <v>1.5784410102988358</v>
      </c>
      <c r="N57" s="297">
        <v>1.6391303550218668</v>
      </c>
      <c r="Q57" s="146"/>
    </row>
    <row r="58" spans="3:17" ht="16" thickBot="1">
      <c r="C58" s="299" t="s">
        <v>80</v>
      </c>
      <c r="D58" s="300">
        <f>D50*D52*(1-D47)+(1-D50)*D57</f>
        <v>0.13242449362206432</v>
      </c>
      <c r="F58" s="101"/>
      <c r="Q58" s="146"/>
    </row>
    <row r="59" spans="3:17">
      <c r="F59" s="101"/>
      <c r="Q59" s="146"/>
    </row>
    <row r="60" spans="3:17">
      <c r="F60" s="105"/>
      <c r="G60" s="179"/>
      <c r="H60" s="179"/>
      <c r="I60" s="179"/>
      <c r="J60" s="179"/>
      <c r="K60" s="179"/>
      <c r="L60" s="179"/>
      <c r="M60" s="179"/>
      <c r="N60" s="179"/>
      <c r="O60" s="179"/>
      <c r="P60" s="179"/>
      <c r="Q60" s="301"/>
    </row>
    <row r="61" spans="3:17">
      <c r="F61" s="289"/>
      <c r="G61" s="290"/>
      <c r="H61" s="291"/>
      <c r="I61" s="292"/>
      <c r="J61" s="292"/>
      <c r="K61" s="292"/>
      <c r="L61" s="292"/>
      <c r="M61" s="292"/>
      <c r="N61" s="292"/>
      <c r="O61" s="292"/>
      <c r="P61" s="292"/>
      <c r="Q61" s="293"/>
    </row>
    <row r="62" spans="3:17">
      <c r="F62" s="101"/>
      <c r="H62" s="651" t="s">
        <v>87</v>
      </c>
      <c r="I62" s="651"/>
      <c r="J62" s="651"/>
      <c r="K62" s="651"/>
      <c r="L62" s="651"/>
      <c r="M62" s="651"/>
      <c r="N62" s="651"/>
      <c r="Q62" s="146"/>
    </row>
    <row r="63" spans="3:17">
      <c r="F63" s="101"/>
      <c r="G63" s="294">
        <f>D26</f>
        <v>-0.20898141065624321</v>
      </c>
      <c r="H63" s="302">
        <f t="shared" ref="H63:I63" si="43">I63-0.25%</f>
        <v>4.2499999999999996E-2</v>
      </c>
      <c r="I63" s="302">
        <f t="shared" si="43"/>
        <v>4.4999999999999998E-2</v>
      </c>
      <c r="J63" s="302">
        <f>K63-0.25%</f>
        <v>4.7500000000000001E-2</v>
      </c>
      <c r="K63" s="302">
        <v>0.05</v>
      </c>
      <c r="L63" s="302">
        <f>K63+0.25%</f>
        <v>5.2500000000000005E-2</v>
      </c>
      <c r="M63" s="302">
        <f t="shared" ref="M63:N63" si="44">L63+0.25%</f>
        <v>5.5000000000000007E-2</v>
      </c>
      <c r="N63" s="302">
        <f t="shared" si="44"/>
        <v>5.7500000000000009E-2</v>
      </c>
      <c r="Q63" s="146"/>
    </row>
    <row r="64" spans="3:17">
      <c r="F64" s="652" t="s">
        <v>80</v>
      </c>
      <c r="G64" s="296">
        <f>G65-0.005</f>
        <v>0.11749999999999999</v>
      </c>
      <c r="H64" s="297">
        <f t="dataTable" ref="H64:N70" dt2D="1" dtr="1" r1="D43" r2="D58"/>
        <v>-7.2542779523679046E-2</v>
      </c>
      <c r="I64" s="297">
        <v>-4.4716564210902199E-2</v>
      </c>
      <c r="J64" s="297">
        <v>-1.4902762090070132E-2</v>
      </c>
      <c r="K64" s="297">
        <v>1.7119469817490129E-2</v>
      </c>
      <c r="L64" s="297">
        <v>5.1604950333324906E-2</v>
      </c>
      <c r="M64" s="297">
        <v>8.8849269290425692E-2</v>
      </c>
      <c r="N64" s="297">
        <v>0.12919728149395193</v>
      </c>
      <c r="Q64" s="146"/>
    </row>
    <row r="65" spans="6:17">
      <c r="F65" s="652"/>
      <c r="G65" s="296">
        <f>G66-0.005</f>
        <v>0.1225</v>
      </c>
      <c r="H65" s="297">
        <v>-0.14557648669046852</v>
      </c>
      <c r="I65" s="297">
        <v>-0.12181745074920813</v>
      </c>
      <c r="J65" s="297">
        <v>-9.647447907853024E-2</v>
      </c>
      <c r="K65" s="297">
        <v>-6.9383716258150763E-2</v>
      </c>
      <c r="L65" s="297">
        <v>-4.0357898950601157E-2</v>
      </c>
      <c r="M65" s="297">
        <v>-9.1820211017514808E-3</v>
      </c>
      <c r="N65" s="297">
        <v>2.4392001197009572E-2</v>
      </c>
      <c r="Q65" s="146"/>
    </row>
    <row r="66" spans="6:17">
      <c r="F66" s="652"/>
      <c r="G66" s="296">
        <f>G67-0.005</f>
        <v>0.1275</v>
      </c>
      <c r="H66" s="297">
        <v>-0.20967700197132177</v>
      </c>
      <c r="I66" s="297">
        <v>-0.18922355898620291</v>
      </c>
      <c r="J66" s="297">
        <v>-0.16749177581451424</v>
      </c>
      <c r="K66" s="297">
        <v>-0.14435794211561959</v>
      </c>
      <c r="L66" s="297">
        <v>-0.119681852836799</v>
      </c>
      <c r="M66" s="297">
        <v>-9.3303964297369979E-2</v>
      </c>
      <c r="N66" s="297">
        <v>-6.5041940862267222E-2</v>
      </c>
      <c r="Q66" s="146"/>
    </row>
    <row r="67" spans="6:17">
      <c r="F67" s="652"/>
      <c r="G67" s="296">
        <v>0.13250000000000001</v>
      </c>
      <c r="H67" s="297">
        <v>-0.26634287172285087</v>
      </c>
      <c r="I67" s="297">
        <v>-0.24860674531102656</v>
      </c>
      <c r="J67" s="297">
        <v>-0.2298273173455655</v>
      </c>
      <c r="K67" s="298">
        <v>-0.20990974223068237</v>
      </c>
      <c r="L67" s="297">
        <v>-0.18874731867111927</v>
      </c>
      <c r="M67" s="297">
        <v>-0.16621957746255211</v>
      </c>
      <c r="N67" s="297">
        <v>-0.14218998684008033</v>
      </c>
      <c r="Q67" s="146"/>
    </row>
    <row r="68" spans="6:17">
      <c r="F68" s="652"/>
      <c r="G68" s="296">
        <f>G67+0.005</f>
        <v>0.13750000000000001</v>
      </c>
      <c r="H68" s="297">
        <v>-0.31675683743017358</v>
      </c>
      <c r="I68" s="297">
        <v>-0.30127705572281127</v>
      </c>
      <c r="J68" s="297">
        <v>-0.28493728614281788</v>
      </c>
      <c r="K68" s="297">
        <v>-0.26766381544396745</v>
      </c>
      <c r="L68" s="297">
        <v>-0.24937425823342019</v>
      </c>
      <c r="M68" s="297">
        <v>-0.22997624301011232</v>
      </c>
      <c r="N68" s="297">
        <v>-0.20936585183534773</v>
      </c>
      <c r="Q68" s="146"/>
    </row>
    <row r="69" spans="6:17">
      <c r="F69" s="652"/>
      <c r="G69" s="296">
        <f t="shared" ref="G69:G70" si="45">G68+0.005</f>
        <v>0.14250000000000002</v>
      </c>
      <c r="H69" s="297">
        <v>-0.36186479906906388</v>
      </c>
      <c r="I69" s="297">
        <v>-0.3482755100959104</v>
      </c>
      <c r="J69" s="297">
        <v>-0.33397099538732766</v>
      </c>
      <c r="K69" s="297">
        <v>-0.31889326366747017</v>
      </c>
      <c r="L69" s="297">
        <v>-0.30297788018539851</v>
      </c>
      <c r="M69" s="297">
        <v>-0.28615304621863702</v>
      </c>
      <c r="N69" s="297">
        <v>-0.26833851613618365</v>
      </c>
      <c r="Q69" s="146"/>
    </row>
    <row r="70" spans="6:17">
      <c r="F70" s="652"/>
      <c r="G70" s="296">
        <f t="shared" si="45"/>
        <v>0.14750000000000002</v>
      </c>
      <c r="H70" s="297">
        <v>-0.4024322169948773</v>
      </c>
      <c r="I70" s="297">
        <v>-0.39043972955339457</v>
      </c>
      <c r="J70" s="297">
        <v>-0.37784761773983755</v>
      </c>
      <c r="K70" s="297">
        <v>-0.36460975660250849</v>
      </c>
      <c r="L70" s="297">
        <v>-0.35067516593163583</v>
      </c>
      <c r="M70" s="297">
        <v>-0.33598735414341852</v>
      </c>
      <c r="N70" s="297">
        <v>-0.32048355281141161</v>
      </c>
      <c r="Q70" s="146"/>
    </row>
    <row r="71" spans="6:17">
      <c r="F71" s="101"/>
      <c r="Q71" s="146"/>
    </row>
    <row r="72" spans="6:17">
      <c r="F72" s="101"/>
      <c r="Q72" s="146"/>
    </row>
    <row r="73" spans="6:17">
      <c r="F73" s="105"/>
      <c r="G73" s="179"/>
      <c r="H73" s="179"/>
      <c r="I73" s="179"/>
      <c r="J73" s="179"/>
      <c r="K73" s="179"/>
      <c r="L73" s="179"/>
      <c r="M73" s="179"/>
      <c r="N73" s="179"/>
      <c r="O73" s="179"/>
      <c r="P73" s="179"/>
      <c r="Q73" s="301"/>
    </row>
  </sheetData>
  <mergeCells count="14">
    <mergeCell ref="H49:N49"/>
    <mergeCell ref="F51:F57"/>
    <mergeCell ref="H62:N62"/>
    <mergeCell ref="F64:F70"/>
    <mergeCell ref="C2:C3"/>
    <mergeCell ref="I2:I3"/>
    <mergeCell ref="F2:F3"/>
    <mergeCell ref="G2:G3"/>
    <mergeCell ref="D2:D3"/>
    <mergeCell ref="C6:D6"/>
    <mergeCell ref="C17:D17"/>
    <mergeCell ref="C28:D28"/>
    <mergeCell ref="C39:D39"/>
    <mergeCell ref="C49:D49"/>
  </mergeCells>
  <phoneticPr fontId="35" type="noConversion"/>
  <conditionalFormatting sqref="H51:N57">
    <cfRule type="colorScale" priority="2">
      <colorScale>
        <cfvo type="min"/>
        <cfvo type="percentile" val="50"/>
        <cfvo type="max"/>
        <color rgb="FFF8696B"/>
        <color rgb="FFFFEB84"/>
        <color rgb="FF63BE7B"/>
      </colorScale>
    </cfRule>
  </conditionalFormatting>
  <conditionalFormatting sqref="H64:N70">
    <cfRule type="colorScale" priority="1">
      <colorScale>
        <cfvo type="min"/>
        <cfvo type="percentile" val="50"/>
        <cfvo type="max"/>
        <color rgb="FFF8696B"/>
        <color rgb="FFFFEB84"/>
        <color rgb="FF63BE7B"/>
      </colorScale>
    </cfRule>
  </conditionalFormatting>
  <dataValidations count="2">
    <dataValidation type="list" allowBlank="1" showInputMessage="1" showErrorMessage="1" sqref="G2" xr:uid="{53FC8E3C-70BB-BD4A-A593-DB2988D9D76C}">
      <formula1>"1, 2"</formula1>
    </dataValidation>
    <dataValidation type="list" allowBlank="1" showInputMessage="1" showErrorMessage="1" sqref="D2" xr:uid="{B19AAEDB-DFF2-A542-A0C1-741E76A8C6BC}">
      <formula1>"1, 2, 3"</formula1>
    </dataValidation>
  </dataValidations>
  <pageMargins left="0.25" right="0.25" top="0.75" bottom="0.75" header="0.3" footer="0.3"/>
  <pageSetup scale="44" orientation="landscape"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CA54-C015-064F-B16F-1F34EF7333F9}">
  <sheetPr>
    <tabColor rgb="FF6985AA"/>
  </sheetPr>
  <dimension ref="B2:N60"/>
  <sheetViews>
    <sheetView showGridLines="0" view="pageBreakPreview" zoomScale="60" zoomScaleNormal="72" workbookViewId="0">
      <pane ySplit="3" topLeftCell="A4" activePane="bottomLeft" state="frozen"/>
      <selection pane="bottomLeft" activeCell="I61" sqref="I61"/>
    </sheetView>
  </sheetViews>
  <sheetFormatPr baseColWidth="10" defaultColWidth="11.5" defaultRowHeight="15"/>
  <cols>
    <col min="1" max="1" width="4.5" customWidth="1"/>
    <col min="2" max="2" width="37" customWidth="1"/>
    <col min="6" max="6" width="5.5" customWidth="1"/>
    <col min="7" max="7" width="39" bestFit="1" customWidth="1"/>
  </cols>
  <sheetData>
    <row r="2" spans="2:14">
      <c r="B2" s="655" t="s">
        <v>5</v>
      </c>
      <c r="C2" s="651" t="str">
        <f>IF('DCF Main'!D2=1,"Base Scenario",(IF('DCF Main'!D2=2,"Bull Scenario","Bear Scenario")))</f>
        <v>Base Scenario</v>
      </c>
    </row>
    <row r="3" spans="2:14">
      <c r="B3" s="655"/>
      <c r="C3" s="651"/>
    </row>
    <row r="5" spans="2:14" ht="16" thickBot="1">
      <c r="B5" s="77" t="s">
        <v>88</v>
      </c>
      <c r="C5" s="75" t="s">
        <v>89</v>
      </c>
      <c r="D5" s="75" t="s">
        <v>90</v>
      </c>
      <c r="E5" s="76" t="s">
        <v>91</v>
      </c>
      <c r="G5" s="58" t="s">
        <v>36</v>
      </c>
      <c r="H5" s="60"/>
      <c r="I5" s="61"/>
      <c r="J5" s="61"/>
      <c r="K5" s="61"/>
      <c r="L5" s="59"/>
      <c r="M5" s="59"/>
      <c r="N5" s="62"/>
    </row>
    <row r="6" spans="2:14">
      <c r="B6" s="80" t="s">
        <v>92</v>
      </c>
      <c r="C6" s="369">
        <v>0.03</v>
      </c>
      <c r="D6" s="369">
        <v>0.01</v>
      </c>
      <c r="E6" s="370">
        <v>0</v>
      </c>
      <c r="G6" s="203" t="s">
        <v>93</v>
      </c>
      <c r="H6" s="128">
        <f>2021</f>
        <v>2021</v>
      </c>
      <c r="I6" s="65">
        <f t="shared" ref="I6:N6" si="0">H6+1</f>
        <v>2022</v>
      </c>
      <c r="J6" s="65">
        <f t="shared" si="0"/>
        <v>2023</v>
      </c>
      <c r="K6" s="65">
        <f t="shared" si="0"/>
        <v>2024</v>
      </c>
      <c r="L6" s="65">
        <f t="shared" si="0"/>
        <v>2025</v>
      </c>
      <c r="M6" s="65">
        <f t="shared" si="0"/>
        <v>2026</v>
      </c>
      <c r="N6" s="129">
        <f t="shared" si="0"/>
        <v>2027</v>
      </c>
    </row>
    <row r="7" spans="2:14">
      <c r="B7" s="81" t="s">
        <v>94</v>
      </c>
      <c r="C7" s="205">
        <v>2.5000000000000001E-3</v>
      </c>
      <c r="D7" s="205">
        <v>5.0000000000000001E-3</v>
      </c>
      <c r="E7" s="371">
        <v>2.5000000000000001E-3</v>
      </c>
      <c r="G7" s="78" t="s">
        <v>95</v>
      </c>
      <c r="H7" s="95">
        <f>'IS Drivers'!N35</f>
        <v>11772.349343868904</v>
      </c>
      <c r="I7" s="92">
        <f>'IS Drivers'!O35</f>
        <v>16335.259069726588</v>
      </c>
      <c r="J7" s="92">
        <f>'IS Drivers'!P35</f>
        <v>21015.201206155903</v>
      </c>
      <c r="K7" s="92">
        <f>'IS Drivers'!Q35</f>
        <v>25800.321565746162</v>
      </c>
      <c r="L7" s="92">
        <f>'IS Drivers'!R35</f>
        <v>30869.560502754161</v>
      </c>
      <c r="M7" s="92">
        <f>'IS Drivers'!S35</f>
        <v>36408.140448740087</v>
      </c>
      <c r="N7" s="93">
        <f>'IS Drivers'!T35</f>
        <v>42520.237065243753</v>
      </c>
    </row>
    <row r="8" spans="2:14">
      <c r="G8" s="348" t="s">
        <v>96</v>
      </c>
      <c r="H8" s="351">
        <f>CHOOSE('DCF Main'!$D$2, 'Synergy Adjustments'!D6,'Synergy Adjustments'!C6,'Synergy Adjustments'!E6)</f>
        <v>0.01</v>
      </c>
      <c r="I8" s="349">
        <f>H8+CHOOSE('DCF Main'!$D$2, 'Synergy Adjustments'!$D$7,'Synergy Adjustments'!$C$7,'Synergy Adjustments'!$E$7)</f>
        <v>1.4999999999999999E-2</v>
      </c>
      <c r="J8" s="349">
        <f>I8+CHOOSE('DCF Main'!$D$2, 'Synergy Adjustments'!$D$7,'Synergy Adjustments'!$C$7,'Synergy Adjustments'!$E$7)</f>
        <v>0.02</v>
      </c>
      <c r="K8" s="349">
        <f>J8+CHOOSE('DCF Main'!$D$2, 'Synergy Adjustments'!$D$7,'Synergy Adjustments'!$C$7,'Synergy Adjustments'!$E$7)</f>
        <v>2.5000000000000001E-2</v>
      </c>
      <c r="L8" s="349">
        <f>K8+CHOOSE('DCF Main'!$D$2, 'Synergy Adjustments'!$D$7,'Synergy Adjustments'!$C$7,'Synergy Adjustments'!$E$7)</f>
        <v>3.0000000000000002E-2</v>
      </c>
      <c r="M8" s="349">
        <f>L8+CHOOSE('DCF Main'!$D$2, 'Synergy Adjustments'!$D$7,'Synergy Adjustments'!$C$7,'Synergy Adjustments'!$E$7)</f>
        <v>3.5000000000000003E-2</v>
      </c>
      <c r="N8" s="350">
        <f>M8+CHOOSE('DCF Main'!$D$2, 'Synergy Adjustments'!$D$7,'Synergy Adjustments'!$C$7,'Synergy Adjustments'!$E$7)</f>
        <v>0.04</v>
      </c>
    </row>
    <row r="9" spans="2:14">
      <c r="C9" s="450"/>
      <c r="D9" s="369"/>
      <c r="G9" s="109" t="s">
        <v>97</v>
      </c>
      <c r="H9" s="67">
        <f t="shared" ref="H9:N9" si="1">H7*(1+H8)</f>
        <v>11890.072837307593</v>
      </c>
      <c r="I9" s="68">
        <f t="shared" si="1"/>
        <v>16580.287955772485</v>
      </c>
      <c r="J9" s="68">
        <f t="shared" si="1"/>
        <v>21435.505230279021</v>
      </c>
      <c r="K9" s="68">
        <f t="shared" si="1"/>
        <v>26445.329604889816</v>
      </c>
      <c r="L9" s="68">
        <f t="shared" si="1"/>
        <v>31795.647317836785</v>
      </c>
      <c r="M9" s="68">
        <f t="shared" si="1"/>
        <v>37682.42536444599</v>
      </c>
      <c r="N9" s="69">
        <f t="shared" si="1"/>
        <v>44221.046547853504</v>
      </c>
    </row>
    <row r="10" spans="2:14">
      <c r="D10" s="431"/>
      <c r="G10" s="81" t="s">
        <v>38</v>
      </c>
      <c r="H10" s="199">
        <f>(H9-'IS Drivers'!M35)/'IS Drivers'!M35</f>
        <v>0.55384413814355471</v>
      </c>
      <c r="I10" s="190">
        <f t="shared" ref="I10:N10" si="2">(I9-H9)/H9</f>
        <v>0.39446479282686647</v>
      </c>
      <c r="J10" s="190">
        <f t="shared" si="2"/>
        <v>0.2928306967561547</v>
      </c>
      <c r="K10" s="190">
        <f t="shared" si="2"/>
        <v>0.23371617887196322</v>
      </c>
      <c r="L10" s="190">
        <f t="shared" si="2"/>
        <v>0.20231616670633898</v>
      </c>
      <c r="M10" s="190">
        <f t="shared" si="2"/>
        <v>0.1851441484352743</v>
      </c>
      <c r="N10" s="191">
        <f t="shared" si="2"/>
        <v>0.17351911720567795</v>
      </c>
    </row>
    <row r="12" spans="2:14" ht="16" thickBot="1">
      <c r="B12" s="361" t="s">
        <v>88</v>
      </c>
      <c r="C12" s="362" t="s">
        <v>89</v>
      </c>
      <c r="D12" s="362" t="s">
        <v>90</v>
      </c>
      <c r="E12" s="363" t="s">
        <v>91</v>
      </c>
      <c r="G12" s="118" t="s">
        <v>98</v>
      </c>
      <c r="H12" s="122"/>
      <c r="I12" s="123"/>
      <c r="J12" s="123"/>
      <c r="K12" s="123"/>
      <c r="L12" s="121"/>
      <c r="M12" s="121"/>
      <c r="N12" s="124"/>
    </row>
    <row r="13" spans="2:14">
      <c r="B13" s="80" t="s">
        <v>99</v>
      </c>
      <c r="C13" s="369">
        <v>4.2000000000000003E-2</v>
      </c>
      <c r="D13" s="369">
        <v>0.03</v>
      </c>
      <c r="E13" s="370">
        <v>2.4E-2</v>
      </c>
      <c r="G13" s="203" t="s">
        <v>93</v>
      </c>
      <c r="H13" s="128">
        <f>2021</f>
        <v>2021</v>
      </c>
      <c r="I13" s="65">
        <f t="shared" ref="I13:N13" si="3">H13+1</f>
        <v>2022</v>
      </c>
      <c r="J13" s="65">
        <f t="shared" si="3"/>
        <v>2023</v>
      </c>
      <c r="K13" s="65">
        <f t="shared" si="3"/>
        <v>2024</v>
      </c>
      <c r="L13" s="65">
        <f t="shared" si="3"/>
        <v>2025</v>
      </c>
      <c r="M13" s="65">
        <f t="shared" si="3"/>
        <v>2026</v>
      </c>
      <c r="N13" s="129">
        <f t="shared" si="3"/>
        <v>2027</v>
      </c>
    </row>
    <row r="14" spans="2:14">
      <c r="B14" s="81" t="s">
        <v>94</v>
      </c>
      <c r="C14" s="205">
        <v>2.9000000000000001E-2</v>
      </c>
      <c r="D14" s="205">
        <v>2.1999999999999999E-2</v>
      </c>
      <c r="E14" s="371">
        <v>1.4E-2</v>
      </c>
      <c r="G14" s="78" t="s">
        <v>100</v>
      </c>
      <c r="H14" s="95">
        <f>'IS Drivers'!N74</f>
        <v>-8565.6172313054485</v>
      </c>
      <c r="I14" s="92">
        <f>'IS Drivers'!O74</f>
        <v>-11915.434267875713</v>
      </c>
      <c r="J14" s="92">
        <f>'IS Drivers'!P74</f>
        <v>-15044.538299894217</v>
      </c>
      <c r="K14" s="92">
        <f>'IS Drivers'!Q74</f>
        <v>-17898.507984297099</v>
      </c>
      <c r="L14" s="92">
        <f>'IS Drivers'!R74</f>
        <v>-20626.26600965274</v>
      </c>
      <c r="M14" s="92">
        <f>'IS Drivers'!S74</f>
        <v>-23408.506558918729</v>
      </c>
      <c r="N14" s="93">
        <f>'IS Drivers'!T74</f>
        <v>-26381.239195269172</v>
      </c>
    </row>
    <row r="15" spans="2:14">
      <c r="G15" s="348" t="s">
        <v>101</v>
      </c>
      <c r="H15" s="351">
        <f>CHOOSE('DCF Main'!$D$2, 'Synergy Adjustments'!D13,'Synergy Adjustments'!C13,'Synergy Adjustments'!E13)</f>
        <v>0.03</v>
      </c>
      <c r="I15" s="349">
        <f>H15+CHOOSE('DCF Main'!$D$2, 'Synergy Adjustments'!$D$14,'Synergy Adjustments'!$C$14,'Synergy Adjustments'!$E$14)</f>
        <v>5.1999999999999998E-2</v>
      </c>
      <c r="J15" s="349">
        <f>I15+CHOOSE('DCF Main'!$D$2, 'Synergy Adjustments'!$D$14,'Synergy Adjustments'!$C$14,'Synergy Adjustments'!$E$14)</f>
        <v>7.3999999999999996E-2</v>
      </c>
      <c r="K15" s="349">
        <f>J15+CHOOSE('DCF Main'!$D$2, 'Synergy Adjustments'!$D$14,'Synergy Adjustments'!$C$14,'Synergy Adjustments'!$E$14)</f>
        <v>9.6000000000000002E-2</v>
      </c>
      <c r="L15" s="349">
        <f>K15+CHOOSE('DCF Main'!$D$2, 'Synergy Adjustments'!$D$14,'Synergy Adjustments'!$C$14,'Synergy Adjustments'!$E$14)</f>
        <v>0.11799999999999999</v>
      </c>
      <c r="M15" s="349">
        <f>L15+CHOOSE('DCF Main'!$D$2, 'Synergy Adjustments'!$D$14,'Synergy Adjustments'!$C$14,'Synergy Adjustments'!$E$14)</f>
        <v>0.13999999999999999</v>
      </c>
      <c r="N15" s="350">
        <f>M15+CHOOSE('DCF Main'!$D$2, 'Synergy Adjustments'!$D$14,'Synergy Adjustments'!$C$14,'Synergy Adjustments'!$E$14)</f>
        <v>0.16199999999999998</v>
      </c>
    </row>
    <row r="16" spans="2:14">
      <c r="G16" s="109" t="s">
        <v>102</v>
      </c>
      <c r="H16" s="67">
        <f t="shared" ref="H16:N16" si="4">H14*(1-H15)</f>
        <v>-8308.6487143662853</v>
      </c>
      <c r="I16" s="68">
        <f t="shared" si="4"/>
        <v>-11295.831685946176</v>
      </c>
      <c r="J16" s="68">
        <f t="shared" si="4"/>
        <v>-13931.242465702046</v>
      </c>
      <c r="K16" s="68">
        <f t="shared" si="4"/>
        <v>-16180.251217804578</v>
      </c>
      <c r="L16" s="68">
        <f t="shared" si="4"/>
        <v>-18192.366620513716</v>
      </c>
      <c r="M16" s="68">
        <f t="shared" si="4"/>
        <v>-20131.315640670105</v>
      </c>
      <c r="N16" s="69">
        <f t="shared" si="4"/>
        <v>-22107.47844563557</v>
      </c>
    </row>
    <row r="17" spans="2:14">
      <c r="G17" s="86" t="s">
        <v>103</v>
      </c>
      <c r="H17" s="87">
        <f t="shared" ref="H17:N17" si="5">1-(H16/H$9*-1)</f>
        <v>0.30121128540977815</v>
      </c>
      <c r="I17" s="88">
        <f t="shared" si="5"/>
        <v>0.31871920945658283</v>
      </c>
      <c r="J17" s="190">
        <f t="shared" si="5"/>
        <v>0.35008564920488672</v>
      </c>
      <c r="K17" s="190">
        <f t="shared" si="5"/>
        <v>0.38816224038240743</v>
      </c>
      <c r="L17" s="190">
        <f t="shared" si="5"/>
        <v>0.42783468319866136</v>
      </c>
      <c r="M17" s="190">
        <f t="shared" si="5"/>
        <v>0.46576380246308813</v>
      </c>
      <c r="N17" s="191">
        <f t="shared" si="5"/>
        <v>0.50006885473160134</v>
      </c>
    </row>
    <row r="19" spans="2:14" ht="16" thickBot="1">
      <c r="B19" s="358" t="s">
        <v>88</v>
      </c>
      <c r="C19" s="359" t="s">
        <v>89</v>
      </c>
      <c r="D19" s="359" t="s">
        <v>90</v>
      </c>
      <c r="E19" s="360" t="s">
        <v>91</v>
      </c>
      <c r="G19" s="132" t="s">
        <v>104</v>
      </c>
      <c r="H19" s="135"/>
      <c r="I19" s="133"/>
      <c r="J19" s="133"/>
      <c r="K19" s="133"/>
      <c r="L19" s="134"/>
      <c r="M19" s="134"/>
      <c r="N19" s="136"/>
    </row>
    <row r="20" spans="2:14">
      <c r="B20" s="80" t="s">
        <v>99</v>
      </c>
      <c r="C20" s="369">
        <v>0.25</v>
      </c>
      <c r="D20" s="369">
        <v>0.22500000000000001</v>
      </c>
      <c r="E20" s="370">
        <v>0.1875</v>
      </c>
      <c r="G20" s="203" t="s">
        <v>93</v>
      </c>
      <c r="H20" s="128">
        <f>2021</f>
        <v>2021</v>
      </c>
      <c r="I20" s="65">
        <f t="shared" ref="I20:N20" si="6">H20+1</f>
        <v>2022</v>
      </c>
      <c r="J20" s="65">
        <f t="shared" si="6"/>
        <v>2023</v>
      </c>
      <c r="K20" s="65">
        <f t="shared" si="6"/>
        <v>2024</v>
      </c>
      <c r="L20" s="65">
        <f t="shared" si="6"/>
        <v>2025</v>
      </c>
      <c r="M20" s="65">
        <f t="shared" si="6"/>
        <v>2026</v>
      </c>
      <c r="N20" s="129">
        <f t="shared" si="6"/>
        <v>2027</v>
      </c>
    </row>
    <row r="21" spans="2:14">
      <c r="B21" s="81" t="s">
        <v>94</v>
      </c>
      <c r="C21" s="205">
        <v>1.66E-2</v>
      </c>
      <c r="D21" s="205">
        <v>1.2500000000000001E-2</v>
      </c>
      <c r="E21" s="371">
        <v>1.04E-2</v>
      </c>
      <c r="G21" s="78" t="s">
        <v>105</v>
      </c>
      <c r="H21" s="95">
        <f>'IS Drivers'!N100</f>
        <v>-2314.2616132410708</v>
      </c>
      <c r="I21" s="92">
        <f>'IS Drivers'!O100</f>
        <v>-3088.7445761553099</v>
      </c>
      <c r="J21" s="92">
        <f>'IS Drivers'!P100</f>
        <v>-3816.0351669636862</v>
      </c>
      <c r="K21" s="92">
        <f>'IS Drivers'!Q100</f>
        <v>-4491.4365259349743</v>
      </c>
      <c r="L21" s="92">
        <f>'IS Drivers'!R100</f>
        <v>-5142.3908355872554</v>
      </c>
      <c r="M21" s="92">
        <f>'IS Drivers'!S100</f>
        <v>-5791.9714490463512</v>
      </c>
      <c r="N21" s="93">
        <f>'IS Drivers'!T100</f>
        <v>-6445.409610979088</v>
      </c>
    </row>
    <row r="22" spans="2:14">
      <c r="G22" s="348" t="s">
        <v>101</v>
      </c>
      <c r="H22" s="351">
        <f>CHOOSE('DCF Main'!$D$2, D20,C20,E20)</f>
        <v>0.22500000000000001</v>
      </c>
      <c r="I22" s="349">
        <f>H22+CHOOSE('DCF Main'!$D$2, $D$21,$C$21,$E$21)</f>
        <v>0.23750000000000002</v>
      </c>
      <c r="J22" s="349">
        <f>I22+CHOOSE('DCF Main'!$D$2, $D$21,$C$21,$E$21)</f>
        <v>0.25</v>
      </c>
      <c r="K22" s="349">
        <f>J22+CHOOSE('DCF Main'!$D$2, $D$21,$C$21,$E$21)</f>
        <v>0.26250000000000001</v>
      </c>
      <c r="L22" s="349">
        <f>K22+CHOOSE('DCF Main'!$D$2, $D$21,$C$21,$E$21)</f>
        <v>0.27500000000000002</v>
      </c>
      <c r="M22" s="349">
        <f>L22+CHOOSE('DCF Main'!$D$2, $D$21,$C$21,$E$21)</f>
        <v>0.28750000000000003</v>
      </c>
      <c r="N22" s="350">
        <f>M22+CHOOSE('DCF Main'!$D$2, $D$21,$C$21,$E$21)</f>
        <v>0.30000000000000004</v>
      </c>
    </row>
    <row r="23" spans="2:14">
      <c r="G23" s="109" t="s">
        <v>106</v>
      </c>
      <c r="H23" s="67">
        <f t="shared" ref="H23:N23" si="7">H21*(1-H22)</f>
        <v>-1793.5527502618299</v>
      </c>
      <c r="I23" s="68">
        <f t="shared" si="7"/>
        <v>-2355.1677393184236</v>
      </c>
      <c r="J23" s="68">
        <f t="shared" si="7"/>
        <v>-2862.0263752227647</v>
      </c>
      <c r="K23" s="68">
        <f t="shared" si="7"/>
        <v>-3312.4344378770438</v>
      </c>
      <c r="L23" s="68">
        <f t="shared" si="7"/>
        <v>-3728.2333558007599</v>
      </c>
      <c r="M23" s="68">
        <f t="shared" si="7"/>
        <v>-4126.7796574455251</v>
      </c>
      <c r="N23" s="69">
        <f t="shared" si="7"/>
        <v>-4511.7867276853613</v>
      </c>
    </row>
    <row r="24" spans="2:14">
      <c r="G24" s="86" t="s">
        <v>107</v>
      </c>
      <c r="H24" s="87">
        <f>H23/'Synergy Adjustments'!H$9*-1</f>
        <v>0.15084455535328453</v>
      </c>
      <c r="I24" s="88">
        <f>I23/'Synergy Adjustments'!I$9*-1</f>
        <v>0.14204625068037277</v>
      </c>
      <c r="J24" s="130">
        <f>J23/'Synergy Adjustments'!J$9*-1</f>
        <v>0.13351802742582292</v>
      </c>
      <c r="K24" s="89">
        <f>K23/'Synergy Adjustments'!K$9*-1</f>
        <v>0.12525593317863451</v>
      </c>
      <c r="L24" s="89">
        <f>L23/'Synergy Adjustments'!L$9*-1</f>
        <v>0.11725609227365182</v>
      </c>
      <c r="M24" s="89">
        <f>M23/'Synergy Adjustments'!M$9*-1</f>
        <v>0.1095147039377994</v>
      </c>
      <c r="N24" s="90">
        <f>N23/'Synergy Adjustments'!N$9*-1</f>
        <v>0.10202804048979171</v>
      </c>
    </row>
    <row r="26" spans="2:14" ht="16" thickBot="1">
      <c r="B26" s="358" t="s">
        <v>88</v>
      </c>
      <c r="C26" s="359" t="s">
        <v>89</v>
      </c>
      <c r="D26" s="359" t="s">
        <v>90</v>
      </c>
      <c r="E26" s="360" t="s">
        <v>91</v>
      </c>
      <c r="G26" s="132" t="s">
        <v>108</v>
      </c>
      <c r="H26" s="135"/>
      <c r="I26" s="133"/>
      <c r="J26" s="133"/>
      <c r="K26" s="133"/>
      <c r="L26" s="134"/>
      <c r="M26" s="134"/>
      <c r="N26" s="136"/>
    </row>
    <row r="27" spans="2:14">
      <c r="B27" s="80" t="s">
        <v>99</v>
      </c>
      <c r="C27" s="369">
        <v>0.15</v>
      </c>
      <c r="D27" s="369">
        <v>0.1125</v>
      </c>
      <c r="E27" s="370">
        <v>7.4999999999999997E-2</v>
      </c>
      <c r="G27" s="203" t="s">
        <v>93</v>
      </c>
      <c r="H27" s="128">
        <f>2021</f>
        <v>2021</v>
      </c>
      <c r="I27" s="65">
        <f t="shared" ref="I27:N27" si="8">H27+1</f>
        <v>2022</v>
      </c>
      <c r="J27" s="65">
        <f t="shared" si="8"/>
        <v>2023</v>
      </c>
      <c r="K27" s="65">
        <f t="shared" si="8"/>
        <v>2024</v>
      </c>
      <c r="L27" s="65">
        <f t="shared" si="8"/>
        <v>2025</v>
      </c>
      <c r="M27" s="65">
        <f t="shared" si="8"/>
        <v>2026</v>
      </c>
      <c r="N27" s="129">
        <f t="shared" si="8"/>
        <v>2027</v>
      </c>
    </row>
    <row r="28" spans="2:14">
      <c r="B28" s="81" t="s">
        <v>94</v>
      </c>
      <c r="C28" s="205">
        <v>8.333333333333328E-3</v>
      </c>
      <c r="D28" s="205">
        <v>6.2499999999999943E-3</v>
      </c>
      <c r="E28" s="371">
        <v>4.1000000000000003E-3</v>
      </c>
      <c r="G28" s="78" t="s">
        <v>109</v>
      </c>
      <c r="H28" s="95">
        <f>'IS Drivers'!N101</f>
        <v>-1233.3245539331074</v>
      </c>
      <c r="I28" s="92">
        <f>'IS Drivers'!O101</f>
        <v>-1588.8411680849367</v>
      </c>
      <c r="J28" s="92">
        <f>'IS Drivers'!P101</f>
        <v>-1886.4194947633041</v>
      </c>
      <c r="K28" s="92">
        <f>'IS Drivers'!Q101</f>
        <v>-2122.451125667189</v>
      </c>
      <c r="L28" s="92">
        <f>'IS Drivers'!R101</f>
        <v>-2307.9479408599959</v>
      </c>
      <c r="M28" s="92">
        <f>'IS Drivers'!S101</f>
        <v>-2448.9761707055295</v>
      </c>
      <c r="N28" s="93">
        <f>'IS Drivers'!T101</f>
        <v>-2541.2016511363813</v>
      </c>
    </row>
    <row r="29" spans="2:14">
      <c r="G29" s="348" t="s">
        <v>101</v>
      </c>
      <c r="H29" s="351">
        <f>CHOOSE('DCF Main'!$D$2, D27,C27,E27)</f>
        <v>0.1125</v>
      </c>
      <c r="I29" s="349">
        <f>H29+CHOOSE('DCF Main'!$D$2, $D$28,$C$28,$E$28)</f>
        <v>0.11874999999999999</v>
      </c>
      <c r="J29" s="349">
        <f>I29+CHOOSE('DCF Main'!$D$2, $D$28,$C$28,$E$28)</f>
        <v>0.12499999999999999</v>
      </c>
      <c r="K29" s="349">
        <f>J29+CHOOSE('DCF Main'!$D$2, $D$28,$C$28,$E$28)</f>
        <v>0.13124999999999998</v>
      </c>
      <c r="L29" s="349">
        <f>K29+CHOOSE('DCF Main'!$D$2, $D$28,$C$28,$E$28)</f>
        <v>0.13749999999999998</v>
      </c>
      <c r="M29" s="349">
        <f>L29+CHOOSE('DCF Main'!$D$2, $D$28,$C$28,$E$28)</f>
        <v>0.14374999999999999</v>
      </c>
      <c r="N29" s="350">
        <f>M29+CHOOSE('DCF Main'!$D$2, $D$28,$C$28,$E$28)</f>
        <v>0.15</v>
      </c>
    </row>
    <row r="30" spans="2:14">
      <c r="G30" s="109" t="s">
        <v>110</v>
      </c>
      <c r="H30" s="67">
        <f t="shared" ref="H30:N30" si="9">H28*(1-H29)</f>
        <v>-1094.5755416156328</v>
      </c>
      <c r="I30" s="68">
        <f t="shared" si="9"/>
        <v>-1400.1662793748505</v>
      </c>
      <c r="J30" s="68">
        <f t="shared" si="9"/>
        <v>-1650.6170579178911</v>
      </c>
      <c r="K30" s="68">
        <f t="shared" si="9"/>
        <v>-1843.8794154233706</v>
      </c>
      <c r="L30" s="68">
        <f t="shared" si="9"/>
        <v>-1990.6050989917467</v>
      </c>
      <c r="M30" s="68">
        <f t="shared" si="9"/>
        <v>-2096.9358461666097</v>
      </c>
      <c r="N30" s="69">
        <f t="shared" si="9"/>
        <v>-2160.0214034659239</v>
      </c>
    </row>
    <row r="31" spans="2:14">
      <c r="G31" s="86" t="s">
        <v>107</v>
      </c>
      <c r="H31" s="87">
        <f>H30/'Synergy Adjustments'!H$9*-1</f>
        <v>9.2057934092815055E-2</v>
      </c>
      <c r="I31" s="88">
        <f>I30/'Synergy Adjustments'!I$9*-1</f>
        <v>8.4447645487808184E-2</v>
      </c>
      <c r="J31" s="130">
        <f>J30/'Synergy Adjustments'!J$9*-1</f>
        <v>7.7003879320105273E-2</v>
      </c>
      <c r="K31" s="89">
        <f>K30/'Synergy Adjustments'!K$9*-1</f>
        <v>6.9724198675989738E-2</v>
      </c>
      <c r="L31" s="89">
        <f>L30/'Synergy Adjustments'!L$9*-1</f>
        <v>6.2606213960457818E-2</v>
      </c>
      <c r="M31" s="89">
        <f>M30/'Synergy Adjustments'!M$9*-1</f>
        <v>5.5647581754254716E-2</v>
      </c>
      <c r="N31" s="90">
        <f>N30/'Synergy Adjustments'!N$9*-1</f>
        <v>4.8846003703880488E-2</v>
      </c>
    </row>
    <row r="33" spans="2:14" ht="16" thickBot="1">
      <c r="B33" s="358" t="s">
        <v>88</v>
      </c>
      <c r="C33" s="359" t="s">
        <v>89</v>
      </c>
      <c r="D33" s="359" t="s">
        <v>90</v>
      </c>
      <c r="E33" s="360" t="s">
        <v>91</v>
      </c>
      <c r="G33" s="132" t="s">
        <v>111</v>
      </c>
      <c r="H33" s="135"/>
      <c r="I33" s="133"/>
      <c r="J33" s="133"/>
      <c r="K33" s="133"/>
      <c r="L33" s="134"/>
      <c r="M33" s="134"/>
      <c r="N33" s="136"/>
    </row>
    <row r="34" spans="2:14">
      <c r="B34" s="80" t="s">
        <v>99</v>
      </c>
      <c r="C34" s="369">
        <v>0</v>
      </c>
      <c r="D34" s="369">
        <v>0</v>
      </c>
      <c r="E34" s="370">
        <v>0</v>
      </c>
      <c r="G34" s="203" t="s">
        <v>93</v>
      </c>
      <c r="H34" s="128">
        <f>2021</f>
        <v>2021</v>
      </c>
      <c r="I34" s="65">
        <f t="shared" ref="I34:N34" si="10">H34+1</f>
        <v>2022</v>
      </c>
      <c r="J34" s="65">
        <f t="shared" si="10"/>
        <v>2023</v>
      </c>
      <c r="K34" s="65">
        <f t="shared" si="10"/>
        <v>2024</v>
      </c>
      <c r="L34" s="65">
        <f t="shared" si="10"/>
        <v>2025</v>
      </c>
      <c r="M34" s="65">
        <f t="shared" si="10"/>
        <v>2026</v>
      </c>
      <c r="N34" s="129">
        <f t="shared" si="10"/>
        <v>2027</v>
      </c>
    </row>
    <row r="35" spans="2:14">
      <c r="B35" s="81" t="s">
        <v>94</v>
      </c>
      <c r="C35" s="205">
        <v>0</v>
      </c>
      <c r="D35" s="205">
        <v>0</v>
      </c>
      <c r="E35" s="371">
        <v>0</v>
      </c>
      <c r="G35" s="78" t="s">
        <v>112</v>
      </c>
      <c r="H35" s="95">
        <f>'IS Drivers'!N102</f>
        <v>-20.396896617333908</v>
      </c>
      <c r="I35" s="92">
        <f>'IS Drivers'!O102</f>
        <v>-28.30264212606853</v>
      </c>
      <c r="J35" s="92">
        <f>'IS Drivers'!P102</f>
        <v>-36.411159223513287</v>
      </c>
      <c r="K35" s="92">
        <f>'IS Drivers'!Q102</f>
        <v>-44.701909219553244</v>
      </c>
      <c r="L35" s="92">
        <f>'IS Drivers'!R102</f>
        <v>-53.484926058971567</v>
      </c>
      <c r="M35" s="92">
        <f>'IS Drivers'!S102</f>
        <v>-63.081128079934274</v>
      </c>
      <c r="N35" s="93">
        <f>'IS Drivers'!T102</f>
        <v>-73.671011132199382</v>
      </c>
    </row>
    <row r="36" spans="2:14">
      <c r="G36" s="348" t="s">
        <v>101</v>
      </c>
      <c r="H36" s="351">
        <f>CHOOSE('DCF Main'!$D$2, D34,C34,E34)</f>
        <v>0</v>
      </c>
      <c r="I36" s="349">
        <f>H36+CHOOSE('DCF Main'!$D$2, $D$35,$C$35,$E$35)</f>
        <v>0</v>
      </c>
      <c r="J36" s="349">
        <f>I36+CHOOSE('DCF Main'!$D$2, $D$35,$C$35,$E$35)</f>
        <v>0</v>
      </c>
      <c r="K36" s="349">
        <f>J36+CHOOSE('DCF Main'!$D$2, $D$35,$C$35,$E$35)</f>
        <v>0</v>
      </c>
      <c r="L36" s="349">
        <f>K36+CHOOSE('DCF Main'!$D$2, $D$35,$C$35,$E$35)</f>
        <v>0</v>
      </c>
      <c r="M36" s="349">
        <f>L36+CHOOSE('DCF Main'!$D$2, $D$35,$C$35,$E$35)</f>
        <v>0</v>
      </c>
      <c r="N36" s="350">
        <f>M36+CHOOSE('DCF Main'!$D$2, $D$35,$C$35,$E$35)</f>
        <v>0</v>
      </c>
    </row>
    <row r="37" spans="2:14">
      <c r="G37" s="109" t="s">
        <v>113</v>
      </c>
      <c r="H37" s="67">
        <f t="shared" ref="H37:N37" si="11">H35*(1-H36)</f>
        <v>-20.396896617333908</v>
      </c>
      <c r="I37" s="68">
        <f t="shared" si="11"/>
        <v>-28.30264212606853</v>
      </c>
      <c r="J37" s="68">
        <f t="shared" si="11"/>
        <v>-36.411159223513287</v>
      </c>
      <c r="K37" s="68">
        <f t="shared" si="11"/>
        <v>-44.701909219553244</v>
      </c>
      <c r="L37" s="68">
        <f t="shared" si="11"/>
        <v>-53.484926058971567</v>
      </c>
      <c r="M37" s="68">
        <f t="shared" si="11"/>
        <v>-63.081128079934274</v>
      </c>
      <c r="N37" s="69">
        <f t="shared" si="11"/>
        <v>-73.671011132199382</v>
      </c>
    </row>
    <row r="38" spans="2:14">
      <c r="G38" s="86" t="s">
        <v>107</v>
      </c>
      <c r="H38" s="87">
        <f>H37/'Synergy Adjustments'!H$9*-1</f>
        <v>1.7154559855457215E-3</v>
      </c>
      <c r="I38" s="88">
        <f>I37/'Synergy Adjustments'!I$9*-1</f>
        <v>1.7070054634494372E-3</v>
      </c>
      <c r="J38" s="130">
        <f>J37/'Synergy Adjustments'!J$9*-1</f>
        <v>1.6986377896089986E-3</v>
      </c>
      <c r="K38" s="89">
        <f>K37/'Synergy Adjustments'!K$9*-1</f>
        <v>1.6903517516109058E-3</v>
      </c>
      <c r="L38" s="89">
        <f>L37/'Synergy Adjustments'!L$9*-1</f>
        <v>1.6821461605836686E-3</v>
      </c>
      <c r="M38" s="89">
        <f>M37/'Synergy Adjustments'!M$9*-1</f>
        <v>1.6740198506291582E-3</v>
      </c>
      <c r="N38" s="90">
        <f>N37/'Synergy Adjustments'!N$9*-1</f>
        <v>1.665971678270364E-3</v>
      </c>
    </row>
    <row r="40" spans="2:14" ht="16" thickBot="1">
      <c r="B40" s="358" t="s">
        <v>88</v>
      </c>
      <c r="C40" s="359" t="s">
        <v>89</v>
      </c>
      <c r="D40" s="359" t="s">
        <v>90</v>
      </c>
      <c r="E40" s="360" t="s">
        <v>91</v>
      </c>
      <c r="G40" s="132" t="s">
        <v>114</v>
      </c>
      <c r="H40" s="135"/>
      <c r="I40" s="133"/>
      <c r="J40" s="133"/>
      <c r="K40" s="133"/>
      <c r="L40" s="134"/>
      <c r="M40" s="134"/>
      <c r="N40" s="136"/>
    </row>
    <row r="41" spans="2:14">
      <c r="B41" s="80" t="s">
        <v>99</v>
      </c>
      <c r="C41" s="369">
        <v>0.04</v>
      </c>
      <c r="D41" s="369">
        <v>0.03</v>
      </c>
      <c r="E41" s="370">
        <v>0.02</v>
      </c>
      <c r="G41" s="203" t="s">
        <v>93</v>
      </c>
      <c r="H41" s="128">
        <f>2021</f>
        <v>2021</v>
      </c>
      <c r="I41" s="65">
        <f t="shared" ref="I41:N41" si="12">H41+1</f>
        <v>2022</v>
      </c>
      <c r="J41" s="65">
        <f t="shared" si="12"/>
        <v>2023</v>
      </c>
      <c r="K41" s="65">
        <f t="shared" si="12"/>
        <v>2024</v>
      </c>
      <c r="L41" s="65">
        <f t="shared" si="12"/>
        <v>2025</v>
      </c>
      <c r="M41" s="65">
        <f t="shared" si="12"/>
        <v>2026</v>
      </c>
      <c r="N41" s="129">
        <f t="shared" si="12"/>
        <v>2027</v>
      </c>
    </row>
    <row r="42" spans="2:14">
      <c r="B42" s="81" t="s">
        <v>94</v>
      </c>
      <c r="C42" s="205">
        <v>5.0000000000000001E-3</v>
      </c>
      <c r="D42" s="205">
        <v>5.0000000000000001E-3</v>
      </c>
      <c r="E42" s="371">
        <v>2.5000000000000001E-3</v>
      </c>
      <c r="G42" s="78" t="s">
        <v>115</v>
      </c>
      <c r="H42" s="95">
        <f>'IS Drivers'!N103</f>
        <v>-298.17807473112003</v>
      </c>
      <c r="I42" s="92">
        <f>'IS Drivers'!O103</f>
        <v>-413.75055712068934</v>
      </c>
      <c r="J42" s="92">
        <f>'IS Drivers'!P103</f>
        <v>-532.28731604046254</v>
      </c>
      <c r="K42" s="92">
        <f>'IS Drivers'!Q103</f>
        <v>-653.48810056546495</v>
      </c>
      <c r="L42" s="92">
        <f>'IS Drivers'!R103</f>
        <v>-781.88523374910505</v>
      </c>
      <c r="M42" s="92">
        <f>'IS Drivers'!S103</f>
        <v>-922.17015537340046</v>
      </c>
      <c r="N42" s="93">
        <f>'IS Drivers'!T103</f>
        <v>-1076.9814974806425</v>
      </c>
    </row>
    <row r="43" spans="2:14" ht="15" customHeight="1">
      <c r="G43" s="348" t="s">
        <v>101</v>
      </c>
      <c r="H43" s="351">
        <f>CHOOSE('DCF Main'!$D$2, D41,C41,E41)</f>
        <v>0.03</v>
      </c>
      <c r="I43" s="349">
        <f>H43+CHOOSE('DCF Main'!$D$2, $D$42,$C$42,$E$42)</f>
        <v>3.4999999999999996E-2</v>
      </c>
      <c r="J43" s="349">
        <f>I43+CHOOSE('DCF Main'!$D$2, $D$42,$C$42,$E$42)</f>
        <v>3.9999999999999994E-2</v>
      </c>
      <c r="K43" s="349">
        <f>J43+CHOOSE('DCF Main'!$D$2, $D$42,$C$42,$E$42)</f>
        <v>4.4999999999999991E-2</v>
      </c>
      <c r="L43" s="349">
        <f>K43+CHOOSE('DCF Main'!$D$2, $D$42,$C$42,$E$42)</f>
        <v>4.9999999999999989E-2</v>
      </c>
      <c r="M43" s="349">
        <f>L43+CHOOSE('DCF Main'!$D$2, $D$42,$C$42,$E$42)</f>
        <v>5.4999999999999986E-2</v>
      </c>
      <c r="N43" s="350">
        <f>M43+CHOOSE('DCF Main'!$D$2, $D$42,$C$42,$E$42)</f>
        <v>5.9999999999999984E-2</v>
      </c>
    </row>
    <row r="44" spans="2:14" ht="15" customHeight="1">
      <c r="G44" s="109" t="s">
        <v>116</v>
      </c>
      <c r="H44" s="67">
        <f t="shared" ref="H44:N44" si="13">H42*(1-H43)</f>
        <v>-289.23273248918645</v>
      </c>
      <c r="I44" s="68">
        <f t="shared" si="13"/>
        <v>-399.2692876214652</v>
      </c>
      <c r="J44" s="68">
        <f t="shared" si="13"/>
        <v>-510.99582339884404</v>
      </c>
      <c r="K44" s="68">
        <f t="shared" si="13"/>
        <v>-624.08113604001903</v>
      </c>
      <c r="L44" s="68">
        <f t="shared" si="13"/>
        <v>-742.79097206164977</v>
      </c>
      <c r="M44" s="68">
        <f t="shared" si="13"/>
        <v>-871.45079682786354</v>
      </c>
      <c r="N44" s="69">
        <f t="shared" si="13"/>
        <v>-1012.3626076318039</v>
      </c>
    </row>
    <row r="45" spans="2:14" ht="15" customHeight="1">
      <c r="G45" s="86" t="s">
        <v>107</v>
      </c>
      <c r="H45" s="87">
        <f>H44/'Synergy Adjustments'!H$9*-1</f>
        <v>2.4325564397020192E-2</v>
      </c>
      <c r="I45" s="88">
        <f>I44/'Synergy Adjustments'!I$9*-1</f>
        <v>2.4080962205632755E-2</v>
      </c>
      <c r="J45" s="130">
        <f>J44/'Synergy Adjustments'!J$9*-1</f>
        <v>2.3838758074945197E-2</v>
      </c>
      <c r="K45" s="89">
        <f>K44/'Synergy Adjustments'!K$9*-1</f>
        <v>2.3598916911386301E-2</v>
      </c>
      <c r="L45" s="89">
        <f>L44/'Synergy Adjustments'!L$9*-1</f>
        <v>2.3361404302813405E-2</v>
      </c>
      <c r="M45" s="89">
        <f>M44/'Synergy Adjustments'!M$9*-1</f>
        <v>2.3126186502052816E-2</v>
      </c>
      <c r="N45" s="90">
        <f>N44/'Synergy Adjustments'!N$9*-1</f>
        <v>2.2893230410914917E-2</v>
      </c>
    </row>
    <row r="46" spans="2:14" ht="15" customHeight="1"/>
    <row r="47" spans="2:14" ht="16" thickBot="1">
      <c r="G47" s="132" t="s">
        <v>117</v>
      </c>
      <c r="H47" s="135"/>
      <c r="I47" s="133"/>
      <c r="J47" s="133"/>
      <c r="K47" s="133"/>
      <c r="L47" s="134"/>
      <c r="M47" s="134"/>
      <c r="N47" s="136"/>
    </row>
    <row r="48" spans="2:14">
      <c r="G48" s="63" t="s">
        <v>118</v>
      </c>
      <c r="H48" s="128"/>
      <c r="I48" s="65"/>
      <c r="J48" s="65"/>
      <c r="K48" s="65"/>
      <c r="L48" s="65"/>
      <c r="M48" s="65"/>
      <c r="N48" s="129"/>
    </row>
    <row r="49" spans="4:14">
      <c r="G49" s="78" t="s">
        <v>106</v>
      </c>
      <c r="H49" s="98">
        <f>'Synergy Adjustments'!H23</f>
        <v>-1793.5527502618299</v>
      </c>
      <c r="I49" s="99">
        <f>'Synergy Adjustments'!I23</f>
        <v>-2355.1677393184236</v>
      </c>
      <c r="J49" s="99">
        <f>'Synergy Adjustments'!J23</f>
        <v>-2862.0263752227647</v>
      </c>
      <c r="K49" s="99">
        <f>'Synergy Adjustments'!K23</f>
        <v>-3312.4344378770438</v>
      </c>
      <c r="L49" s="99">
        <f>'Synergy Adjustments'!L23</f>
        <v>-3728.2333558007599</v>
      </c>
      <c r="M49" s="99">
        <f>'Synergy Adjustments'!M23</f>
        <v>-4126.7796574455251</v>
      </c>
      <c r="N49" s="100">
        <f>'Synergy Adjustments'!N23</f>
        <v>-4511.7867276853613</v>
      </c>
    </row>
    <row r="50" spans="4:14">
      <c r="G50" s="80" t="s">
        <v>110</v>
      </c>
      <c r="H50" s="102">
        <f>'Synergy Adjustments'!H30</f>
        <v>-1094.5755416156328</v>
      </c>
      <c r="I50" s="198">
        <f>'Synergy Adjustments'!I30</f>
        <v>-1400.1662793748505</v>
      </c>
      <c r="J50" s="198">
        <f>'Synergy Adjustments'!J30</f>
        <v>-1650.6170579178911</v>
      </c>
      <c r="K50" s="198">
        <f>'Synergy Adjustments'!K30</f>
        <v>-1843.8794154233706</v>
      </c>
      <c r="L50" s="198">
        <f>'Synergy Adjustments'!L30</f>
        <v>-1990.6050989917467</v>
      </c>
      <c r="M50" s="198">
        <f>'Synergy Adjustments'!M30</f>
        <v>-2096.9358461666097</v>
      </c>
      <c r="N50" s="104">
        <f>'Synergy Adjustments'!N30</f>
        <v>-2160.0214034659239</v>
      </c>
    </row>
    <row r="51" spans="4:14">
      <c r="G51" s="80" t="s">
        <v>113</v>
      </c>
      <c r="H51" s="102">
        <f>'Synergy Adjustments'!H37</f>
        <v>-20.396896617333908</v>
      </c>
      <c r="I51" s="198">
        <f>'Synergy Adjustments'!I37</f>
        <v>-28.30264212606853</v>
      </c>
      <c r="J51" s="198">
        <f>'Synergy Adjustments'!J37</f>
        <v>-36.411159223513287</v>
      </c>
      <c r="K51" s="198">
        <f>'Synergy Adjustments'!K37</f>
        <v>-44.701909219553244</v>
      </c>
      <c r="L51" s="198">
        <f>'Synergy Adjustments'!L37</f>
        <v>-53.484926058971567</v>
      </c>
      <c r="M51" s="198">
        <f>'Synergy Adjustments'!M37</f>
        <v>-63.081128079934274</v>
      </c>
      <c r="N51" s="104">
        <f>'Synergy Adjustments'!N37</f>
        <v>-73.671011132199382</v>
      </c>
    </row>
    <row r="52" spans="4:14">
      <c r="G52" s="173" t="s">
        <v>116</v>
      </c>
      <c r="H52" s="200">
        <f>'Synergy Adjustments'!H44</f>
        <v>-289.23273248918645</v>
      </c>
      <c r="I52" s="201">
        <f>'Synergy Adjustments'!I44</f>
        <v>-399.2692876214652</v>
      </c>
      <c r="J52" s="201">
        <f>'Synergy Adjustments'!J44</f>
        <v>-510.99582339884404</v>
      </c>
      <c r="K52" s="201">
        <f>'Synergy Adjustments'!K44</f>
        <v>-624.08113604001903</v>
      </c>
      <c r="L52" s="201">
        <f>'Synergy Adjustments'!L44</f>
        <v>-742.79097206164977</v>
      </c>
      <c r="M52" s="201">
        <f>'Synergy Adjustments'!M44</f>
        <v>-871.45079682786354</v>
      </c>
      <c r="N52" s="202">
        <f>'Synergy Adjustments'!N44</f>
        <v>-1012.3626076318039</v>
      </c>
    </row>
    <row r="53" spans="4:14">
      <c r="G53" s="85" t="s">
        <v>119</v>
      </c>
      <c r="H53" s="98">
        <f t="shared" ref="H53:N53" si="14">SUM(H49:H52)</f>
        <v>-3197.7579209839832</v>
      </c>
      <c r="I53" s="99">
        <f t="shared" si="14"/>
        <v>-4182.9059484408081</v>
      </c>
      <c r="J53" s="99">
        <f t="shared" si="14"/>
        <v>-5060.050415763013</v>
      </c>
      <c r="K53" s="99">
        <f t="shared" si="14"/>
        <v>-5825.0968985599875</v>
      </c>
      <c r="L53" s="99">
        <f t="shared" si="14"/>
        <v>-6515.1143529131286</v>
      </c>
      <c r="M53" s="99">
        <f t="shared" si="14"/>
        <v>-7158.2474285199332</v>
      </c>
      <c r="N53" s="100">
        <f t="shared" si="14"/>
        <v>-7757.8417499152883</v>
      </c>
    </row>
    <row r="54" spans="4:14">
      <c r="D54" s="131"/>
      <c r="G54" s="86" t="s">
        <v>45</v>
      </c>
      <c r="H54" s="87">
        <f>H53/'Synergy Adjustments'!H$9*-1</f>
        <v>0.26894350982866549</v>
      </c>
      <c r="I54" s="88">
        <f>I53/'Synergy Adjustments'!I$9*-1</f>
        <v>0.25228186383726314</v>
      </c>
      <c r="J54" s="130">
        <f>J53/'Synergy Adjustments'!J$9*-1</f>
        <v>0.23605930261048236</v>
      </c>
      <c r="K54" s="89">
        <f>K53/'Synergy Adjustments'!K$9*-1</f>
        <v>0.22026940051762148</v>
      </c>
      <c r="L54" s="89">
        <f>L53/'Synergy Adjustments'!L$9*-1</f>
        <v>0.20490585669750674</v>
      </c>
      <c r="M54" s="89">
        <f>M53/'Synergy Adjustments'!M$9*-1</f>
        <v>0.18996249204473611</v>
      </c>
      <c r="N54" s="90">
        <f>N53/'Synergy Adjustments'!N$9*-1</f>
        <v>0.17543324628285747</v>
      </c>
    </row>
    <row r="60" spans="4:14">
      <c r="G60" s="131"/>
      <c r="H60" s="131"/>
      <c r="I60" s="131"/>
      <c r="J60" s="131"/>
      <c r="K60" s="131"/>
      <c r="L60" s="131"/>
      <c r="M60" s="131"/>
      <c r="N60" s="131"/>
    </row>
  </sheetData>
  <mergeCells count="2">
    <mergeCell ref="B2:B3"/>
    <mergeCell ref="C2:C3"/>
  </mergeCells>
  <phoneticPr fontId="35" type="noConversion"/>
  <pageMargins left="0.7" right="0.7" top="0.75" bottom="0.75" header="0.3" footer="0.3"/>
  <pageSetup scale="40" orientation="portrait" horizontalDpi="0" verticalDpi="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BE0E4-1063-D041-9C17-9F03470B7803}">
  <sheetPr>
    <tabColor rgb="FF6985AA"/>
  </sheetPr>
  <dimension ref="B2:AG105"/>
  <sheetViews>
    <sheetView showGridLines="0" view="pageBreakPreview" zoomScale="60" zoomScaleNormal="84" workbookViewId="0">
      <pane ySplit="3" topLeftCell="A4" activePane="bottomLeft" state="frozen"/>
      <selection activeCell="C1" sqref="C1"/>
      <selection pane="bottomLeft" activeCell="G20" sqref="G20"/>
    </sheetView>
  </sheetViews>
  <sheetFormatPr baseColWidth="10" defaultColWidth="11.5" defaultRowHeight="15"/>
  <cols>
    <col min="1" max="1" width="4.5" customWidth="1"/>
    <col min="2" max="2" width="34.33203125" customWidth="1"/>
    <col min="6" max="6" width="5.5" customWidth="1"/>
    <col min="7" max="7" width="33.5" bestFit="1" customWidth="1"/>
  </cols>
  <sheetData>
    <row r="2" spans="2:20">
      <c r="B2" s="655" t="s">
        <v>5</v>
      </c>
      <c r="C2" s="651" t="str">
        <f>IF('DCF Main'!D2=1,"Base Scenario",(IF('DCF Main'!D2=2,"Bull Scenario","Bear Scenario")))</f>
        <v>Base Scenario</v>
      </c>
    </row>
    <row r="3" spans="2:20">
      <c r="B3" s="655"/>
      <c r="C3" s="651"/>
    </row>
    <row r="5" spans="2:20" ht="16" thickBot="1">
      <c r="B5" s="77" t="s">
        <v>120</v>
      </c>
      <c r="C5" s="75" t="s">
        <v>89</v>
      </c>
      <c r="D5" s="75" t="s">
        <v>90</v>
      </c>
      <c r="E5" s="76" t="s">
        <v>91</v>
      </c>
      <c r="G5" s="58" t="s">
        <v>121</v>
      </c>
      <c r="H5" s="59"/>
      <c r="I5" s="59"/>
      <c r="J5" s="59"/>
      <c r="K5" s="59"/>
      <c r="L5" s="59"/>
      <c r="M5" s="59"/>
      <c r="N5" s="60"/>
      <c r="O5" s="61"/>
      <c r="P5" s="61"/>
      <c r="Q5" s="61"/>
      <c r="R5" s="59"/>
      <c r="S5" s="59"/>
      <c r="T5" s="62"/>
    </row>
    <row r="6" spans="2:20">
      <c r="B6" s="78" t="s">
        <v>122</v>
      </c>
      <c r="C6" s="451">
        <f>D6+STDEV(I8:L8)</f>
        <v>0.37323558329880641</v>
      </c>
      <c r="D6" s="355">
        <f>AVERAGE(I8:L8)</f>
        <v>0.31490412240395499</v>
      </c>
      <c r="E6" s="452">
        <f>D6-STDEV(I8:L8)</f>
        <v>0.25657266150910357</v>
      </c>
      <c r="G6" s="203" t="s">
        <v>93</v>
      </c>
      <c r="H6" s="65">
        <v>2015</v>
      </c>
      <c r="I6" s="65">
        <f>H6+1</f>
        <v>2016</v>
      </c>
      <c r="J6" s="65">
        <f t="shared" ref="J6:T6" si="0">I6+1</f>
        <v>2017</v>
      </c>
      <c r="K6" s="65">
        <f t="shared" si="0"/>
        <v>2018</v>
      </c>
      <c r="L6" s="65">
        <f t="shared" si="0"/>
        <v>2019</v>
      </c>
      <c r="M6" s="65">
        <v>2020</v>
      </c>
      <c r="N6" s="128">
        <f>M6+1</f>
        <v>2021</v>
      </c>
      <c r="O6" s="65">
        <f t="shared" si="0"/>
        <v>2022</v>
      </c>
      <c r="P6" s="65">
        <f t="shared" si="0"/>
        <v>2023</v>
      </c>
      <c r="Q6" s="65">
        <f t="shared" si="0"/>
        <v>2024</v>
      </c>
      <c r="R6" s="65">
        <f t="shared" si="0"/>
        <v>2025</v>
      </c>
      <c r="S6" s="65">
        <f t="shared" si="0"/>
        <v>2026</v>
      </c>
      <c r="T6" s="129">
        <f t="shared" si="0"/>
        <v>2027</v>
      </c>
    </row>
    <row r="7" spans="2:20">
      <c r="B7" s="79" t="s">
        <v>94</v>
      </c>
      <c r="C7" s="456">
        <v>-0.01</v>
      </c>
      <c r="D7" s="357">
        <v>-0.01</v>
      </c>
      <c r="E7" s="457">
        <v>-3.0000000000000001E-3</v>
      </c>
      <c r="G7" s="78" t="s">
        <v>123</v>
      </c>
      <c r="H7" s="204">
        <v>35643</v>
      </c>
      <c r="I7" s="204">
        <v>49683</v>
      </c>
      <c r="J7" s="204">
        <v>65343</v>
      </c>
      <c r="K7" s="204">
        <v>84654</v>
      </c>
      <c r="L7" s="204">
        <v>106239</v>
      </c>
      <c r="M7" s="204">
        <f>28639+25743+22801+31729</f>
        <v>108912</v>
      </c>
      <c r="N7" s="95">
        <f>M7*(1+N8)</f>
        <v>143208.83777925954</v>
      </c>
      <c r="O7" s="92">
        <f t="shared" ref="O7:T7" si="1">N7*(1+O8)</f>
        <v>186873.80278283503</v>
      </c>
      <c r="P7" s="92">
        <f t="shared" si="1"/>
        <v>241983.65759279678</v>
      </c>
      <c r="Q7" s="92">
        <f t="shared" si="1"/>
        <v>310925.79919537168</v>
      </c>
      <c r="R7" s="92">
        <f t="shared" si="1"/>
        <v>396400.5831559237</v>
      </c>
      <c r="S7" s="92">
        <f t="shared" si="1"/>
        <v>501408.73175725964</v>
      </c>
      <c r="T7" s="93">
        <f t="shared" si="1"/>
        <v>629219.88449152396</v>
      </c>
    </row>
    <row r="8" spans="2:20">
      <c r="B8" s="80" t="s">
        <v>124</v>
      </c>
      <c r="C8" s="503">
        <f>MAX(H9:M9)</f>
        <v>2.9471284684229722E-2</v>
      </c>
      <c r="D8" s="503">
        <f>AVERAGE(G9:L9)</f>
        <v>2.9272490834744629E-2</v>
      </c>
      <c r="E8" s="504">
        <f>MIN(H9:M9)</f>
        <v>2.9001346021705777E-2</v>
      </c>
      <c r="G8" s="79" t="s">
        <v>38</v>
      </c>
      <c r="H8" s="70"/>
      <c r="I8" s="193">
        <f>I7/H7-1</f>
        <v>0.39390623684875004</v>
      </c>
      <c r="J8" s="193">
        <f t="shared" ref="J8" si="2">J7/I7-1</f>
        <v>0.31519835758710224</v>
      </c>
      <c r="K8" s="193">
        <f t="shared" ref="K8" si="3">K7/J7-1</f>
        <v>0.29553280381984304</v>
      </c>
      <c r="L8" s="193">
        <f t="shared" ref="L8:M8" si="4">L7/K7-1</f>
        <v>0.25497909136012464</v>
      </c>
      <c r="M8" s="193">
        <f t="shared" si="4"/>
        <v>2.5160251884901008E-2</v>
      </c>
      <c r="N8" s="192">
        <f>CHOOSE('DCF Main'!$D$2, D6,C6,E6)</f>
        <v>0.31490412240395499</v>
      </c>
      <c r="O8" s="193">
        <f>N8+CHOOSE('DCF Main'!$D$2, $D$7,$C$7,$E$7)</f>
        <v>0.30490412240395498</v>
      </c>
      <c r="P8" s="193">
        <f>O8+CHOOSE('DCF Main'!$D$2, $D$7,$C$7,$E$7)</f>
        <v>0.29490412240395497</v>
      </c>
      <c r="Q8" s="193">
        <f>P8+CHOOSE('DCF Main'!$D$2, $D$7,$C$7,$E$7)</f>
        <v>0.28490412240395496</v>
      </c>
      <c r="R8" s="193">
        <f>Q8+CHOOSE('DCF Main'!$D$2, $D$7,$C$7,$E$7)</f>
        <v>0.27490412240395495</v>
      </c>
      <c r="S8" s="193">
        <f>R8+CHOOSE('DCF Main'!$D$2, $D$7,$C$7,$E$7)</f>
        <v>0.26490412240395494</v>
      </c>
      <c r="T8" s="194">
        <f>S8+CHOOSE('DCF Main'!$D$2, $D$7,$C$7,$E$7)</f>
        <v>0.25490412240395494</v>
      </c>
    </row>
    <row r="9" spans="2:20">
      <c r="B9" s="81" t="s">
        <v>94</v>
      </c>
      <c r="C9" s="205">
        <f>D9</f>
        <v>-5.0000000000000001E-4</v>
      </c>
      <c r="D9" s="205">
        <v>-5.0000000000000001E-4</v>
      </c>
      <c r="E9" s="505">
        <f>D9</f>
        <v>-5.0000000000000001E-4</v>
      </c>
      <c r="G9" s="81" t="s">
        <v>125</v>
      </c>
      <c r="H9" s="188">
        <f>H10/H7</f>
        <v>2.9471284684229722E-2</v>
      </c>
      <c r="I9" s="188">
        <f t="shared" ref="I9:L9" si="5">I10/I7</f>
        <v>2.9309019181611419E-2</v>
      </c>
      <c r="J9" s="188">
        <f t="shared" si="5"/>
        <v>2.9386070428354987E-2</v>
      </c>
      <c r="K9" s="188">
        <f t="shared" si="5"/>
        <v>2.9194733857821249E-2</v>
      </c>
      <c r="L9" s="188">
        <f t="shared" si="5"/>
        <v>2.9001346021705777E-2</v>
      </c>
      <c r="M9" s="188">
        <f t="shared" ref="M9" si="6">M10/M7</f>
        <v>2.9364505288673428E-2</v>
      </c>
      <c r="N9" s="346">
        <f>CHOOSE('DCF Main'!$D$2, D8,C8,E8)</f>
        <v>2.9272490834744629E-2</v>
      </c>
      <c r="O9" s="188">
        <f>N9+CHOOSE('DCF Main'!$D$2, $D$9,$C$9,$E$9)</f>
        <v>2.8772490834744629E-2</v>
      </c>
      <c r="P9" s="188">
        <f>O9+CHOOSE('DCF Main'!$D$2, $D$9,$C$9,$E$9)</f>
        <v>2.8272490834744628E-2</v>
      </c>
      <c r="Q9" s="188">
        <f>P9+CHOOSE('DCF Main'!$D$2, $D$9,$C$9,$E$9)</f>
        <v>2.7772490834744628E-2</v>
      </c>
      <c r="R9" s="188">
        <f>Q9+CHOOSE('DCF Main'!$D$2, $D$9,$C$9,$E$9)</f>
        <v>2.7272490834744628E-2</v>
      </c>
      <c r="S9" s="188">
        <f>R9+CHOOSE('DCF Main'!$D$2, $D$9,$C$9,$E$9)</f>
        <v>2.6772490834744627E-2</v>
      </c>
      <c r="T9" s="189">
        <f>S9+CHOOSE('DCF Main'!$D$2, $D$9,$C$9,$E$9)</f>
        <v>2.6272490834744627E-2</v>
      </c>
    </row>
    <row r="10" spans="2:20">
      <c r="G10" s="109" t="s">
        <v>126</v>
      </c>
      <c r="H10" s="67">
        <f>IS!B18</f>
        <v>1050.4449999999999</v>
      </c>
      <c r="I10" s="68">
        <f>IS!C18</f>
        <v>1456.16</v>
      </c>
      <c r="J10" s="68">
        <f>IS!D18</f>
        <v>1920.174</v>
      </c>
      <c r="K10" s="68">
        <f>IS!E18</f>
        <v>2471.451</v>
      </c>
      <c r="L10" s="68">
        <f>IS!F18</f>
        <v>3081.0740000000001</v>
      </c>
      <c r="M10" s="68">
        <f>IS!G18</f>
        <v>3198.1470000000004</v>
      </c>
      <c r="N10" s="67">
        <f>N7*N9</f>
        <v>4192.0793913478055</v>
      </c>
      <c r="O10" s="68">
        <f t="shared" ref="O10:T10" si="7">O7*O9</f>
        <v>5376.8247778229961</v>
      </c>
      <c r="P10" s="68">
        <f t="shared" si="7"/>
        <v>6841.4807414503293</v>
      </c>
      <c r="Q10" s="68">
        <f t="shared" si="7"/>
        <v>8635.1839084391086</v>
      </c>
      <c r="R10" s="68">
        <f t="shared" si="7"/>
        <v>10810.831271007355</v>
      </c>
      <c r="S10" s="68">
        <f t="shared" si="7"/>
        <v>13423.960675432161</v>
      </c>
      <c r="T10" s="69">
        <f t="shared" si="7"/>
        <v>16531.173648342636</v>
      </c>
    </row>
    <row r="11" spans="2:20">
      <c r="C11" s="450"/>
      <c r="G11" s="81" t="s">
        <v>38</v>
      </c>
      <c r="H11" s="71"/>
      <c r="I11" s="190">
        <f>I10/H10-1</f>
        <v>0.38623154948617033</v>
      </c>
      <c r="J11" s="190">
        <f t="shared" ref="J11:T11" si="8">J10/I10-1</f>
        <v>0.31865591693220519</v>
      </c>
      <c r="K11" s="190">
        <f t="shared" si="8"/>
        <v>0.28709741929637622</v>
      </c>
      <c r="L11" s="190">
        <f t="shared" si="8"/>
        <v>0.2466660273661101</v>
      </c>
      <c r="M11" s="190">
        <f t="shared" si="8"/>
        <v>3.79974645204888E-2</v>
      </c>
      <c r="N11" s="199">
        <f>N10/M10-1</f>
        <v>0.31078383556096867</v>
      </c>
      <c r="O11" s="190">
        <f t="shared" si="8"/>
        <v>0.28261520736473456</v>
      </c>
      <c r="P11" s="190">
        <f t="shared" si="8"/>
        <v>0.27240165416369644</v>
      </c>
      <c r="Q11" s="190">
        <f t="shared" si="8"/>
        <v>0.26218054757083631</v>
      </c>
      <c r="R11" s="190">
        <f t="shared" si="8"/>
        <v>0.25195147962535014</v>
      </c>
      <c r="S11" s="190">
        <f t="shared" si="8"/>
        <v>0.24171401244904578</v>
      </c>
      <c r="T11" s="191">
        <f t="shared" si="8"/>
        <v>0.23146767545268032</v>
      </c>
    </row>
    <row r="13" spans="2:20" ht="16" thickBot="1">
      <c r="B13" s="77" t="s">
        <v>127</v>
      </c>
      <c r="C13" s="75" t="s">
        <v>89</v>
      </c>
      <c r="D13" s="75" t="s">
        <v>90</v>
      </c>
      <c r="E13" s="76" t="s">
        <v>91</v>
      </c>
      <c r="G13" s="58" t="s">
        <v>128</v>
      </c>
      <c r="H13" s="59"/>
      <c r="I13" s="59"/>
      <c r="J13" s="59"/>
      <c r="K13" s="59"/>
      <c r="L13" s="59"/>
      <c r="M13" s="59"/>
      <c r="N13" s="60"/>
      <c r="O13" s="61"/>
      <c r="P13" s="61"/>
      <c r="Q13" s="61"/>
      <c r="R13" s="59"/>
      <c r="S13" s="59"/>
      <c r="T13" s="62"/>
    </row>
    <row r="14" spans="2:20">
      <c r="B14" s="78" t="s">
        <v>129</v>
      </c>
      <c r="C14" s="355">
        <v>0.6</v>
      </c>
      <c r="D14" s="355">
        <v>0.5</v>
      </c>
      <c r="E14" s="454">
        <v>0.42</v>
      </c>
      <c r="G14" s="72" t="s">
        <v>93</v>
      </c>
      <c r="H14" s="65">
        <v>2015</v>
      </c>
      <c r="I14" s="65">
        <f>H14+1</f>
        <v>2016</v>
      </c>
      <c r="J14" s="65">
        <f t="shared" ref="J14:S14" si="9">I14+1</f>
        <v>2017</v>
      </c>
      <c r="K14" s="65">
        <f t="shared" si="9"/>
        <v>2018</v>
      </c>
      <c r="L14" s="65">
        <f t="shared" si="9"/>
        <v>2019</v>
      </c>
      <c r="M14" s="65">
        <f t="shared" si="9"/>
        <v>2020</v>
      </c>
      <c r="N14" s="128">
        <f>M14+1</f>
        <v>2021</v>
      </c>
      <c r="O14" s="65">
        <f t="shared" si="9"/>
        <v>2022</v>
      </c>
      <c r="P14" s="65">
        <f t="shared" si="9"/>
        <v>2023</v>
      </c>
      <c r="Q14" s="65">
        <f t="shared" si="9"/>
        <v>2024</v>
      </c>
      <c r="R14" s="65">
        <f t="shared" si="9"/>
        <v>2025</v>
      </c>
      <c r="S14" s="65">
        <f t="shared" si="9"/>
        <v>2026</v>
      </c>
      <c r="T14" s="129">
        <f t="shared" ref="T14" si="10">S14+1</f>
        <v>2027</v>
      </c>
    </row>
    <row r="15" spans="2:20">
      <c r="B15" s="81" t="s">
        <v>94</v>
      </c>
      <c r="C15" s="356">
        <v>-6.5000000000000002E-2</v>
      </c>
      <c r="D15" s="356">
        <v>-0.04</v>
      </c>
      <c r="E15" s="453">
        <v>-3.5000000000000003E-2</v>
      </c>
      <c r="G15" s="66" t="s">
        <v>130</v>
      </c>
      <c r="H15" s="95">
        <f>IS!B19</f>
        <v>58.012999999999998</v>
      </c>
      <c r="I15" s="92">
        <f>IS!C19</f>
        <v>129.351</v>
      </c>
      <c r="J15" s="92">
        <f>IS!D19</f>
        <v>252.66399999999999</v>
      </c>
      <c r="K15" s="92">
        <f>IS!E19</f>
        <v>591.70600000000002</v>
      </c>
      <c r="L15" s="92">
        <f>IS!F19</f>
        <v>1031.4559999999999</v>
      </c>
      <c r="M15" s="93">
        <f>IS!G19</f>
        <v>1371.4469999999999</v>
      </c>
      <c r="N15" s="95">
        <f>M15*(1+N16)</f>
        <v>2057.1704999999997</v>
      </c>
      <c r="O15" s="92">
        <f t="shared" ref="O15:T15" si="11">N15*(1+O16)</f>
        <v>3003.4689299999995</v>
      </c>
      <c r="P15" s="92">
        <f t="shared" si="11"/>
        <v>4264.9258805999989</v>
      </c>
      <c r="Q15" s="92">
        <f t="shared" si="11"/>
        <v>5885.5977152279993</v>
      </c>
      <c r="R15" s="92">
        <f t="shared" si="11"/>
        <v>7886.7009384055191</v>
      </c>
      <c r="S15" s="92">
        <f t="shared" si="11"/>
        <v>10252.711219927176</v>
      </c>
      <c r="T15" s="93">
        <f t="shared" si="11"/>
        <v>12918.416137108245</v>
      </c>
    </row>
    <row r="16" spans="2:20">
      <c r="G16" s="57" t="s">
        <v>38</v>
      </c>
      <c r="H16" s="71"/>
      <c r="I16" s="190">
        <f>I15/H15-1</f>
        <v>1.2296898970920314</v>
      </c>
      <c r="J16" s="190">
        <f t="shared" ref="J16" si="12">J15/I15-1</f>
        <v>0.95332080927089846</v>
      </c>
      <c r="K16" s="190">
        <f t="shared" ref="K16" si="13">K15/J15-1</f>
        <v>1.3418690434727547</v>
      </c>
      <c r="L16" s="190">
        <f t="shared" ref="L16:M16" si="14">L15/K15-1</f>
        <v>0.74319003018390872</v>
      </c>
      <c r="M16" s="191">
        <f t="shared" si="14"/>
        <v>0.32962239785313185</v>
      </c>
      <c r="N16" s="199">
        <f>CHOOSE('DCF Main'!$D$2, D14,C14,E14)</f>
        <v>0.5</v>
      </c>
      <c r="O16" s="190">
        <f>N16+CHOOSE('DCF Main'!$D$2, $D$15,$C$15,$E$15)</f>
        <v>0.46</v>
      </c>
      <c r="P16" s="190">
        <f>O16+CHOOSE('DCF Main'!$D$2, $D$15,$C$15,$E$15)</f>
        <v>0.42000000000000004</v>
      </c>
      <c r="Q16" s="190">
        <f>P16+CHOOSE('DCF Main'!$D$2, $D$15,$C$15,$E$15)</f>
        <v>0.38000000000000006</v>
      </c>
      <c r="R16" s="190">
        <f>Q16+CHOOSE('DCF Main'!$D$2, $D$15,$C$15,$E$15)</f>
        <v>0.34000000000000008</v>
      </c>
      <c r="S16" s="190">
        <f>R16+CHOOSE('DCF Main'!$D$2, $D$15,$C$15,$E$15)</f>
        <v>0.3000000000000001</v>
      </c>
      <c r="T16" s="191">
        <f>S16+CHOOSE('DCF Main'!$D$2, $D$15,$C$15,$E$15)</f>
        <v>0.26000000000000012</v>
      </c>
    </row>
    <row r="18" spans="2:33" ht="16" thickBot="1">
      <c r="B18" s="77" t="s">
        <v>131</v>
      </c>
      <c r="C18" s="75" t="s">
        <v>89</v>
      </c>
      <c r="D18" s="75" t="s">
        <v>90</v>
      </c>
      <c r="E18" s="76" t="s">
        <v>91</v>
      </c>
      <c r="G18" s="58" t="s">
        <v>132</v>
      </c>
      <c r="H18" s="59"/>
      <c r="I18" s="59"/>
      <c r="J18" s="59"/>
      <c r="K18" s="59"/>
      <c r="L18" s="59"/>
      <c r="M18" s="59"/>
      <c r="N18" s="60"/>
      <c r="O18" s="61"/>
      <c r="P18" s="61"/>
      <c r="Q18" s="61"/>
      <c r="R18" s="59"/>
      <c r="S18" s="59"/>
      <c r="T18" s="62"/>
    </row>
    <row r="19" spans="2:33">
      <c r="B19" s="78" t="s">
        <v>133</v>
      </c>
      <c r="C19" s="458">
        <f>0.6</f>
        <v>0.6</v>
      </c>
      <c r="D19" s="355">
        <f>AVERAGE(I21:M21)</f>
        <v>0.51752442574754254</v>
      </c>
      <c r="E19" s="452">
        <f>0.4</f>
        <v>0.4</v>
      </c>
      <c r="G19" s="72" t="s">
        <v>93</v>
      </c>
      <c r="H19" s="65">
        <v>2015</v>
      </c>
      <c r="I19" s="65">
        <f>H19+1</f>
        <v>2016</v>
      </c>
      <c r="J19" s="65">
        <f t="shared" ref="J19:S19" si="15">I19+1</f>
        <v>2017</v>
      </c>
      <c r="K19" s="65">
        <f t="shared" si="15"/>
        <v>2018</v>
      </c>
      <c r="L19" s="65">
        <f t="shared" si="15"/>
        <v>2019</v>
      </c>
      <c r="M19" s="65">
        <f t="shared" si="15"/>
        <v>2020</v>
      </c>
      <c r="N19" s="128">
        <f>M19+1</f>
        <v>2021</v>
      </c>
      <c r="O19" s="65">
        <f t="shared" si="15"/>
        <v>2022</v>
      </c>
      <c r="P19" s="65">
        <f t="shared" si="15"/>
        <v>2023</v>
      </c>
      <c r="Q19" s="65">
        <f t="shared" si="15"/>
        <v>2024</v>
      </c>
      <c r="R19" s="65">
        <f t="shared" si="15"/>
        <v>2025</v>
      </c>
      <c r="S19" s="65">
        <f t="shared" si="15"/>
        <v>2026</v>
      </c>
      <c r="T19" s="129">
        <f t="shared" ref="T19" si="16">S19+1</f>
        <v>2027</v>
      </c>
    </row>
    <row r="20" spans="2:33">
      <c r="B20" s="81" t="s">
        <v>94</v>
      </c>
      <c r="C20" s="356">
        <v>-6.5000000000000002E-2</v>
      </c>
      <c r="D20" s="356">
        <v>-6.5000000000000002E-2</v>
      </c>
      <c r="E20" s="453">
        <v>-6.5000000000000002E-2</v>
      </c>
      <c r="G20" s="66" t="s">
        <v>134</v>
      </c>
      <c r="H20" s="95">
        <f>IS!B20</f>
        <v>16.376999999999999</v>
      </c>
      <c r="I20" s="92">
        <f>IS!C20</f>
        <v>44.307000000000002</v>
      </c>
      <c r="J20" s="92">
        <f>IS!D20</f>
        <v>41.414999999999999</v>
      </c>
      <c r="K20" s="92">
        <f>IS!E20</f>
        <v>68.503</v>
      </c>
      <c r="L20" s="92">
        <f>IS!F20</f>
        <v>84.504999999999995</v>
      </c>
      <c r="M20" s="93">
        <f>IS!G20</f>
        <v>89.557999999999993</v>
      </c>
      <c r="N20" s="95">
        <f>M20*(1+N21)</f>
        <v>135.9064525210984</v>
      </c>
      <c r="O20" s="92">
        <f t="shared" ref="O20" si="17">N20*(1+O21)</f>
        <v>197.4074419035941</v>
      </c>
      <c r="P20" s="92">
        <f t="shared" ref="P20" si="18">O20*(1+P21)</f>
        <v>273.90764746557579</v>
      </c>
      <c r="Q20" s="92">
        <f t="shared" ref="Q20" si="19">P20*(1+Q21)</f>
        <v>362.24955417227096</v>
      </c>
      <c r="R20" s="92">
        <f t="shared" ref="R20" si="20">Q20*(1+R21)</f>
        <v>455.53766258778836</v>
      </c>
      <c r="S20" s="92">
        <f t="shared" ref="S20:T20" si="21">R20*(1+S21)</f>
        <v>543.23978948388003</v>
      </c>
      <c r="T20" s="93">
        <f t="shared" si="21"/>
        <v>612.51613168102767</v>
      </c>
    </row>
    <row r="21" spans="2:33">
      <c r="G21" s="57" t="s">
        <v>38</v>
      </c>
      <c r="H21" s="71"/>
      <c r="I21" s="190">
        <f>I20/H20-1</f>
        <v>1.7054405568785493</v>
      </c>
      <c r="J21" s="190">
        <f t="shared" ref="J21" si="22">J20/I20-1</f>
        <v>-6.5271853206039787E-2</v>
      </c>
      <c r="K21" s="190">
        <f t="shared" ref="K21" si="23">K20/J20-1</f>
        <v>0.65406253772787637</v>
      </c>
      <c r="L21" s="190">
        <f t="shared" ref="L21:M21" si="24">L20/K20-1</f>
        <v>0.23359560895143261</v>
      </c>
      <c r="M21" s="191">
        <f t="shared" si="24"/>
        <v>5.9795278385894379E-2</v>
      </c>
      <c r="N21" s="199">
        <f>CHOOSE('DCF Main'!$D$2, D19,C19,E19)</f>
        <v>0.51752442574754254</v>
      </c>
      <c r="O21" s="190">
        <f>N21+CHOOSE('DCF Main'!$D$2, $D$20,$C$20,$E$20)</f>
        <v>0.45252442574754254</v>
      </c>
      <c r="P21" s="190">
        <f>O21+CHOOSE('DCF Main'!$D$2, $D$20,$C$20,$E$20)</f>
        <v>0.38752442574754253</v>
      </c>
      <c r="Q21" s="190">
        <f>P21+CHOOSE('DCF Main'!$D$2, $D$20,$C$20,$E$20)</f>
        <v>0.32252442574754253</v>
      </c>
      <c r="R21" s="190">
        <f>Q21+CHOOSE('DCF Main'!$D$2, $D$20,$C$20,$E$20)</f>
        <v>0.25752442574754253</v>
      </c>
      <c r="S21" s="190">
        <f>R21+CHOOSE('DCF Main'!$D$2, $D$20,$C$20,$E$20)</f>
        <v>0.19252442574754253</v>
      </c>
      <c r="T21" s="191">
        <f>S21+CHOOSE('DCF Main'!$D$2, $D$20,$C$20,$E$20)</f>
        <v>0.12752442574754252</v>
      </c>
    </row>
    <row r="23" spans="2:33" ht="16" thickBot="1">
      <c r="B23" s="77" t="s">
        <v>135</v>
      </c>
      <c r="C23" s="75" t="s">
        <v>89</v>
      </c>
      <c r="D23" s="75" t="s">
        <v>90</v>
      </c>
      <c r="E23" s="76" t="s">
        <v>91</v>
      </c>
      <c r="G23" s="58" t="s">
        <v>136</v>
      </c>
      <c r="H23" s="59"/>
      <c r="I23" s="59"/>
      <c r="J23" s="59"/>
      <c r="K23" s="59"/>
      <c r="L23" s="59"/>
      <c r="M23" s="59"/>
      <c r="N23" s="60"/>
      <c r="O23" s="61"/>
      <c r="P23" s="61"/>
      <c r="Q23" s="61"/>
      <c r="R23" s="59"/>
      <c r="S23" s="59"/>
      <c r="T23" s="62"/>
    </row>
    <row r="24" spans="2:33">
      <c r="B24" s="78" t="s">
        <v>137</v>
      </c>
      <c r="C24" s="355">
        <v>1</v>
      </c>
      <c r="D24" s="355">
        <v>0.8</v>
      </c>
      <c r="E24" s="454">
        <v>0.7</v>
      </c>
      <c r="G24" s="72" t="s">
        <v>93</v>
      </c>
      <c r="H24" s="65">
        <v>2015</v>
      </c>
      <c r="I24" s="65">
        <f>H24+1</f>
        <v>2016</v>
      </c>
      <c r="J24" s="65">
        <f t="shared" ref="J24:S24" si="25">I24+1</f>
        <v>2017</v>
      </c>
      <c r="K24" s="65">
        <f t="shared" si="25"/>
        <v>2018</v>
      </c>
      <c r="L24" s="65">
        <f t="shared" si="25"/>
        <v>2019</v>
      </c>
      <c r="M24" s="65">
        <f t="shared" si="25"/>
        <v>2020</v>
      </c>
      <c r="N24" s="128">
        <f>M24+1</f>
        <v>2021</v>
      </c>
      <c r="O24" s="65">
        <f t="shared" si="25"/>
        <v>2022</v>
      </c>
      <c r="P24" s="65">
        <f t="shared" si="25"/>
        <v>2023</v>
      </c>
      <c r="Q24" s="65">
        <f t="shared" si="25"/>
        <v>2024</v>
      </c>
      <c r="R24" s="65">
        <f t="shared" si="25"/>
        <v>2025</v>
      </c>
      <c r="S24" s="65">
        <f t="shared" si="25"/>
        <v>2026</v>
      </c>
      <c r="T24" s="129">
        <f t="shared" ref="T24" si="26">S24+1</f>
        <v>2027</v>
      </c>
      <c r="V24" s="455"/>
    </row>
    <row r="25" spans="2:33">
      <c r="B25" s="81" t="s">
        <v>138</v>
      </c>
      <c r="C25" s="356">
        <v>-0.45</v>
      </c>
      <c r="D25" s="356">
        <v>-0.45</v>
      </c>
      <c r="E25" s="453">
        <v>-0.5</v>
      </c>
      <c r="G25" s="66" t="s">
        <v>139</v>
      </c>
      <c r="H25" s="95">
        <f>IS!B21</f>
        <v>0</v>
      </c>
      <c r="I25" s="92">
        <f>IS!C21</f>
        <v>0</v>
      </c>
      <c r="J25" s="92">
        <f>IS!D21</f>
        <v>0</v>
      </c>
      <c r="K25" s="92">
        <f>IS!E21</f>
        <v>166.517</v>
      </c>
      <c r="L25" s="92">
        <f>IS!F21</f>
        <v>516.46500000000003</v>
      </c>
      <c r="M25" s="93">
        <f>IS!G21</f>
        <v>2992.8850000000002</v>
      </c>
      <c r="N25" s="95">
        <f>M25*(1+N26)</f>
        <v>5387.1930000000002</v>
      </c>
      <c r="O25" s="92">
        <f t="shared" ref="O25" si="27">N25*(1+O26)</f>
        <v>7757.5579200000002</v>
      </c>
      <c r="P25" s="92">
        <f t="shared" ref="P25" si="28">O25*(1+P26)</f>
        <v>9634.8869366399995</v>
      </c>
      <c r="Q25" s="92">
        <f t="shared" ref="Q25" si="29">P25*(1+Q26)</f>
        <v>10917.290387906784</v>
      </c>
      <c r="R25" s="92">
        <f t="shared" ref="R25" si="30">Q25*(1+R26)</f>
        <v>11716.490630753498</v>
      </c>
      <c r="S25" s="92">
        <f t="shared" ref="S25:T25" si="31">R25*(1+S26)</f>
        <v>12188.22876389687</v>
      </c>
      <c r="T25" s="93">
        <f t="shared" si="31"/>
        <v>12458.131148111843</v>
      </c>
    </row>
    <row r="26" spans="2:33">
      <c r="G26" s="57" t="s">
        <v>38</v>
      </c>
      <c r="H26" s="71"/>
      <c r="I26" s="190"/>
      <c r="J26" s="190"/>
      <c r="K26" s="190"/>
      <c r="L26" s="190">
        <f t="shared" ref="L26:M26" si="32">L25/K25-1</f>
        <v>2.1015752145426596</v>
      </c>
      <c r="M26" s="191">
        <f t="shared" si="32"/>
        <v>4.7949425420890091</v>
      </c>
      <c r="N26" s="199">
        <f>CHOOSE('DCF Main'!$D$2, D24,C24,E24)</f>
        <v>0.8</v>
      </c>
      <c r="O26" s="190">
        <f>N26*(1+CHOOSE('DCF Main'!$D$2, $D$25,$C$25,$E$25))</f>
        <v>0.44000000000000006</v>
      </c>
      <c r="P26" s="190">
        <f>O26*(1+CHOOSE('DCF Main'!$D$2, $D$25,$C$25,$E$25))</f>
        <v>0.24200000000000005</v>
      </c>
      <c r="Q26" s="190">
        <f>P26*(1+CHOOSE('DCF Main'!$D$2, $D$25,$C$25,$E$25))</f>
        <v>0.13310000000000002</v>
      </c>
      <c r="R26" s="190">
        <f>Q26*(1+CHOOSE('DCF Main'!$D$2, $D$25,$C$25,$E$25))</f>
        <v>7.320500000000002E-2</v>
      </c>
      <c r="S26" s="190">
        <f>R26*(1+CHOOSE('DCF Main'!$D$2, $D$25,$C$25,$E$25))</f>
        <v>4.0262750000000014E-2</v>
      </c>
      <c r="T26" s="191">
        <f>S26*(1+CHOOSE('DCF Main'!$D$2, $D$25,$C$25,$E$25))</f>
        <v>2.2144512500000008E-2</v>
      </c>
    </row>
    <row r="27" spans="2:33">
      <c r="E27" s="455"/>
    </row>
    <row r="28" spans="2:33" ht="16" thickBot="1">
      <c r="G28" s="55" t="s">
        <v>140</v>
      </c>
      <c r="H28" s="96"/>
      <c r="I28" s="96"/>
      <c r="J28" s="96"/>
      <c r="K28" s="96"/>
      <c r="L28" s="59"/>
      <c r="M28" s="96"/>
      <c r="N28" s="97">
        <v>1</v>
      </c>
      <c r="O28" s="97">
        <v>2</v>
      </c>
      <c r="P28" s="97">
        <v>3</v>
      </c>
      <c r="Q28" s="97">
        <v>4</v>
      </c>
      <c r="R28" s="59"/>
      <c r="S28" s="59"/>
      <c r="T28" s="62"/>
    </row>
    <row r="29" spans="2:33">
      <c r="G29" s="63" t="s">
        <v>93</v>
      </c>
      <c r="H29" s="64">
        <v>2015</v>
      </c>
      <c r="I29" s="65">
        <f>H29+1</f>
        <v>2016</v>
      </c>
      <c r="J29" s="65">
        <f t="shared" ref="J29:S29" si="33">I29+1</f>
        <v>2017</v>
      </c>
      <c r="K29" s="65">
        <f t="shared" si="33"/>
        <v>2018</v>
      </c>
      <c r="L29" s="65">
        <f t="shared" si="33"/>
        <v>2019</v>
      </c>
      <c r="M29" s="65">
        <f t="shared" si="33"/>
        <v>2020</v>
      </c>
      <c r="N29" s="128">
        <f>M29+1</f>
        <v>2021</v>
      </c>
      <c r="O29" s="65">
        <f t="shared" si="33"/>
        <v>2022</v>
      </c>
      <c r="P29" s="65">
        <f t="shared" si="33"/>
        <v>2023</v>
      </c>
      <c r="Q29" s="65">
        <f t="shared" si="33"/>
        <v>2024</v>
      </c>
      <c r="R29" s="65">
        <f t="shared" si="33"/>
        <v>2025</v>
      </c>
      <c r="S29" s="65">
        <f t="shared" si="33"/>
        <v>2026</v>
      </c>
      <c r="T29" s="129">
        <f t="shared" ref="T29" si="34">S29+1</f>
        <v>2027</v>
      </c>
    </row>
    <row r="30" spans="2:33">
      <c r="G30" s="56" t="s">
        <v>141</v>
      </c>
      <c r="H30" s="98">
        <f>H10</f>
        <v>1050.4449999999999</v>
      </c>
      <c r="I30" s="99">
        <f t="shared" ref="I30:S30" si="35">I10</f>
        <v>1456.16</v>
      </c>
      <c r="J30" s="99">
        <f t="shared" si="35"/>
        <v>1920.174</v>
      </c>
      <c r="K30" s="99">
        <f t="shared" si="35"/>
        <v>2471.451</v>
      </c>
      <c r="L30" s="99">
        <f t="shared" si="35"/>
        <v>3081.0740000000001</v>
      </c>
      <c r="M30" s="99">
        <f t="shared" ref="M30" si="36">M10</f>
        <v>3198.1470000000004</v>
      </c>
      <c r="N30" s="98">
        <f t="shared" si="35"/>
        <v>4192.0793913478055</v>
      </c>
      <c r="O30" s="99">
        <f t="shared" si="35"/>
        <v>5376.8247778229961</v>
      </c>
      <c r="P30" s="99">
        <f t="shared" si="35"/>
        <v>6841.4807414503293</v>
      </c>
      <c r="Q30" s="99">
        <f t="shared" si="35"/>
        <v>8635.1839084391086</v>
      </c>
      <c r="R30" s="99">
        <f t="shared" si="35"/>
        <v>10810.831271007355</v>
      </c>
      <c r="S30" s="99">
        <f t="shared" si="35"/>
        <v>13423.960675432161</v>
      </c>
      <c r="T30" s="100">
        <f t="shared" ref="T30" si="37">T10</f>
        <v>16531.173648342636</v>
      </c>
      <c r="U30" s="368"/>
      <c r="V30" s="368"/>
      <c r="W30" s="368"/>
      <c r="X30" s="368"/>
      <c r="Y30" s="368"/>
      <c r="Z30" s="368"/>
      <c r="AA30" s="368"/>
      <c r="AB30" s="368"/>
      <c r="AC30" s="368"/>
      <c r="AD30" s="368"/>
      <c r="AE30" s="368"/>
      <c r="AF30" s="368"/>
      <c r="AG30" s="368"/>
    </row>
    <row r="31" spans="2:33">
      <c r="G31" s="66" t="s">
        <v>130</v>
      </c>
      <c r="H31" s="102">
        <f>H15</f>
        <v>58.012999999999998</v>
      </c>
      <c r="I31" s="103">
        <f t="shared" ref="I31:S31" si="38">I15</f>
        <v>129.351</v>
      </c>
      <c r="J31" s="103">
        <f t="shared" si="38"/>
        <v>252.66399999999999</v>
      </c>
      <c r="K31" s="103">
        <f t="shared" si="38"/>
        <v>591.70600000000002</v>
      </c>
      <c r="L31" s="103">
        <f t="shared" si="38"/>
        <v>1031.4559999999999</v>
      </c>
      <c r="M31" s="198">
        <f t="shared" ref="M31" si="39">M15</f>
        <v>1371.4469999999999</v>
      </c>
      <c r="N31" s="102">
        <f t="shared" si="38"/>
        <v>2057.1704999999997</v>
      </c>
      <c r="O31" s="103">
        <f t="shared" si="38"/>
        <v>3003.4689299999995</v>
      </c>
      <c r="P31" s="103">
        <f t="shared" si="38"/>
        <v>4264.9258805999989</v>
      </c>
      <c r="Q31" s="103">
        <f t="shared" si="38"/>
        <v>5885.5977152279993</v>
      </c>
      <c r="R31" s="103">
        <f t="shared" si="38"/>
        <v>7886.7009384055191</v>
      </c>
      <c r="S31" s="103">
        <f t="shared" si="38"/>
        <v>10252.711219927176</v>
      </c>
      <c r="T31" s="104">
        <f t="shared" ref="T31" si="40">T15</f>
        <v>12918.416137108245</v>
      </c>
      <c r="U31" s="368"/>
      <c r="V31" s="368"/>
      <c r="W31" s="368"/>
      <c r="X31" s="368"/>
      <c r="Y31" s="368"/>
      <c r="Z31" s="368"/>
      <c r="AA31" s="368"/>
      <c r="AB31" s="368"/>
      <c r="AC31" s="368"/>
      <c r="AD31" s="368"/>
      <c r="AE31" s="368"/>
      <c r="AF31" s="368"/>
      <c r="AG31" s="368"/>
    </row>
    <row r="32" spans="2:33">
      <c r="G32" s="66" t="s">
        <v>134</v>
      </c>
      <c r="H32" s="102">
        <f>H20</f>
        <v>16.376999999999999</v>
      </c>
      <c r="I32" s="103">
        <f t="shared" ref="I32:S32" si="41">I20</f>
        <v>44.307000000000002</v>
      </c>
      <c r="J32" s="103">
        <f t="shared" si="41"/>
        <v>41.414999999999999</v>
      </c>
      <c r="K32" s="103">
        <f t="shared" si="41"/>
        <v>68.503</v>
      </c>
      <c r="L32" s="103">
        <f t="shared" si="41"/>
        <v>84.504999999999995</v>
      </c>
      <c r="M32" s="198">
        <f t="shared" ref="M32" si="42">M20</f>
        <v>89.557999999999993</v>
      </c>
      <c r="N32" s="102">
        <f t="shared" si="41"/>
        <v>135.9064525210984</v>
      </c>
      <c r="O32" s="103">
        <f t="shared" si="41"/>
        <v>197.4074419035941</v>
      </c>
      <c r="P32" s="103">
        <f t="shared" si="41"/>
        <v>273.90764746557579</v>
      </c>
      <c r="Q32" s="103">
        <f t="shared" si="41"/>
        <v>362.24955417227096</v>
      </c>
      <c r="R32" s="103">
        <f t="shared" si="41"/>
        <v>455.53766258778836</v>
      </c>
      <c r="S32" s="103">
        <f t="shared" si="41"/>
        <v>543.23978948388003</v>
      </c>
      <c r="T32" s="104">
        <f t="shared" ref="T32" si="43">T20</f>
        <v>612.51613168102767</v>
      </c>
      <c r="U32" s="368"/>
      <c r="V32" s="368"/>
      <c r="W32" s="368"/>
      <c r="X32" s="368"/>
      <c r="Y32" s="368"/>
      <c r="Z32" s="368"/>
      <c r="AA32" s="368"/>
      <c r="AB32" s="368"/>
      <c r="AC32" s="368"/>
      <c r="AD32" s="368"/>
      <c r="AE32" s="368"/>
      <c r="AF32" s="368"/>
      <c r="AG32" s="368"/>
    </row>
    <row r="33" spans="2:33">
      <c r="G33" s="66" t="s">
        <v>139</v>
      </c>
      <c r="H33" s="102">
        <f>H25</f>
        <v>0</v>
      </c>
      <c r="I33" s="103">
        <f t="shared" ref="I33:S33" si="44">I25</f>
        <v>0</v>
      </c>
      <c r="J33" s="103">
        <f t="shared" si="44"/>
        <v>0</v>
      </c>
      <c r="K33" s="103">
        <f t="shared" si="44"/>
        <v>166.517</v>
      </c>
      <c r="L33" s="103">
        <f t="shared" si="44"/>
        <v>516.46500000000003</v>
      </c>
      <c r="M33" s="198">
        <f t="shared" ref="M33" si="45">M25</f>
        <v>2992.8850000000002</v>
      </c>
      <c r="N33" s="102">
        <f t="shared" si="44"/>
        <v>5387.1930000000002</v>
      </c>
      <c r="O33" s="103">
        <f t="shared" si="44"/>
        <v>7757.5579200000002</v>
      </c>
      <c r="P33" s="103">
        <f t="shared" si="44"/>
        <v>9634.8869366399995</v>
      </c>
      <c r="Q33" s="103">
        <f t="shared" si="44"/>
        <v>10917.290387906784</v>
      </c>
      <c r="R33" s="103">
        <f t="shared" si="44"/>
        <v>11716.490630753498</v>
      </c>
      <c r="S33" s="103">
        <f t="shared" si="44"/>
        <v>12188.22876389687</v>
      </c>
      <c r="T33" s="104">
        <f t="shared" ref="T33" si="46">T25</f>
        <v>12458.131148111843</v>
      </c>
      <c r="U33" s="368"/>
      <c r="V33" s="368"/>
      <c r="W33" s="368"/>
      <c r="X33" s="368"/>
      <c r="Y33" s="368"/>
      <c r="Z33" s="368"/>
      <c r="AA33" s="368"/>
      <c r="AB33" s="368"/>
      <c r="AC33" s="368"/>
      <c r="AD33" s="368"/>
      <c r="AE33" s="368"/>
      <c r="AF33" s="368"/>
      <c r="AG33" s="368"/>
    </row>
    <row r="34" spans="2:33">
      <c r="G34" s="66" t="s">
        <v>142</v>
      </c>
      <c r="H34" s="102">
        <f>IS!B22</f>
        <v>142.28299999999999</v>
      </c>
      <c r="I34" s="103">
        <f>IS!C22</f>
        <v>78.903000000000006</v>
      </c>
      <c r="J34" s="103">
        <f>IS!D22</f>
        <v>0</v>
      </c>
      <c r="K34" s="103">
        <f>IS!E22</f>
        <v>0</v>
      </c>
      <c r="L34" s="103">
        <f>IS!F22</f>
        <v>0</v>
      </c>
      <c r="M34" s="198">
        <f>IS!G22</f>
        <v>0</v>
      </c>
      <c r="N34" s="102">
        <f>IS!G22</f>
        <v>0</v>
      </c>
      <c r="O34" s="103">
        <f>IS!H22</f>
        <v>0</v>
      </c>
      <c r="P34" s="103">
        <f>IS!I22</f>
        <v>0</v>
      </c>
      <c r="Q34" s="103">
        <f>IS!J22</f>
        <v>0</v>
      </c>
      <c r="R34" s="103">
        <f>IS!K22</f>
        <v>0</v>
      </c>
      <c r="S34" s="103">
        <f>IS!L22</f>
        <v>0</v>
      </c>
      <c r="T34" s="104">
        <f>IS!M22</f>
        <v>0</v>
      </c>
    </row>
    <row r="35" spans="2:33">
      <c r="G35" s="94" t="s">
        <v>140</v>
      </c>
      <c r="H35" s="110">
        <f>SUM(H30:H34)</f>
        <v>1267.1179999999997</v>
      </c>
      <c r="I35" s="111">
        <f t="shared" ref="I35:T35" si="47">SUM(I30:I34)</f>
        <v>1708.721</v>
      </c>
      <c r="J35" s="111">
        <f t="shared" si="47"/>
        <v>2214.2529999999997</v>
      </c>
      <c r="K35" s="111">
        <f t="shared" si="47"/>
        <v>3298.1770000000001</v>
      </c>
      <c r="L35" s="111">
        <f t="shared" si="47"/>
        <v>4713.5</v>
      </c>
      <c r="M35" s="112">
        <f t="shared" ref="M35" si="48">SUM(M30:M34)</f>
        <v>7652.0370000000003</v>
      </c>
      <c r="N35" s="111">
        <f t="shared" si="47"/>
        <v>11772.349343868904</v>
      </c>
      <c r="O35" s="111">
        <f t="shared" si="47"/>
        <v>16335.259069726588</v>
      </c>
      <c r="P35" s="111">
        <f t="shared" si="47"/>
        <v>21015.201206155903</v>
      </c>
      <c r="Q35" s="111">
        <f t="shared" si="47"/>
        <v>25800.321565746162</v>
      </c>
      <c r="R35" s="111">
        <f t="shared" si="47"/>
        <v>30869.560502754161</v>
      </c>
      <c r="S35" s="111">
        <f t="shared" si="47"/>
        <v>36408.140448740087</v>
      </c>
      <c r="T35" s="112">
        <f t="shared" si="47"/>
        <v>42520.237065243753</v>
      </c>
    </row>
    <row r="36" spans="2:33">
      <c r="G36" s="81" t="s">
        <v>38</v>
      </c>
      <c r="H36" s="71"/>
      <c r="I36" s="190">
        <f>I35/H35-1</f>
        <v>0.34850976783535592</v>
      </c>
      <c r="J36" s="190">
        <f t="shared" ref="J36" si="49">J35/I35-1</f>
        <v>0.29585403351395567</v>
      </c>
      <c r="K36" s="190">
        <f t="shared" ref="K36" si="50">K35/J35-1</f>
        <v>0.4895212967985143</v>
      </c>
      <c r="L36" s="190">
        <f t="shared" ref="L36:M36" si="51">L35/K35-1</f>
        <v>0.42912281542197395</v>
      </c>
      <c r="M36" s="191">
        <f t="shared" si="51"/>
        <v>0.62342993529224566</v>
      </c>
      <c r="N36" s="190">
        <f>N35/M35-1</f>
        <v>0.53845954271639096</v>
      </c>
      <c r="O36" s="190">
        <f t="shared" ref="O36" si="52">O35/N35-1</f>
        <v>0.38759550813313814</v>
      </c>
      <c r="P36" s="190">
        <f t="shared" ref="P36" si="53">P35/O35-1</f>
        <v>0.28649329137989898</v>
      </c>
      <c r="Q36" s="190">
        <f t="shared" ref="Q36" si="54">Q35/P35-1</f>
        <v>0.22769805117014874</v>
      </c>
      <c r="R36" s="190">
        <f t="shared" ref="R36" si="55">R35/Q35-1</f>
        <v>0.1964796804601916</v>
      </c>
      <c r="S36" s="190">
        <f t="shared" ref="S36:T36" si="56">S35/R35-1</f>
        <v>0.17941881438486229</v>
      </c>
      <c r="T36" s="191">
        <f t="shared" si="56"/>
        <v>0.16787719837295834</v>
      </c>
    </row>
    <row r="39" spans="2:33" ht="16" thickBot="1">
      <c r="B39" s="113" t="s">
        <v>143</v>
      </c>
      <c r="C39" s="114" t="s">
        <v>89</v>
      </c>
      <c r="D39" s="114" t="s">
        <v>90</v>
      </c>
      <c r="E39" s="115" t="s">
        <v>91</v>
      </c>
      <c r="G39" s="118" t="s">
        <v>144</v>
      </c>
      <c r="H39" s="121"/>
      <c r="I39" s="121"/>
      <c r="J39" s="121"/>
      <c r="K39" s="121"/>
      <c r="L39" s="121"/>
      <c r="M39" s="121"/>
      <c r="N39" s="122"/>
      <c r="O39" s="123"/>
      <c r="P39" s="123"/>
      <c r="Q39" s="123"/>
      <c r="R39" s="121"/>
      <c r="S39" s="121"/>
      <c r="T39" s="124"/>
    </row>
    <row r="40" spans="2:33">
      <c r="B40" s="66" t="s">
        <v>145</v>
      </c>
      <c r="C40" s="116">
        <f>AVERAGE(H44:M44)+STDEV(H44:M44)</f>
        <v>0.38940875902587213</v>
      </c>
      <c r="D40" s="116">
        <f>AVERAGE(H44:M44)</f>
        <v>0.36979769874071544</v>
      </c>
      <c r="E40" s="116">
        <f>D40-STDEV(H44:M44)</f>
        <v>0.35018663845555875</v>
      </c>
      <c r="G40" s="63" t="s">
        <v>118</v>
      </c>
      <c r="H40" s="73">
        <v>2015</v>
      </c>
      <c r="I40" s="65">
        <f>H40+1</f>
        <v>2016</v>
      </c>
      <c r="J40" s="65">
        <f t="shared" ref="J40:S40" si="57">I40+1</f>
        <v>2017</v>
      </c>
      <c r="K40" s="65">
        <f t="shared" si="57"/>
        <v>2018</v>
      </c>
      <c r="L40" s="65">
        <f t="shared" si="57"/>
        <v>2019</v>
      </c>
      <c r="M40" s="65">
        <f t="shared" si="57"/>
        <v>2020</v>
      </c>
      <c r="N40" s="128">
        <f>M40+1</f>
        <v>2021</v>
      </c>
      <c r="O40" s="65">
        <f t="shared" si="57"/>
        <v>2022</v>
      </c>
      <c r="P40" s="65">
        <f t="shared" si="57"/>
        <v>2023</v>
      </c>
      <c r="Q40" s="65">
        <f t="shared" si="57"/>
        <v>2024</v>
      </c>
      <c r="R40" s="65">
        <f t="shared" si="57"/>
        <v>2025</v>
      </c>
      <c r="S40" s="65">
        <f t="shared" si="57"/>
        <v>2026</v>
      </c>
      <c r="T40" s="129">
        <f t="shared" ref="T40" si="58">S40+1</f>
        <v>2027</v>
      </c>
    </row>
    <row r="41" spans="2:33">
      <c r="B41" s="57" t="s">
        <v>94</v>
      </c>
      <c r="C41" s="117">
        <v>0</v>
      </c>
      <c r="D41" s="117">
        <f>0</f>
        <v>0</v>
      </c>
      <c r="E41" s="117">
        <v>0</v>
      </c>
      <c r="G41" s="125" t="s">
        <v>141</v>
      </c>
      <c r="H41" s="98">
        <f>H30</f>
        <v>1050.4449999999999</v>
      </c>
      <c r="I41" s="99">
        <f t="shared" ref="I41:S41" si="59">I30</f>
        <v>1456.16</v>
      </c>
      <c r="J41" s="99">
        <f t="shared" si="59"/>
        <v>1920.174</v>
      </c>
      <c r="K41" s="99">
        <f t="shared" si="59"/>
        <v>2471.451</v>
      </c>
      <c r="L41" s="99">
        <f t="shared" si="59"/>
        <v>3081.0740000000001</v>
      </c>
      <c r="M41" s="99">
        <f t="shared" ref="M41" si="60">M30</f>
        <v>3198.1470000000004</v>
      </c>
      <c r="N41" s="98">
        <f t="shared" si="59"/>
        <v>4192.0793913478055</v>
      </c>
      <c r="O41" s="99">
        <f t="shared" si="59"/>
        <v>5376.8247778229961</v>
      </c>
      <c r="P41" s="99">
        <f t="shared" si="59"/>
        <v>6841.4807414503293</v>
      </c>
      <c r="Q41" s="99">
        <f t="shared" si="59"/>
        <v>8635.1839084391086</v>
      </c>
      <c r="R41" s="99">
        <f t="shared" si="59"/>
        <v>10810.831271007355</v>
      </c>
      <c r="S41" s="99">
        <f t="shared" si="59"/>
        <v>13423.960675432161</v>
      </c>
      <c r="T41" s="100">
        <f t="shared" ref="T41" si="61">T30</f>
        <v>16531.173648342636</v>
      </c>
    </row>
    <row r="42" spans="2:33">
      <c r="G42" s="126" t="s">
        <v>146</v>
      </c>
      <c r="H42" s="102">
        <f>IS!B25*-1</f>
        <v>-672.66700000000003</v>
      </c>
      <c r="I42" s="103">
        <f>IS!C25*-1</f>
        <v>-943.2</v>
      </c>
      <c r="J42" s="103">
        <f>IS!D25*-1</f>
        <v>-1230.29</v>
      </c>
      <c r="K42" s="103">
        <f>IS!E25*-1</f>
        <v>-1558.5619999999999</v>
      </c>
      <c r="L42" s="103">
        <f>IS!F25*-1</f>
        <v>-1937.971</v>
      </c>
      <c r="M42" s="198">
        <f>IS!G25*-1</f>
        <v>-1895.806</v>
      </c>
      <c r="N42" s="102">
        <f>N43-N41</f>
        <v>-2641.8580794890081</v>
      </c>
      <c r="O42" s="103">
        <f t="shared" ref="O42" si="62">O43-O41</f>
        <v>-3388.4873484519935</v>
      </c>
      <c r="P42" s="103">
        <f t="shared" ref="P42" si="63">P43-P41</f>
        <v>-4311.516907283074</v>
      </c>
      <c r="Q42" s="103">
        <f t="shared" ref="Q42" si="64">Q43-Q41</f>
        <v>-5441.9127708954693</v>
      </c>
      <c r="R42" s="103">
        <f t="shared" ref="R42" si="65">R43-R41</f>
        <v>-6813.0107455146717</v>
      </c>
      <c r="S42" s="103">
        <f t="shared" ref="S42" si="66">S43-S41</f>
        <v>-8459.810909671487</v>
      </c>
      <c r="T42" s="104">
        <f t="shared" ref="T42" si="67">T43-T41</f>
        <v>-10417.983675702373</v>
      </c>
    </row>
    <row r="43" spans="2:33">
      <c r="G43" s="127" t="s">
        <v>147</v>
      </c>
      <c r="H43" s="102">
        <f>SUM(H41:H42)</f>
        <v>377.77799999999991</v>
      </c>
      <c r="I43" s="103">
        <f t="shared" ref="I43:L43" si="68">SUM(I41:I42)</f>
        <v>512.96</v>
      </c>
      <c r="J43" s="103">
        <f t="shared" si="68"/>
        <v>689.88400000000001</v>
      </c>
      <c r="K43" s="103">
        <f t="shared" si="68"/>
        <v>912.88900000000012</v>
      </c>
      <c r="L43" s="103">
        <f t="shared" si="68"/>
        <v>1143.1030000000001</v>
      </c>
      <c r="M43" s="198">
        <f t="shared" ref="M43" si="69">SUM(M41:M42)</f>
        <v>1302.3410000000003</v>
      </c>
      <c r="N43" s="102">
        <f>N44*N41</f>
        <v>1550.2213118587974</v>
      </c>
      <c r="O43" s="103">
        <f t="shared" ref="O43" si="70">O44*O41</f>
        <v>1988.3374293710026</v>
      </c>
      <c r="P43" s="103">
        <f t="shared" ref="P43" si="71">P44*P41</f>
        <v>2529.9638341672553</v>
      </c>
      <c r="Q43" s="103">
        <f t="shared" ref="Q43" si="72">Q44*Q41</f>
        <v>3193.2711375436393</v>
      </c>
      <c r="R43" s="103">
        <f t="shared" ref="R43" si="73">R44*R41</f>
        <v>3997.8205254926838</v>
      </c>
      <c r="S43" s="103">
        <f t="shared" ref="S43" si="74">S44*S41</f>
        <v>4964.1497657606733</v>
      </c>
      <c r="T43" s="104">
        <f t="shared" ref="T43" si="75">T44*T41</f>
        <v>6113.1899726402635</v>
      </c>
    </row>
    <row r="44" spans="2:33">
      <c r="G44" s="120" t="s">
        <v>148</v>
      </c>
      <c r="H44" s="195">
        <f>H43/H41</f>
        <v>0.35963615420131462</v>
      </c>
      <c r="I44" s="196">
        <f t="shared" ref="I44:L44" si="76">I43/I41</f>
        <v>0.35226898143061203</v>
      </c>
      <c r="J44" s="196">
        <f t="shared" si="76"/>
        <v>0.35928202339996274</v>
      </c>
      <c r="K44" s="196">
        <f t="shared" si="76"/>
        <v>0.36937369990341712</v>
      </c>
      <c r="L44" s="196">
        <f t="shared" si="76"/>
        <v>0.37100796670251995</v>
      </c>
      <c r="M44" s="197">
        <f t="shared" ref="M44" si="77">M43/M41</f>
        <v>0.40721736680646642</v>
      </c>
      <c r="N44" s="196">
        <f>CHOOSE('DCF Main'!$D$2, D40,C40,E40)</f>
        <v>0.36979769874071544</v>
      </c>
      <c r="O44" s="196">
        <f>N44+CHOOSE('DCF Main'!$D$2, $D$41,$C$41,$E$41)</f>
        <v>0.36979769874071544</v>
      </c>
      <c r="P44" s="196">
        <f>O44+CHOOSE('DCF Main'!$D$2, $D$41,$C$41,$E$41)</f>
        <v>0.36979769874071544</v>
      </c>
      <c r="Q44" s="196">
        <f>P44+CHOOSE('DCF Main'!$D$2, $D$41,$C$41,$E$41)</f>
        <v>0.36979769874071544</v>
      </c>
      <c r="R44" s="196">
        <f>Q44+CHOOSE('DCF Main'!$D$2, $D$41,$C$41,$E$41)</f>
        <v>0.36979769874071544</v>
      </c>
      <c r="S44" s="196">
        <f>R44+CHOOSE('DCF Main'!$D$2, $D$41,$C$41,$E$41)</f>
        <v>0.36979769874071544</v>
      </c>
      <c r="T44" s="197">
        <f>S44+CHOOSE('DCF Main'!$D$2, $D$41,$C$41,$E$41)</f>
        <v>0.36979769874071544</v>
      </c>
    </row>
    <row r="46" spans="2:33" ht="16" thickBot="1">
      <c r="B46" s="113" t="s">
        <v>149</v>
      </c>
      <c r="C46" s="114" t="s">
        <v>89</v>
      </c>
      <c r="D46" s="114" t="s">
        <v>90</v>
      </c>
      <c r="E46" s="115" t="s">
        <v>91</v>
      </c>
      <c r="G46" s="118" t="s">
        <v>150</v>
      </c>
      <c r="H46" s="121"/>
      <c r="I46" s="121"/>
      <c r="J46" s="121"/>
      <c r="K46" s="121"/>
      <c r="L46" s="121"/>
      <c r="M46" s="121"/>
      <c r="N46" s="122"/>
      <c r="O46" s="123"/>
      <c r="P46" s="123"/>
      <c r="Q46" s="123"/>
      <c r="R46" s="121"/>
      <c r="S46" s="121"/>
      <c r="T46" s="124"/>
    </row>
    <row r="47" spans="2:33">
      <c r="B47" s="66" t="s">
        <v>145</v>
      </c>
      <c r="C47" s="116">
        <f>AVERAGE(H51:M51)+STDEV(H51:M51)</f>
        <v>0.80151051974391163</v>
      </c>
      <c r="D47" s="116">
        <f>AVERAGE(H51:M51)</f>
        <v>0.71894675119822393</v>
      </c>
      <c r="E47" s="116">
        <f>D47-STDEV(H51:M51)</f>
        <v>0.63638298265253623</v>
      </c>
      <c r="G47" s="63" t="s">
        <v>118</v>
      </c>
      <c r="H47" s="73">
        <v>2015</v>
      </c>
      <c r="I47" s="65">
        <f>H47+1</f>
        <v>2016</v>
      </c>
      <c r="J47" s="65">
        <f t="shared" ref="J47:S47" si="78">I47+1</f>
        <v>2017</v>
      </c>
      <c r="K47" s="65">
        <f t="shared" si="78"/>
        <v>2018</v>
      </c>
      <c r="L47" s="65">
        <f t="shared" si="78"/>
        <v>2019</v>
      </c>
      <c r="M47" s="65">
        <f t="shared" si="78"/>
        <v>2020</v>
      </c>
      <c r="N47" s="128">
        <f>M47+1</f>
        <v>2021</v>
      </c>
      <c r="O47" s="65">
        <f t="shared" si="78"/>
        <v>2022</v>
      </c>
      <c r="P47" s="65">
        <f t="shared" si="78"/>
        <v>2023</v>
      </c>
      <c r="Q47" s="65">
        <f t="shared" si="78"/>
        <v>2024</v>
      </c>
      <c r="R47" s="65">
        <f t="shared" si="78"/>
        <v>2025</v>
      </c>
      <c r="S47" s="65">
        <f t="shared" si="78"/>
        <v>2026</v>
      </c>
      <c r="T47" s="129">
        <f t="shared" ref="T47" si="79">S47+1</f>
        <v>2027</v>
      </c>
    </row>
    <row r="48" spans="2:33">
      <c r="B48" s="57" t="s">
        <v>138</v>
      </c>
      <c r="C48" s="117">
        <v>0</v>
      </c>
      <c r="D48" s="117">
        <f>0</f>
        <v>0</v>
      </c>
      <c r="E48" s="117">
        <v>0</v>
      </c>
      <c r="G48" s="125" t="s">
        <v>151</v>
      </c>
      <c r="H48" s="98">
        <f>H31</f>
        <v>58.012999999999998</v>
      </c>
      <c r="I48" s="99">
        <f t="shared" ref="I48:S48" si="80">I31</f>
        <v>129.351</v>
      </c>
      <c r="J48" s="99">
        <f t="shared" si="80"/>
        <v>252.66399999999999</v>
      </c>
      <c r="K48" s="99">
        <f t="shared" si="80"/>
        <v>591.70600000000002</v>
      </c>
      <c r="L48" s="99">
        <f t="shared" si="80"/>
        <v>1031.4559999999999</v>
      </c>
      <c r="M48" s="99">
        <f t="shared" ref="M48" si="81">M31</f>
        <v>1371.4469999999999</v>
      </c>
      <c r="N48" s="98">
        <f t="shared" si="80"/>
        <v>2057.1704999999997</v>
      </c>
      <c r="O48" s="99">
        <f t="shared" si="80"/>
        <v>3003.4689299999995</v>
      </c>
      <c r="P48" s="99">
        <f t="shared" si="80"/>
        <v>4264.9258805999989</v>
      </c>
      <c r="Q48" s="99">
        <f t="shared" si="80"/>
        <v>5885.5977152279993</v>
      </c>
      <c r="R48" s="99">
        <f t="shared" si="80"/>
        <v>7886.7009384055191</v>
      </c>
      <c r="S48" s="99">
        <f t="shared" si="80"/>
        <v>10252.711219927176</v>
      </c>
      <c r="T48" s="100">
        <f t="shared" ref="T48" si="82">T31</f>
        <v>12918.416137108245</v>
      </c>
    </row>
    <row r="49" spans="2:20">
      <c r="G49" s="126" t="s">
        <v>152</v>
      </c>
      <c r="H49" s="102">
        <f>IS!B26*-1</f>
        <v>-22.47</v>
      </c>
      <c r="I49" s="103">
        <f>IS!C26*-1</f>
        <v>-43.131999999999998</v>
      </c>
      <c r="J49" s="103">
        <f>IS!D26*-1</f>
        <v>-75.72</v>
      </c>
      <c r="K49" s="103">
        <f>IS!E26*-1</f>
        <v>-169.88399999999999</v>
      </c>
      <c r="L49" s="103">
        <f>IS!F26*-1</f>
        <v>-234.27</v>
      </c>
      <c r="M49" s="198">
        <f>IS!G26*-1</f>
        <v>-207.94200000000001</v>
      </c>
      <c r="N49" s="102">
        <f>N50-N48</f>
        <v>-578.17445236417393</v>
      </c>
      <c r="O49" s="103">
        <f t="shared" ref="O49" si="83">O50-O48</f>
        <v>-844.13470045169424</v>
      </c>
      <c r="P49" s="103">
        <f t="shared" ref="P49" si="84">P50-P48</f>
        <v>-1198.6712746414055</v>
      </c>
      <c r="Q49" s="103">
        <f t="shared" ref="Q49" si="85">Q50-Q48</f>
        <v>-1654.1663590051394</v>
      </c>
      <c r="R49" s="103">
        <f t="shared" ref="R49" si="86">R50-R48</f>
        <v>-2216.5829210668871</v>
      </c>
      <c r="S49" s="103">
        <f t="shared" ref="S49" si="87">S50-S48</f>
        <v>-2881.557797386954</v>
      </c>
      <c r="T49" s="104">
        <f t="shared" ref="T49" si="88">T50-T48</f>
        <v>-3630.7628247075627</v>
      </c>
    </row>
    <row r="50" spans="2:20">
      <c r="G50" s="127" t="s">
        <v>153</v>
      </c>
      <c r="H50" s="102">
        <f>SUM(H48:H49)</f>
        <v>35.542999999999999</v>
      </c>
      <c r="I50" s="103">
        <f t="shared" ref="I50:L50" si="89">SUM(I48:I49)</f>
        <v>86.218999999999994</v>
      </c>
      <c r="J50" s="103">
        <f t="shared" si="89"/>
        <v>176.94399999999999</v>
      </c>
      <c r="K50" s="103">
        <f t="shared" si="89"/>
        <v>421.822</v>
      </c>
      <c r="L50" s="103">
        <f t="shared" si="89"/>
        <v>797.18599999999992</v>
      </c>
      <c r="M50" s="198">
        <f t="shared" ref="M50" si="90">SUM(M48:M49)</f>
        <v>1163.5049999999999</v>
      </c>
      <c r="N50" s="102">
        <f>N51*N48</f>
        <v>1478.9960476358258</v>
      </c>
      <c r="O50" s="103">
        <f t="shared" ref="O50" si="91">O51*O48</f>
        <v>2159.3342295483053</v>
      </c>
      <c r="P50" s="103">
        <f t="shared" ref="P50" si="92">P51*P48</f>
        <v>3066.2546059585934</v>
      </c>
      <c r="Q50" s="103">
        <f t="shared" ref="Q50" si="93">Q51*Q48</f>
        <v>4231.4313562228599</v>
      </c>
      <c r="R50" s="103">
        <f t="shared" ref="R50" si="94">R51*R48</f>
        <v>5670.1180173386319</v>
      </c>
      <c r="S50" s="103">
        <f t="shared" ref="S50" si="95">S51*S48</f>
        <v>7371.153422540222</v>
      </c>
      <c r="T50" s="104">
        <f t="shared" ref="T50" si="96">T51*T48</f>
        <v>9287.6533124006819</v>
      </c>
    </row>
    <row r="51" spans="2:20">
      <c r="G51" s="120" t="s">
        <v>154</v>
      </c>
      <c r="H51" s="195">
        <f>H50/H48</f>
        <v>0.61267302156413217</v>
      </c>
      <c r="I51" s="196">
        <f t="shared" ref="I51:L51" si="97">I50/I48</f>
        <v>0.66655070312560394</v>
      </c>
      <c r="J51" s="196">
        <f t="shared" si="97"/>
        <v>0.70031345977266246</v>
      </c>
      <c r="K51" s="196">
        <f t="shared" si="97"/>
        <v>0.71289119934562095</v>
      </c>
      <c r="L51" s="196">
        <f t="shared" si="97"/>
        <v>0.77287446095616297</v>
      </c>
      <c r="M51" s="197">
        <f t="shared" ref="M51" si="98">M50/M48</f>
        <v>0.84837766242516111</v>
      </c>
      <c r="N51" s="196">
        <f>CHOOSE('DCF Main'!$D$2, D47,C47,E47)</f>
        <v>0.71894675119822393</v>
      </c>
      <c r="O51" s="196">
        <f>N51+CHOOSE('DCF Main'!$D$2, $D$48,$C$48,$E$48)</f>
        <v>0.71894675119822393</v>
      </c>
      <c r="P51" s="196">
        <f>O51+CHOOSE('DCF Main'!$D$2, $D$48,$C$48,$E$48)</f>
        <v>0.71894675119822393</v>
      </c>
      <c r="Q51" s="196">
        <f>P51+CHOOSE('DCF Main'!$D$2, $D$48,$C$48,$E$48)</f>
        <v>0.71894675119822393</v>
      </c>
      <c r="R51" s="196">
        <f>Q51+CHOOSE('DCF Main'!$D$2, $D$48,$C$48,$E$48)</f>
        <v>0.71894675119822393</v>
      </c>
      <c r="S51" s="196">
        <f>R51+CHOOSE('DCF Main'!$D$2, $D$48,$C$48,$E$48)</f>
        <v>0.71894675119822393</v>
      </c>
      <c r="T51" s="197">
        <f>S51+CHOOSE('DCF Main'!$D$2, $D$48,$C$48,$E$48)</f>
        <v>0.71894675119822393</v>
      </c>
    </row>
    <row r="53" spans="2:20" ht="16" thickBot="1">
      <c r="B53" s="113" t="s">
        <v>155</v>
      </c>
      <c r="C53" s="114" t="s">
        <v>89</v>
      </c>
      <c r="D53" s="114" t="s">
        <v>90</v>
      </c>
      <c r="E53" s="115" t="s">
        <v>91</v>
      </c>
      <c r="G53" s="118" t="s">
        <v>156</v>
      </c>
      <c r="H53" s="121"/>
      <c r="I53" s="121"/>
      <c r="J53" s="121"/>
      <c r="K53" s="121"/>
      <c r="L53" s="121"/>
      <c r="M53" s="121"/>
      <c r="N53" s="122"/>
      <c r="O53" s="123"/>
      <c r="P53" s="123"/>
      <c r="Q53" s="123"/>
      <c r="R53" s="121"/>
      <c r="S53" s="121"/>
      <c r="T53" s="124"/>
    </row>
    <row r="54" spans="2:20">
      <c r="B54" s="66" t="s">
        <v>145</v>
      </c>
      <c r="C54" s="116">
        <f>AVERAGE(H58:M58)+STDEV(H58:M58)</f>
        <v>0.76904692739526814</v>
      </c>
      <c r="D54" s="116">
        <f>AVERAGE(H58:M58)</f>
        <v>0.59735188393742933</v>
      </c>
      <c r="E54" s="116">
        <f>D54-STDEV(H58:M58)</f>
        <v>0.42565684047959051</v>
      </c>
      <c r="G54" s="63" t="s">
        <v>118</v>
      </c>
      <c r="H54" s="73">
        <v>2015</v>
      </c>
      <c r="I54" s="65">
        <f>H54+1</f>
        <v>2016</v>
      </c>
      <c r="J54" s="65">
        <f t="shared" ref="J54:S54" si="99">I54+1</f>
        <v>2017</v>
      </c>
      <c r="K54" s="65">
        <f t="shared" si="99"/>
        <v>2018</v>
      </c>
      <c r="L54" s="65">
        <f t="shared" si="99"/>
        <v>2019</v>
      </c>
      <c r="M54" s="65">
        <f t="shared" si="99"/>
        <v>2020</v>
      </c>
      <c r="N54" s="128">
        <f>M54+1</f>
        <v>2021</v>
      </c>
      <c r="O54" s="65">
        <f t="shared" si="99"/>
        <v>2022</v>
      </c>
      <c r="P54" s="65">
        <f t="shared" si="99"/>
        <v>2023</v>
      </c>
      <c r="Q54" s="65">
        <f t="shared" si="99"/>
        <v>2024</v>
      </c>
      <c r="R54" s="65">
        <f t="shared" si="99"/>
        <v>2025</v>
      </c>
      <c r="S54" s="65">
        <f t="shared" si="99"/>
        <v>2026</v>
      </c>
      <c r="T54" s="129">
        <f t="shared" ref="T54" si="100">S54+1</f>
        <v>2027</v>
      </c>
    </row>
    <row r="55" spans="2:20">
      <c r="B55" s="57" t="s">
        <v>138</v>
      </c>
      <c r="C55" s="117">
        <v>0</v>
      </c>
      <c r="D55" s="117">
        <f>0</f>
        <v>0</v>
      </c>
      <c r="E55" s="117">
        <v>0</v>
      </c>
      <c r="G55" s="125" t="s">
        <v>134</v>
      </c>
      <c r="H55" s="98">
        <f>H32</f>
        <v>16.376999999999999</v>
      </c>
      <c r="I55" s="99">
        <f t="shared" ref="I55:L55" si="101">I32</f>
        <v>44.307000000000002</v>
      </c>
      <c r="J55" s="99">
        <f t="shared" si="101"/>
        <v>41.414999999999999</v>
      </c>
      <c r="K55" s="99">
        <f t="shared" si="101"/>
        <v>68.503</v>
      </c>
      <c r="L55" s="99">
        <f t="shared" si="101"/>
        <v>84.504999999999995</v>
      </c>
      <c r="M55" s="99">
        <f t="shared" ref="M55" si="102">M32</f>
        <v>89.557999999999993</v>
      </c>
      <c r="N55" s="98">
        <f>N32</f>
        <v>135.9064525210984</v>
      </c>
      <c r="O55" s="99">
        <f t="shared" ref="O55:S55" si="103">O32</f>
        <v>197.4074419035941</v>
      </c>
      <c r="P55" s="99">
        <f t="shared" si="103"/>
        <v>273.90764746557579</v>
      </c>
      <c r="Q55" s="99">
        <f t="shared" si="103"/>
        <v>362.24955417227096</v>
      </c>
      <c r="R55" s="99">
        <f t="shared" si="103"/>
        <v>455.53766258778836</v>
      </c>
      <c r="S55" s="99">
        <f t="shared" si="103"/>
        <v>543.23978948388003</v>
      </c>
      <c r="T55" s="100">
        <f t="shared" ref="T55" si="104">T32</f>
        <v>612.51613168102767</v>
      </c>
    </row>
    <row r="56" spans="2:20">
      <c r="G56" s="126" t="s">
        <v>157</v>
      </c>
      <c r="H56" s="102">
        <f>IS!B27*-1</f>
        <v>-30.873999999999999</v>
      </c>
      <c r="I56" s="103">
        <f>IS!C27*-1</f>
        <v>-68.561999999999998</v>
      </c>
      <c r="J56" s="103">
        <f>IS!D27*-1</f>
        <v>-62.393000000000001</v>
      </c>
      <c r="K56" s="103">
        <f>IS!E27*-1</f>
        <v>-94.114000000000004</v>
      </c>
      <c r="L56" s="103">
        <f>IS!F27*-1</f>
        <v>-136.38499999999999</v>
      </c>
      <c r="M56" s="198">
        <f>IS!G27*-1</f>
        <v>-148.411</v>
      </c>
      <c r="N56" s="102">
        <f>N57-N55</f>
        <v>-54.722477068367482</v>
      </c>
      <c r="O56" s="103">
        <f t="shared" ref="O56" si="105">O57-O55</f>
        <v>-79.485734579213542</v>
      </c>
      <c r="P56" s="103">
        <f t="shared" ref="P56" si="106">P57-P55</f>
        <v>-110.28839822714485</v>
      </c>
      <c r="Q56" s="103">
        <f t="shared" ref="Q56" si="107">Q57-Q55</f>
        <v>-145.85910053197105</v>
      </c>
      <c r="R56" s="103">
        <f t="shared" ref="R56" si="108">R57-R55</f>
        <v>-183.42138163651998</v>
      </c>
      <c r="S56" s="103">
        <f t="shared" ref="S56" si="109">S57-S55</f>
        <v>-218.73447780591181</v>
      </c>
      <c r="T56" s="104">
        <f t="shared" ref="T56" si="110">T57-T55</f>
        <v>-246.62846647929928</v>
      </c>
    </row>
    <row r="57" spans="2:20">
      <c r="G57" s="127" t="s">
        <v>158</v>
      </c>
      <c r="H57" s="102">
        <f>SUM(H55:H56)</f>
        <v>-14.497</v>
      </c>
      <c r="I57" s="103">
        <f t="shared" ref="I57:L57" si="111">SUM(I55:I56)</f>
        <v>-24.254999999999995</v>
      </c>
      <c r="J57" s="103">
        <f t="shared" si="111"/>
        <v>-20.978000000000002</v>
      </c>
      <c r="K57" s="103">
        <f t="shared" si="111"/>
        <v>-25.611000000000004</v>
      </c>
      <c r="L57" s="103">
        <f t="shared" si="111"/>
        <v>-51.879999999999995</v>
      </c>
      <c r="M57" s="198">
        <f t="shared" ref="M57" si="112">SUM(M55:M56)</f>
        <v>-58.853000000000009</v>
      </c>
      <c r="N57" s="102">
        <f>N58*N55</f>
        <v>81.18397545273092</v>
      </c>
      <c r="O57" s="103">
        <f t="shared" ref="O57" si="113">O58*O55</f>
        <v>117.92170732438056</v>
      </c>
      <c r="P57" s="103">
        <f t="shared" ref="P57" si="114">P58*P55</f>
        <v>163.61924923843094</v>
      </c>
      <c r="Q57" s="103">
        <f t="shared" ref="Q57" si="115">Q58*Q55</f>
        <v>216.39045364029991</v>
      </c>
      <c r="R57" s="103">
        <f t="shared" ref="R57" si="116">R58*R55</f>
        <v>272.11628095126838</v>
      </c>
      <c r="S57" s="103">
        <f t="shared" ref="S57" si="117">S58*S55</f>
        <v>324.50531167796822</v>
      </c>
      <c r="T57" s="104">
        <f t="shared" ref="T57" si="118">T58*T55</f>
        <v>365.8876652017284</v>
      </c>
    </row>
    <row r="58" spans="2:20">
      <c r="G58" s="120" t="s">
        <v>159</v>
      </c>
      <c r="H58" s="195">
        <f>H57/H55*-1</f>
        <v>0.88520486047505653</v>
      </c>
      <c r="I58" s="196">
        <f t="shared" ref="I58:L58" si="119">I57/I55*-1</f>
        <v>0.54743042860044677</v>
      </c>
      <c r="J58" s="196">
        <f t="shared" si="119"/>
        <v>0.50653144995774479</v>
      </c>
      <c r="K58" s="196">
        <f t="shared" si="119"/>
        <v>0.37386683794870301</v>
      </c>
      <c r="L58" s="196">
        <f t="shared" si="119"/>
        <v>0.61392816993077326</v>
      </c>
      <c r="M58" s="197">
        <f t="shared" ref="M58" si="120">M57/M55*-1</f>
        <v>0.65714955671185171</v>
      </c>
      <c r="N58" s="196">
        <f>CHOOSE('DCF Main'!$D$2, D54,C54,E54)</f>
        <v>0.59735188393742933</v>
      </c>
      <c r="O58" s="196">
        <f>N58+CHOOSE('DCF Main'!$D$2, $D$55,$C$55,$E$55)</f>
        <v>0.59735188393742933</v>
      </c>
      <c r="P58" s="196">
        <f>O58+CHOOSE('DCF Main'!$D$2, $D$55,$C$55,$E$55)</f>
        <v>0.59735188393742933</v>
      </c>
      <c r="Q58" s="196">
        <f>P58+CHOOSE('DCF Main'!$D$2, $D$55,$C$55,$E$55)</f>
        <v>0.59735188393742933</v>
      </c>
      <c r="R58" s="196">
        <f>Q58+CHOOSE('DCF Main'!$D$2, $D$55,$C$55,$E$55)</f>
        <v>0.59735188393742933</v>
      </c>
      <c r="S58" s="196">
        <f>R58+CHOOSE('DCF Main'!$D$2, $D$55,$C$55,$E$55)</f>
        <v>0.59735188393742933</v>
      </c>
      <c r="T58" s="197">
        <f>S58+CHOOSE('DCF Main'!$D$2, $D$55,$C$55,$E$55)</f>
        <v>0.59735188393742933</v>
      </c>
    </row>
    <row r="60" spans="2:20" ht="16" thickBot="1">
      <c r="B60" s="113" t="s">
        <v>160</v>
      </c>
      <c r="C60" s="114" t="s">
        <v>89</v>
      </c>
      <c r="D60" s="114" t="s">
        <v>90</v>
      </c>
      <c r="E60" s="115" t="s">
        <v>91</v>
      </c>
      <c r="G60" s="118" t="s">
        <v>161</v>
      </c>
      <c r="H60" s="121"/>
      <c r="I60" s="121"/>
      <c r="J60" s="121"/>
      <c r="K60" s="121"/>
      <c r="L60" s="121"/>
      <c r="M60" s="121"/>
      <c r="N60" s="122"/>
      <c r="O60" s="123"/>
      <c r="P60" s="123"/>
      <c r="Q60" s="123"/>
      <c r="R60" s="121"/>
      <c r="S60" s="121"/>
      <c r="T60" s="124"/>
    </row>
    <row r="61" spans="2:20">
      <c r="B61" s="66" t="s">
        <v>145</v>
      </c>
      <c r="C61" s="116">
        <v>0.02</v>
      </c>
      <c r="D61" s="116">
        <f>AVERAGE(H65:M65)</f>
        <v>1.7881441711129018E-2</v>
      </c>
      <c r="E61" s="116">
        <v>1.6E-2</v>
      </c>
      <c r="G61" s="63" t="s">
        <v>118</v>
      </c>
      <c r="H61" s="73">
        <v>2015</v>
      </c>
      <c r="I61" s="65">
        <f>H61+1</f>
        <v>2016</v>
      </c>
      <c r="J61" s="65">
        <f t="shared" ref="J61:S61" si="121">I61+1</f>
        <v>2017</v>
      </c>
      <c r="K61" s="65">
        <f t="shared" si="121"/>
        <v>2018</v>
      </c>
      <c r="L61" s="65">
        <f t="shared" si="121"/>
        <v>2019</v>
      </c>
      <c r="M61" s="65">
        <f t="shared" si="121"/>
        <v>2020</v>
      </c>
      <c r="N61" s="128">
        <f>M61+1</f>
        <v>2021</v>
      </c>
      <c r="O61" s="65">
        <f t="shared" si="121"/>
        <v>2022</v>
      </c>
      <c r="P61" s="65">
        <f t="shared" si="121"/>
        <v>2023</v>
      </c>
      <c r="Q61" s="65">
        <f t="shared" si="121"/>
        <v>2024</v>
      </c>
      <c r="R61" s="65">
        <f t="shared" si="121"/>
        <v>2025</v>
      </c>
      <c r="S61" s="65">
        <f t="shared" si="121"/>
        <v>2026</v>
      </c>
      <c r="T61" s="129">
        <f t="shared" ref="T61" si="122">S61+1</f>
        <v>2027</v>
      </c>
    </row>
    <row r="62" spans="2:20">
      <c r="B62" s="57" t="s">
        <v>138</v>
      </c>
      <c r="C62" s="117">
        <v>2.5000000000000001E-3</v>
      </c>
      <c r="D62" s="117">
        <v>2E-3</v>
      </c>
      <c r="E62" s="117">
        <v>1.5E-3</v>
      </c>
      <c r="G62" s="125" t="s">
        <v>139</v>
      </c>
      <c r="H62" s="98">
        <f>H25</f>
        <v>0</v>
      </c>
      <c r="I62" s="99">
        <f t="shared" ref="I62:L62" si="123">I25</f>
        <v>0</v>
      </c>
      <c r="J62" s="99">
        <f t="shared" si="123"/>
        <v>0</v>
      </c>
      <c r="K62" s="99">
        <f t="shared" si="123"/>
        <v>166.517</v>
      </c>
      <c r="L62" s="99">
        <f t="shared" si="123"/>
        <v>516.46500000000003</v>
      </c>
      <c r="M62" s="99">
        <f t="shared" ref="M62" si="124">M25</f>
        <v>2992.8850000000002</v>
      </c>
      <c r="N62" s="98">
        <f>N33</f>
        <v>5387.1930000000002</v>
      </c>
      <c r="O62" s="99">
        <f t="shared" ref="O62:S62" si="125">O33</f>
        <v>7757.5579200000002</v>
      </c>
      <c r="P62" s="99">
        <f t="shared" si="125"/>
        <v>9634.8869366399995</v>
      </c>
      <c r="Q62" s="99">
        <f t="shared" si="125"/>
        <v>10917.290387906784</v>
      </c>
      <c r="R62" s="99">
        <f t="shared" si="125"/>
        <v>11716.490630753498</v>
      </c>
      <c r="S62" s="99">
        <f t="shared" si="125"/>
        <v>12188.22876389687</v>
      </c>
      <c r="T62" s="100">
        <f t="shared" ref="T62" si="126">T33</f>
        <v>12458.131148111843</v>
      </c>
    </row>
    <row r="63" spans="2:20">
      <c r="G63" s="126" t="s">
        <v>162</v>
      </c>
      <c r="H63" s="102">
        <f>IS!B28*-1</f>
        <v>0</v>
      </c>
      <c r="I63" s="103">
        <f>IS!C28*-1</f>
        <v>0</v>
      </c>
      <c r="J63" s="103">
        <f>IS!D28*-1</f>
        <v>0</v>
      </c>
      <c r="K63" s="103">
        <f>IS!E28*-1</f>
        <v>-164.827</v>
      </c>
      <c r="L63" s="103">
        <f>IS!F28*-1</f>
        <v>-508.23899999999998</v>
      </c>
      <c r="M63" s="198">
        <f>IS!G28*-1</f>
        <v>-2933.52</v>
      </c>
      <c r="N63" s="102">
        <f>N64-N62</f>
        <v>-5290.8622223838984</v>
      </c>
      <c r="O63" s="103">
        <f t="shared" ref="O63:T63" si="127">O64-O62</f>
        <v>-7603.3264843928127</v>
      </c>
      <c r="P63" s="103">
        <f t="shared" si="127"/>
        <v>-9424.0617197425927</v>
      </c>
      <c r="Q63" s="103">
        <f t="shared" si="127"/>
        <v>-10656.569753864518</v>
      </c>
      <c r="R63" s="103">
        <f t="shared" si="127"/>
        <v>-11413.250961434662</v>
      </c>
      <c r="S63" s="103">
        <f t="shared" si="127"/>
        <v>-11848.403374054373</v>
      </c>
      <c r="T63" s="104">
        <f t="shared" si="127"/>
        <v>-12085.864228379938</v>
      </c>
    </row>
    <row r="64" spans="2:20">
      <c r="G64" s="127" t="s">
        <v>163</v>
      </c>
      <c r="H64" s="102">
        <f>SUM(H62:H63)</f>
        <v>0</v>
      </c>
      <c r="I64" s="103">
        <f t="shared" ref="I64:L64" si="128">SUM(I62:I63)</f>
        <v>0</v>
      </c>
      <c r="J64" s="103">
        <f t="shared" si="128"/>
        <v>0</v>
      </c>
      <c r="K64" s="103">
        <f t="shared" si="128"/>
        <v>1.6899999999999977</v>
      </c>
      <c r="L64" s="103">
        <f t="shared" si="128"/>
        <v>8.2260000000000559</v>
      </c>
      <c r="M64" s="198">
        <f t="shared" ref="M64" si="129">SUM(M62:M63)</f>
        <v>59.365000000000236</v>
      </c>
      <c r="N64" s="102">
        <f>N65*N62</f>
        <v>96.330777616102267</v>
      </c>
      <c r="O64" s="103">
        <f t="shared" ref="O64:T64" si="130">O65*O62</f>
        <v>154.23143560718725</v>
      </c>
      <c r="P64" s="103">
        <f t="shared" si="130"/>
        <v>210.82521689740656</v>
      </c>
      <c r="Q64" s="103">
        <f t="shared" si="130"/>
        <v>260.72063404226498</v>
      </c>
      <c r="R64" s="103">
        <f t="shared" si="130"/>
        <v>303.23966931883598</v>
      </c>
      <c r="S64" s="103">
        <f t="shared" si="130"/>
        <v>339.82538984249675</v>
      </c>
      <c r="T64" s="104">
        <f t="shared" si="130"/>
        <v>372.26691973190498</v>
      </c>
    </row>
    <row r="65" spans="2:20">
      <c r="G65" s="120" t="s">
        <v>164</v>
      </c>
      <c r="H65" s="195"/>
      <c r="I65" s="196"/>
      <c r="J65" s="196"/>
      <c r="K65" s="196"/>
      <c r="L65" s="483">
        <f t="shared" ref="L65" si="131">L64/L62</f>
        <v>1.5927507188289731E-2</v>
      </c>
      <c r="M65" s="484">
        <f t="shared" ref="M65" si="132">M64/M62</f>
        <v>1.9835376233968305E-2</v>
      </c>
      <c r="N65" s="483">
        <f>CHOOSE('DCF Main'!$D$2, D61,C61,E61)</f>
        <v>1.7881441711129018E-2</v>
      </c>
      <c r="O65" s="483">
        <f>N65+CHOOSE('DCF Main'!$D$2, $D$62,$C$62,$E$62)</f>
        <v>1.9881441711129016E-2</v>
      </c>
      <c r="P65" s="483">
        <f>O65+CHOOSE('DCF Main'!$D$2, $D$62,$C$62,$E$62)</f>
        <v>2.1881441711129018E-2</v>
      </c>
      <c r="Q65" s="483">
        <f>P65+CHOOSE('DCF Main'!$D$2, $D$62,$C$62,$E$62)</f>
        <v>2.388144171112902E-2</v>
      </c>
      <c r="R65" s="483">
        <f>Q65+CHOOSE('DCF Main'!$D$2, $D$62,$C$62,$E$62)</f>
        <v>2.5881441711129022E-2</v>
      </c>
      <c r="S65" s="483">
        <f>R65+CHOOSE('DCF Main'!$D$2, $D$62,$C$62,$E$62)</f>
        <v>2.7881441711129024E-2</v>
      </c>
      <c r="T65" s="484">
        <f>S65+CHOOSE('DCF Main'!$D$2, $D$62,$C$62,$E$62)</f>
        <v>2.9881441711129025E-2</v>
      </c>
    </row>
    <row r="67" spans="2:20" ht="16" thickBot="1">
      <c r="G67" s="118" t="s">
        <v>165</v>
      </c>
      <c r="H67" s="121"/>
      <c r="I67" s="121"/>
      <c r="J67" s="121"/>
      <c r="K67" s="121"/>
      <c r="L67" s="121"/>
      <c r="M67" s="121"/>
      <c r="N67" s="122"/>
      <c r="O67" s="123"/>
      <c r="P67" s="123"/>
      <c r="Q67" s="123"/>
      <c r="R67" s="121"/>
      <c r="S67" s="121"/>
      <c r="T67" s="124"/>
    </row>
    <row r="68" spans="2:20">
      <c r="G68" s="63" t="s">
        <v>118</v>
      </c>
      <c r="H68" s="65">
        <v>2015</v>
      </c>
      <c r="I68" s="65">
        <f>H68+1</f>
        <v>2016</v>
      </c>
      <c r="J68" s="65">
        <f t="shared" ref="J68:S68" si="133">I68+1</f>
        <v>2017</v>
      </c>
      <c r="K68" s="65">
        <f t="shared" si="133"/>
        <v>2018</v>
      </c>
      <c r="L68" s="65">
        <f t="shared" si="133"/>
        <v>2019</v>
      </c>
      <c r="M68" s="65">
        <f t="shared" si="133"/>
        <v>2020</v>
      </c>
      <c r="N68" s="128">
        <f>M68+1</f>
        <v>2021</v>
      </c>
      <c r="O68" s="65">
        <f t="shared" si="133"/>
        <v>2022</v>
      </c>
      <c r="P68" s="65">
        <f t="shared" si="133"/>
        <v>2023</v>
      </c>
      <c r="Q68" s="65">
        <f t="shared" si="133"/>
        <v>2024</v>
      </c>
      <c r="R68" s="65">
        <f t="shared" si="133"/>
        <v>2025</v>
      </c>
      <c r="S68" s="65">
        <f t="shared" si="133"/>
        <v>2026</v>
      </c>
      <c r="T68" s="129">
        <f t="shared" ref="T68" si="134">S68+1</f>
        <v>2027</v>
      </c>
    </row>
    <row r="69" spans="2:20">
      <c r="G69" s="83" t="s">
        <v>144</v>
      </c>
      <c r="H69" s="98">
        <f>H42</f>
        <v>-672.66700000000003</v>
      </c>
      <c r="I69" s="99">
        <f t="shared" ref="I69:L69" si="135">I42</f>
        <v>-943.2</v>
      </c>
      <c r="J69" s="99">
        <f t="shared" si="135"/>
        <v>-1230.29</v>
      </c>
      <c r="K69" s="99">
        <f t="shared" si="135"/>
        <v>-1558.5619999999999</v>
      </c>
      <c r="L69" s="99">
        <f t="shared" si="135"/>
        <v>-1937.971</v>
      </c>
      <c r="M69" s="99">
        <f t="shared" ref="M69" si="136">M42</f>
        <v>-1895.806</v>
      </c>
      <c r="N69" s="98">
        <f t="shared" ref="N69:S69" si="137">N42</f>
        <v>-2641.8580794890081</v>
      </c>
      <c r="O69" s="99">
        <f t="shared" si="137"/>
        <v>-3388.4873484519935</v>
      </c>
      <c r="P69" s="99">
        <f t="shared" si="137"/>
        <v>-4311.516907283074</v>
      </c>
      <c r="Q69" s="99">
        <f t="shared" si="137"/>
        <v>-5441.9127708954693</v>
      </c>
      <c r="R69" s="99">
        <f t="shared" si="137"/>
        <v>-6813.0107455146717</v>
      </c>
      <c r="S69" s="99">
        <f t="shared" si="137"/>
        <v>-8459.810909671487</v>
      </c>
      <c r="T69" s="100">
        <f t="shared" ref="T69" si="138">T42</f>
        <v>-10417.983675702373</v>
      </c>
    </row>
    <row r="70" spans="2:20">
      <c r="G70" s="84" t="s">
        <v>150</v>
      </c>
      <c r="H70" s="102">
        <f>H49</f>
        <v>-22.47</v>
      </c>
      <c r="I70" s="198">
        <f t="shared" ref="I70:L70" si="139">I49</f>
        <v>-43.131999999999998</v>
      </c>
      <c r="J70" s="198">
        <f t="shared" si="139"/>
        <v>-75.72</v>
      </c>
      <c r="K70" s="198">
        <f t="shared" si="139"/>
        <v>-169.88399999999999</v>
      </c>
      <c r="L70" s="198">
        <f t="shared" si="139"/>
        <v>-234.27</v>
      </c>
      <c r="M70" s="198">
        <f t="shared" ref="M70" si="140">M49</f>
        <v>-207.94200000000001</v>
      </c>
      <c r="N70" s="102">
        <f t="shared" ref="N70:S70" si="141">N49</f>
        <v>-578.17445236417393</v>
      </c>
      <c r="O70" s="198">
        <f t="shared" si="141"/>
        <v>-844.13470045169424</v>
      </c>
      <c r="P70" s="198">
        <f t="shared" si="141"/>
        <v>-1198.6712746414055</v>
      </c>
      <c r="Q70" s="198">
        <f t="shared" si="141"/>
        <v>-1654.1663590051394</v>
      </c>
      <c r="R70" s="198">
        <f t="shared" si="141"/>
        <v>-2216.5829210668871</v>
      </c>
      <c r="S70" s="198">
        <f t="shared" si="141"/>
        <v>-2881.557797386954</v>
      </c>
      <c r="T70" s="104">
        <f t="shared" ref="T70" si="142">T49</f>
        <v>-3630.7628247075627</v>
      </c>
    </row>
    <row r="71" spans="2:20">
      <c r="G71" s="84" t="s">
        <v>156</v>
      </c>
      <c r="H71" s="102">
        <f>H56</f>
        <v>-30.873999999999999</v>
      </c>
      <c r="I71" s="198">
        <f t="shared" ref="I71:L71" si="143">I56</f>
        <v>-68.561999999999998</v>
      </c>
      <c r="J71" s="198">
        <f t="shared" si="143"/>
        <v>-62.393000000000001</v>
      </c>
      <c r="K71" s="198">
        <f t="shared" si="143"/>
        <v>-94.114000000000004</v>
      </c>
      <c r="L71" s="198">
        <f t="shared" si="143"/>
        <v>-136.38499999999999</v>
      </c>
      <c r="M71" s="198">
        <f t="shared" ref="M71" si="144">M56</f>
        <v>-148.411</v>
      </c>
      <c r="N71" s="102">
        <f t="shared" ref="N71:S71" si="145">N56</f>
        <v>-54.722477068367482</v>
      </c>
      <c r="O71" s="198">
        <f t="shared" si="145"/>
        <v>-79.485734579213542</v>
      </c>
      <c r="P71" s="198">
        <f t="shared" si="145"/>
        <v>-110.28839822714485</v>
      </c>
      <c r="Q71" s="198">
        <f t="shared" si="145"/>
        <v>-145.85910053197105</v>
      </c>
      <c r="R71" s="198">
        <f t="shared" si="145"/>
        <v>-183.42138163651998</v>
      </c>
      <c r="S71" s="198">
        <f t="shared" si="145"/>
        <v>-218.73447780591181</v>
      </c>
      <c r="T71" s="104">
        <f t="shared" ref="T71" si="146">T56</f>
        <v>-246.62846647929928</v>
      </c>
    </row>
    <row r="72" spans="2:20">
      <c r="G72" s="84" t="s">
        <v>161</v>
      </c>
      <c r="H72" s="102">
        <f>H63</f>
        <v>0</v>
      </c>
      <c r="I72" s="198">
        <f t="shared" ref="I72:L72" si="147">I63</f>
        <v>0</v>
      </c>
      <c r="J72" s="198">
        <f t="shared" si="147"/>
        <v>0</v>
      </c>
      <c r="K72" s="198">
        <f t="shared" si="147"/>
        <v>-164.827</v>
      </c>
      <c r="L72" s="198">
        <f t="shared" si="147"/>
        <v>-508.23899999999998</v>
      </c>
      <c r="M72" s="198">
        <f t="shared" ref="M72" si="148">M63</f>
        <v>-2933.52</v>
      </c>
      <c r="N72" s="102">
        <f>N63</f>
        <v>-5290.8622223838984</v>
      </c>
      <c r="O72" s="198">
        <f t="shared" ref="O72:S72" si="149">O63</f>
        <v>-7603.3264843928127</v>
      </c>
      <c r="P72" s="198">
        <f t="shared" si="149"/>
        <v>-9424.0617197425927</v>
      </c>
      <c r="Q72" s="198">
        <f t="shared" si="149"/>
        <v>-10656.569753864518</v>
      </c>
      <c r="R72" s="198">
        <f t="shared" si="149"/>
        <v>-11413.250961434662</v>
      </c>
      <c r="S72" s="198">
        <f t="shared" si="149"/>
        <v>-11848.403374054373</v>
      </c>
      <c r="T72" s="104">
        <f t="shared" ref="T72" si="150">T63</f>
        <v>-12085.864228379938</v>
      </c>
    </row>
    <row r="73" spans="2:20">
      <c r="G73" s="84" t="s">
        <v>166</v>
      </c>
      <c r="H73" s="102">
        <f>IS!B29*-1</f>
        <v>-165.43799999999999</v>
      </c>
      <c r="I73" s="198">
        <f>IS!C29*-1</f>
        <v>-69.760999999999996</v>
      </c>
      <c r="J73" s="198">
        <f>IS!D29*-1</f>
        <v>0</v>
      </c>
      <c r="K73" s="198">
        <f>IS!E29*-1</f>
        <v>0</v>
      </c>
      <c r="L73" s="198">
        <f>IS!F29*-1</f>
        <v>0</v>
      </c>
      <c r="M73" s="198">
        <f>IS!G29*-1</f>
        <v>0</v>
      </c>
      <c r="N73" s="102">
        <f>0</f>
        <v>0</v>
      </c>
      <c r="O73" s="198">
        <f>0</f>
        <v>0</v>
      </c>
      <c r="P73" s="198">
        <f>0</f>
        <v>0</v>
      </c>
      <c r="Q73" s="198">
        <f>0</f>
        <v>0</v>
      </c>
      <c r="R73" s="198">
        <f>0</f>
        <v>0</v>
      </c>
      <c r="S73" s="198">
        <f>0</f>
        <v>0</v>
      </c>
      <c r="T73" s="104">
        <f>0</f>
        <v>0</v>
      </c>
    </row>
    <row r="74" spans="2:20">
      <c r="G74" s="85" t="s">
        <v>165</v>
      </c>
      <c r="H74" s="98">
        <f>SUM(H69:H73)</f>
        <v>-891.44900000000007</v>
      </c>
      <c r="I74" s="99">
        <f t="shared" ref="I74:L74" si="151">SUM(I69:I73)</f>
        <v>-1124.655</v>
      </c>
      <c r="J74" s="99">
        <f t="shared" si="151"/>
        <v>-1368.403</v>
      </c>
      <c r="K74" s="99">
        <f t="shared" si="151"/>
        <v>-1987.3869999999999</v>
      </c>
      <c r="L74" s="99">
        <f t="shared" si="151"/>
        <v>-2816.8650000000002</v>
      </c>
      <c r="M74" s="99">
        <f t="shared" ref="M74" si="152">SUM(M69:M73)</f>
        <v>-5185.6790000000001</v>
      </c>
      <c r="N74" s="98">
        <f>SUM(N69:N73)</f>
        <v>-8565.6172313054485</v>
      </c>
      <c r="O74" s="99">
        <f t="shared" ref="O74" si="153">SUM(O69:O73)</f>
        <v>-11915.434267875713</v>
      </c>
      <c r="P74" s="99">
        <f t="shared" ref="P74" si="154">SUM(P69:P73)</f>
        <v>-15044.538299894217</v>
      </c>
      <c r="Q74" s="99">
        <f t="shared" ref="Q74" si="155">SUM(Q69:Q73)</f>
        <v>-17898.507984297099</v>
      </c>
      <c r="R74" s="99">
        <f t="shared" ref="R74" si="156">SUM(R69:R73)</f>
        <v>-20626.26600965274</v>
      </c>
      <c r="S74" s="99">
        <f t="shared" ref="S74:T74" si="157">SUM(S69:S73)</f>
        <v>-23408.506558918729</v>
      </c>
      <c r="T74" s="100">
        <f t="shared" si="157"/>
        <v>-26381.239195269172</v>
      </c>
    </row>
    <row r="75" spans="2:20">
      <c r="G75" s="119" t="s">
        <v>167</v>
      </c>
      <c r="H75" s="102">
        <f>H74+H35</f>
        <v>375.66899999999964</v>
      </c>
      <c r="I75" s="198">
        <f t="shared" ref="I75:L75" si="158">I74+I35</f>
        <v>584.06600000000003</v>
      </c>
      <c r="J75" s="198">
        <f t="shared" si="158"/>
        <v>845.84999999999968</v>
      </c>
      <c r="K75" s="198">
        <f t="shared" si="158"/>
        <v>1310.7900000000002</v>
      </c>
      <c r="L75" s="198">
        <f t="shared" si="158"/>
        <v>1896.6349999999998</v>
      </c>
      <c r="M75" s="198">
        <f t="shared" ref="M75" si="159">M74+M35</f>
        <v>2466.3580000000002</v>
      </c>
      <c r="N75" s="102">
        <f t="shared" ref="N75" si="160">N74+N35</f>
        <v>3206.7321125634553</v>
      </c>
      <c r="O75" s="198">
        <f t="shared" ref="O75" si="161">O74+O35</f>
        <v>4419.8248018508748</v>
      </c>
      <c r="P75" s="198">
        <f t="shared" ref="P75" si="162">P74+P35</f>
        <v>5970.6629062616867</v>
      </c>
      <c r="Q75" s="198">
        <f t="shared" ref="Q75" si="163">Q74+Q35</f>
        <v>7901.8135814490633</v>
      </c>
      <c r="R75" s="198">
        <f t="shared" ref="R75" si="164">R74+R35</f>
        <v>10243.294493101421</v>
      </c>
      <c r="S75" s="198">
        <f t="shared" ref="S75:T75" si="165">S74+S35</f>
        <v>12999.633889821358</v>
      </c>
      <c r="T75" s="104">
        <f t="shared" si="165"/>
        <v>16138.997869974581</v>
      </c>
    </row>
    <row r="76" spans="2:20">
      <c r="G76" s="86" t="s">
        <v>103</v>
      </c>
      <c r="H76" s="199">
        <f>H75/H35</f>
        <v>0.29647515069630431</v>
      </c>
      <c r="I76" s="190">
        <f t="shared" ref="I76:L76" si="166">I75/I35</f>
        <v>0.34181472575101496</v>
      </c>
      <c r="J76" s="190">
        <f t="shared" si="166"/>
        <v>0.38200241797120738</v>
      </c>
      <c r="K76" s="190">
        <f t="shared" si="166"/>
        <v>0.39742864012452944</v>
      </c>
      <c r="L76" s="190">
        <f t="shared" si="166"/>
        <v>0.40238357908136202</v>
      </c>
      <c r="M76" s="190">
        <f t="shared" ref="M76" si="167">M75/M35</f>
        <v>0.3223139145824831</v>
      </c>
      <c r="N76" s="199">
        <f t="shared" ref="N76" si="168">N75/N35</f>
        <v>0.27239525594214009</v>
      </c>
      <c r="O76" s="190">
        <f t="shared" ref="O76" si="169">O75/O35</f>
        <v>0.27056961771986465</v>
      </c>
      <c r="P76" s="190">
        <f t="shared" ref="P76" si="170">P75/P35</f>
        <v>0.28411162223432451</v>
      </c>
      <c r="Q76" s="190">
        <f t="shared" ref="Q76" si="171">Q75/Q35</f>
        <v>0.30626802698226518</v>
      </c>
      <c r="R76" s="190">
        <f t="shared" ref="R76" si="172">R75/R35</f>
        <v>0.33182508355399232</v>
      </c>
      <c r="S76" s="190">
        <f t="shared" ref="S76:T76" si="173">S75/S35</f>
        <v>0.35705294831313511</v>
      </c>
      <c r="T76" s="191">
        <f t="shared" si="173"/>
        <v>0.37956039250699936</v>
      </c>
    </row>
    <row r="78" spans="2:20" ht="16" thickBot="1">
      <c r="B78" s="667" t="s">
        <v>168</v>
      </c>
      <c r="C78" s="668"/>
      <c r="D78" s="668"/>
      <c r="E78" s="669"/>
      <c r="F78" s="131"/>
      <c r="G78" s="132" t="s">
        <v>104</v>
      </c>
      <c r="H78" s="134"/>
      <c r="I78" s="134"/>
      <c r="J78" s="134"/>
      <c r="K78" s="134"/>
      <c r="L78" s="134"/>
      <c r="M78" s="134"/>
      <c r="N78" s="135"/>
      <c r="O78" s="133"/>
      <c r="P78" s="133"/>
      <c r="Q78" s="133"/>
      <c r="R78" s="134"/>
      <c r="S78" s="134"/>
      <c r="T78" s="136"/>
    </row>
    <row r="79" spans="2:20">
      <c r="B79" s="66" t="s">
        <v>169</v>
      </c>
      <c r="C79" s="670">
        <f>M81</f>
        <v>0.19658451729911916</v>
      </c>
      <c r="D79" s="671"/>
      <c r="E79" s="672"/>
      <c r="F79" s="131"/>
      <c r="G79" s="63" t="s">
        <v>118</v>
      </c>
      <c r="H79" s="65">
        <v>2015</v>
      </c>
      <c r="I79" s="65">
        <f>H79+1</f>
        <v>2016</v>
      </c>
      <c r="J79" s="65">
        <f t="shared" ref="J79:S79" si="174">I79+1</f>
        <v>2017</v>
      </c>
      <c r="K79" s="65">
        <f t="shared" si="174"/>
        <v>2018</v>
      </c>
      <c r="L79" s="65">
        <f t="shared" si="174"/>
        <v>2019</v>
      </c>
      <c r="M79" s="65">
        <f t="shared" si="174"/>
        <v>2020</v>
      </c>
      <c r="N79" s="128">
        <f>M79+1</f>
        <v>2021</v>
      </c>
      <c r="O79" s="65">
        <f t="shared" si="174"/>
        <v>2022</v>
      </c>
      <c r="P79" s="65">
        <f t="shared" si="174"/>
        <v>2023</v>
      </c>
      <c r="Q79" s="65">
        <f t="shared" si="174"/>
        <v>2024</v>
      </c>
      <c r="R79" s="65">
        <f t="shared" si="174"/>
        <v>2025</v>
      </c>
      <c r="S79" s="65">
        <f t="shared" si="174"/>
        <v>2026</v>
      </c>
      <c r="T79" s="129">
        <f t="shared" ref="T79" si="175">S79+1</f>
        <v>2027</v>
      </c>
    </row>
    <row r="80" spans="2:20">
      <c r="B80" s="57" t="s">
        <v>94</v>
      </c>
      <c r="C80" s="664">
        <v>-7.4999999999999997E-3</v>
      </c>
      <c r="D80" s="665"/>
      <c r="E80" s="666"/>
      <c r="F80" s="131"/>
      <c r="G80" s="85" t="s">
        <v>104</v>
      </c>
      <c r="H80" s="137">
        <f>IS!B33*-1</f>
        <v>-289.084</v>
      </c>
      <c r="I80" s="138">
        <f>IS!C33*-1</f>
        <v>-377.86900000000003</v>
      </c>
      <c r="J80" s="141">
        <f>IS!D33*-1</f>
        <v>-503.72300000000001</v>
      </c>
      <c r="K80" s="139">
        <f>IS!E33*-1</f>
        <v>-750.39599999999996</v>
      </c>
      <c r="L80" s="139">
        <f>IS!F33*-1</f>
        <v>-1061.0820000000001</v>
      </c>
      <c r="M80" s="140">
        <f>IS!G33*-1</f>
        <v>-1504.2719999999999</v>
      </c>
      <c r="N80" s="139">
        <f>N81*N35*-1</f>
        <v>-2314.2616132410708</v>
      </c>
      <c r="O80" s="139">
        <f t="shared" ref="O80:T80" si="176">O81*O35*-1</f>
        <v>-3088.7445761553099</v>
      </c>
      <c r="P80" s="139">
        <f t="shared" si="176"/>
        <v>-3816.0351669636862</v>
      </c>
      <c r="Q80" s="139">
        <f t="shared" si="176"/>
        <v>-4491.4365259349743</v>
      </c>
      <c r="R80" s="139">
        <f t="shared" si="176"/>
        <v>-5142.3908355872554</v>
      </c>
      <c r="S80" s="139">
        <f t="shared" si="176"/>
        <v>-5791.9714490463512</v>
      </c>
      <c r="T80" s="140">
        <f t="shared" si="176"/>
        <v>-6445.409610979088</v>
      </c>
    </row>
    <row r="81" spans="2:20">
      <c r="B81" s="131"/>
      <c r="C81" s="131"/>
      <c r="D81" s="131"/>
      <c r="E81" s="131"/>
      <c r="F81" s="131"/>
      <c r="G81" s="86" t="s">
        <v>107</v>
      </c>
      <c r="H81" s="87">
        <f>H80/H35*-1</f>
        <v>0.22814291960180511</v>
      </c>
      <c r="I81" s="88">
        <f t="shared" ref="I81:L81" si="177">I80/I35*-1</f>
        <v>0.22114142683328644</v>
      </c>
      <c r="J81" s="130">
        <f t="shared" si="177"/>
        <v>0.22749116745015141</v>
      </c>
      <c r="K81" s="106">
        <f t="shared" si="177"/>
        <v>0.22751841396019679</v>
      </c>
      <c r="L81" s="190">
        <f t="shared" si="177"/>
        <v>0.22511551925320888</v>
      </c>
      <c r="M81" s="90">
        <f t="shared" ref="M81" si="178">M80/M35*-1</f>
        <v>0.19658451729911916</v>
      </c>
      <c r="N81" s="190">
        <f>C79</f>
        <v>0.19658451729911916</v>
      </c>
      <c r="O81" s="190">
        <f>N81+$C$80</f>
        <v>0.18908451729911915</v>
      </c>
      <c r="P81" s="190">
        <f t="shared" ref="P81:S81" si="179">O81+$C$80</f>
        <v>0.18158451729911915</v>
      </c>
      <c r="Q81" s="190">
        <f t="shared" si="179"/>
        <v>0.17408451729911914</v>
      </c>
      <c r="R81" s="190">
        <f t="shared" si="179"/>
        <v>0.16658451729911913</v>
      </c>
      <c r="S81" s="190">
        <f t="shared" si="179"/>
        <v>0.15908451729911913</v>
      </c>
      <c r="T81" s="191">
        <f t="shared" ref="T81" si="180">S81+$C$80</f>
        <v>0.15158451729911912</v>
      </c>
    </row>
    <row r="83" spans="2:20" ht="16" thickBot="1">
      <c r="B83" s="667" t="s">
        <v>170</v>
      </c>
      <c r="C83" s="668"/>
      <c r="D83" s="668"/>
      <c r="E83" s="669"/>
      <c r="F83" s="131"/>
      <c r="G83" s="132" t="s">
        <v>108</v>
      </c>
      <c r="H83" s="134"/>
      <c r="I83" s="134"/>
      <c r="J83" s="134"/>
      <c r="K83" s="134"/>
      <c r="L83" s="134"/>
      <c r="M83" s="134"/>
      <c r="N83" s="135"/>
      <c r="O83" s="133"/>
      <c r="P83" s="133"/>
      <c r="Q83" s="133"/>
      <c r="R83" s="134"/>
      <c r="S83" s="134"/>
      <c r="T83" s="136"/>
    </row>
    <row r="84" spans="2:20">
      <c r="B84" s="66" t="s">
        <v>171</v>
      </c>
      <c r="C84" s="670">
        <f>M86</f>
        <v>0.10476452217886557</v>
      </c>
      <c r="D84" s="671"/>
      <c r="E84" s="672"/>
      <c r="F84" s="131"/>
      <c r="G84" s="63" t="s">
        <v>118</v>
      </c>
      <c r="H84" s="65">
        <v>2015</v>
      </c>
      <c r="I84" s="65">
        <f>H84+1</f>
        <v>2016</v>
      </c>
      <c r="J84" s="65">
        <f t="shared" ref="J84:S84" si="181">I84+1</f>
        <v>2017</v>
      </c>
      <c r="K84" s="65">
        <f t="shared" si="181"/>
        <v>2018</v>
      </c>
      <c r="L84" s="65">
        <f t="shared" si="181"/>
        <v>2019</v>
      </c>
      <c r="M84" s="65">
        <f t="shared" si="181"/>
        <v>2020</v>
      </c>
      <c r="N84" s="128">
        <f>M84+1</f>
        <v>2021</v>
      </c>
      <c r="O84" s="65">
        <f t="shared" si="181"/>
        <v>2022</v>
      </c>
      <c r="P84" s="65">
        <f t="shared" si="181"/>
        <v>2023</v>
      </c>
      <c r="Q84" s="65">
        <f t="shared" si="181"/>
        <v>2024</v>
      </c>
      <c r="R84" s="65">
        <f t="shared" si="181"/>
        <v>2025</v>
      </c>
      <c r="S84" s="65">
        <f t="shared" si="181"/>
        <v>2026</v>
      </c>
      <c r="T84" s="129">
        <f t="shared" ref="T84" si="182">S84+1</f>
        <v>2027</v>
      </c>
    </row>
    <row r="85" spans="2:20">
      <c r="B85" s="57" t="s">
        <v>94</v>
      </c>
      <c r="C85" s="664">
        <v>-7.4999999999999997E-3</v>
      </c>
      <c r="D85" s="665"/>
      <c r="E85" s="666"/>
      <c r="F85" s="131"/>
      <c r="G85" s="85" t="s">
        <v>108</v>
      </c>
      <c r="H85" s="137">
        <f>IS!B34*-1</f>
        <v>-199.63800000000001</v>
      </c>
      <c r="I85" s="138">
        <f>IS!C34*-1</f>
        <v>-268.53699999999998</v>
      </c>
      <c r="J85" s="141">
        <f>IS!D34*-1</f>
        <v>-321.88799999999998</v>
      </c>
      <c r="K85" s="139">
        <f>IS!E34*-1</f>
        <v>-497.47899999999998</v>
      </c>
      <c r="L85" s="139">
        <f>IS!F34*-1</f>
        <v>-670.60599999999999</v>
      </c>
      <c r="M85" s="140">
        <f>IS!G34*-1</f>
        <v>-801.66200000000003</v>
      </c>
      <c r="N85" s="139">
        <f>N86*N35*-1</f>
        <v>-1233.3245539331074</v>
      </c>
      <c r="O85" s="139">
        <f t="shared" ref="O85:T85" si="183">O86*O35*-1</f>
        <v>-1588.8411680849367</v>
      </c>
      <c r="P85" s="139">
        <f t="shared" si="183"/>
        <v>-1886.4194947633041</v>
      </c>
      <c r="Q85" s="139">
        <f t="shared" si="183"/>
        <v>-2122.451125667189</v>
      </c>
      <c r="R85" s="139">
        <f t="shared" si="183"/>
        <v>-2307.9479408599959</v>
      </c>
      <c r="S85" s="139">
        <f t="shared" si="183"/>
        <v>-2448.9761707055295</v>
      </c>
      <c r="T85" s="140">
        <f t="shared" si="183"/>
        <v>-2541.2016511363813</v>
      </c>
    </row>
    <row r="86" spans="2:20">
      <c r="B86" s="131"/>
      <c r="C86" s="131"/>
      <c r="D86" s="131"/>
      <c r="E86" s="131"/>
      <c r="F86" s="131"/>
      <c r="G86" s="86" t="s">
        <v>107</v>
      </c>
      <c r="H86" s="87">
        <f>H85/H35*-1</f>
        <v>0.15755280881496439</v>
      </c>
      <c r="I86" s="88">
        <f t="shared" ref="I86:L86" si="184">I85/I35*-1</f>
        <v>0.15715672716610843</v>
      </c>
      <c r="J86" s="130">
        <f t="shared" si="184"/>
        <v>0.14537092193168533</v>
      </c>
      <c r="K86" s="106">
        <f t="shared" si="184"/>
        <v>0.15083453677592196</v>
      </c>
      <c r="L86" s="190">
        <f t="shared" si="184"/>
        <v>0.14227346982072769</v>
      </c>
      <c r="M86" s="90">
        <f t="shared" ref="M86" si="185">M85/M35*-1</f>
        <v>0.10476452217886557</v>
      </c>
      <c r="N86" s="190">
        <f>C84</f>
        <v>0.10476452217886557</v>
      </c>
      <c r="O86" s="190">
        <f>N86+$C$85</f>
        <v>9.7264522178865581E-2</v>
      </c>
      <c r="P86" s="190">
        <f t="shared" ref="P86:S86" si="186">O86+$C$85</f>
        <v>8.9764522178865574E-2</v>
      </c>
      <c r="Q86" s="190">
        <f t="shared" si="186"/>
        <v>8.2264522178865568E-2</v>
      </c>
      <c r="R86" s="190">
        <f t="shared" si="186"/>
        <v>7.4764522178865561E-2</v>
      </c>
      <c r="S86" s="190">
        <f t="shared" si="186"/>
        <v>6.7264522178865555E-2</v>
      </c>
      <c r="T86" s="191">
        <f t="shared" ref="T86" si="187">S86+$C$85</f>
        <v>5.9764522178865555E-2</v>
      </c>
    </row>
    <row r="88" spans="2:20" ht="16" thickBot="1">
      <c r="B88" s="667" t="s">
        <v>172</v>
      </c>
      <c r="C88" s="668"/>
      <c r="D88" s="668"/>
      <c r="E88" s="669"/>
      <c r="F88" s="131"/>
      <c r="G88" s="132" t="s">
        <v>111</v>
      </c>
      <c r="H88" s="134"/>
      <c r="I88" s="134"/>
      <c r="J88" s="134"/>
      <c r="K88" s="134"/>
      <c r="L88" s="134"/>
      <c r="M88" s="134"/>
      <c r="N88" s="135"/>
      <c r="O88" s="133"/>
      <c r="P88" s="133"/>
      <c r="Q88" s="133"/>
      <c r="R88" s="134"/>
      <c r="S88" s="134"/>
      <c r="T88" s="136"/>
    </row>
    <row r="89" spans="2:20">
      <c r="B89" s="66"/>
      <c r="C89" s="670">
        <f>M91</f>
        <v>1.7326105454011785E-3</v>
      </c>
      <c r="D89" s="671"/>
      <c r="E89" s="672"/>
      <c r="F89" s="131"/>
      <c r="G89" s="63" t="s">
        <v>118</v>
      </c>
      <c r="H89" s="65">
        <v>2015</v>
      </c>
      <c r="I89" s="65">
        <f>H89+1</f>
        <v>2016</v>
      </c>
      <c r="J89" s="65">
        <f t="shared" ref="J89:S89" si="188">I89+1</f>
        <v>2017</v>
      </c>
      <c r="K89" s="65">
        <f t="shared" si="188"/>
        <v>2018</v>
      </c>
      <c r="L89" s="65">
        <f t="shared" si="188"/>
        <v>2019</v>
      </c>
      <c r="M89" s="65">
        <f t="shared" si="188"/>
        <v>2020</v>
      </c>
      <c r="N89" s="128">
        <f>M89+1</f>
        <v>2021</v>
      </c>
      <c r="O89" s="65">
        <f t="shared" si="188"/>
        <v>2022</v>
      </c>
      <c r="P89" s="65">
        <f t="shared" si="188"/>
        <v>2023</v>
      </c>
      <c r="Q89" s="65">
        <f t="shared" si="188"/>
        <v>2024</v>
      </c>
      <c r="R89" s="65">
        <f t="shared" si="188"/>
        <v>2025</v>
      </c>
      <c r="S89" s="65">
        <f t="shared" si="188"/>
        <v>2026</v>
      </c>
      <c r="T89" s="129">
        <f t="shared" ref="T89" si="189">S89+1</f>
        <v>2027</v>
      </c>
    </row>
    <row r="90" spans="2:20">
      <c r="B90" s="57" t="s">
        <v>94</v>
      </c>
      <c r="C90" s="664">
        <f>0</f>
        <v>0</v>
      </c>
      <c r="D90" s="665"/>
      <c r="E90" s="666"/>
      <c r="F90" s="131"/>
      <c r="G90" s="85" t="s">
        <v>173</v>
      </c>
      <c r="H90" s="137">
        <f>IS!B36*-1</f>
        <v>-7.3959999999999999</v>
      </c>
      <c r="I90" s="138">
        <f>IS!C36*-1</f>
        <v>-8.8780000000000001</v>
      </c>
      <c r="J90" s="141">
        <f>IS!D36*-1</f>
        <v>-7.4269999999999996</v>
      </c>
      <c r="K90" s="139">
        <f>IS!E36*-1</f>
        <v>-11.452</v>
      </c>
      <c r="L90" s="139">
        <f>IS!F36*-1</f>
        <v>-11.430999999999999</v>
      </c>
      <c r="M90" s="140">
        <f>IS!G36*-1</f>
        <v>-13.257999999999999</v>
      </c>
      <c r="N90" s="139">
        <f>N91*N35*-1</f>
        <v>-20.396896617333908</v>
      </c>
      <c r="O90" s="139">
        <f t="shared" ref="O90:T90" si="190">O91*O35*-1</f>
        <v>-28.30264212606853</v>
      </c>
      <c r="P90" s="139">
        <f t="shared" si="190"/>
        <v>-36.411159223513287</v>
      </c>
      <c r="Q90" s="139">
        <f t="shared" si="190"/>
        <v>-44.701909219553244</v>
      </c>
      <c r="R90" s="139">
        <f t="shared" si="190"/>
        <v>-53.484926058971567</v>
      </c>
      <c r="S90" s="139">
        <f t="shared" si="190"/>
        <v>-63.081128079934274</v>
      </c>
      <c r="T90" s="140">
        <f t="shared" si="190"/>
        <v>-73.671011132199382</v>
      </c>
    </row>
    <row r="91" spans="2:20">
      <c r="B91" s="131"/>
      <c r="C91" s="131"/>
      <c r="D91" s="131"/>
      <c r="E91" s="131"/>
      <c r="F91" s="131"/>
      <c r="G91" s="86" t="s">
        <v>107</v>
      </c>
      <c r="H91" s="87">
        <f>H90/H35*-1</f>
        <v>5.8368676003339873E-3</v>
      </c>
      <c r="I91" s="88">
        <f t="shared" ref="I91:L91" si="191">I90/I35*-1</f>
        <v>5.195699005279387E-3</v>
      </c>
      <c r="J91" s="130">
        <f t="shared" si="191"/>
        <v>3.354178587541713E-3</v>
      </c>
      <c r="K91" s="106">
        <f t="shared" si="191"/>
        <v>3.472221169452094E-3</v>
      </c>
      <c r="L91" s="190">
        <f t="shared" si="191"/>
        <v>2.4251617693858067E-3</v>
      </c>
      <c r="M91" s="90">
        <f t="shared" ref="M91" si="192">M90/M35*-1</f>
        <v>1.7326105454011785E-3</v>
      </c>
      <c r="N91" s="190">
        <f>C89</f>
        <v>1.7326105454011785E-3</v>
      </c>
      <c r="O91" s="190">
        <f>N91+$C$90</f>
        <v>1.7326105454011785E-3</v>
      </c>
      <c r="P91" s="190">
        <f t="shared" ref="P91:S91" si="193">O91+$C$90</f>
        <v>1.7326105454011785E-3</v>
      </c>
      <c r="Q91" s="190">
        <f t="shared" si="193"/>
        <v>1.7326105454011785E-3</v>
      </c>
      <c r="R91" s="190">
        <f t="shared" si="193"/>
        <v>1.7326105454011785E-3</v>
      </c>
      <c r="S91" s="190">
        <f t="shared" si="193"/>
        <v>1.7326105454011785E-3</v>
      </c>
      <c r="T91" s="191">
        <f t="shared" ref="T91" si="194">S91+$C$90</f>
        <v>1.7326105454011785E-3</v>
      </c>
    </row>
    <row r="93" spans="2:20" ht="16" thickBot="1">
      <c r="B93" s="667" t="s">
        <v>174</v>
      </c>
      <c r="C93" s="668"/>
      <c r="D93" s="668"/>
      <c r="E93" s="669"/>
      <c r="F93" s="131"/>
      <c r="G93" s="132" t="s">
        <v>114</v>
      </c>
      <c r="H93" s="134"/>
      <c r="I93" s="134"/>
      <c r="J93" s="134"/>
      <c r="K93" s="134"/>
      <c r="L93" s="134"/>
      <c r="M93" s="134"/>
      <c r="N93" s="135"/>
      <c r="O93" s="133"/>
      <c r="P93" s="133"/>
      <c r="Q93" s="133"/>
      <c r="R93" s="134"/>
      <c r="S93" s="134"/>
      <c r="T93" s="136"/>
    </row>
    <row r="94" spans="2:20">
      <c r="B94" s="66" t="s">
        <v>175</v>
      </c>
      <c r="C94" s="670">
        <f>M96</f>
        <v>2.5328680454629271E-2</v>
      </c>
      <c r="D94" s="671"/>
      <c r="E94" s="672"/>
      <c r="F94" s="131"/>
      <c r="G94" s="63" t="s">
        <v>118</v>
      </c>
      <c r="H94" s="65">
        <v>2015</v>
      </c>
      <c r="I94" s="65">
        <f>H94+1</f>
        <v>2016</v>
      </c>
      <c r="J94" s="65">
        <f t="shared" ref="J94:S94" si="195">I94+1</f>
        <v>2017</v>
      </c>
      <c r="K94" s="65">
        <f t="shared" si="195"/>
        <v>2018</v>
      </c>
      <c r="L94" s="65">
        <f t="shared" si="195"/>
        <v>2019</v>
      </c>
      <c r="M94" s="65">
        <f t="shared" si="195"/>
        <v>2020</v>
      </c>
      <c r="N94" s="128">
        <f>M94+1</f>
        <v>2021</v>
      </c>
      <c r="O94" s="65">
        <f t="shared" si="195"/>
        <v>2022</v>
      </c>
      <c r="P94" s="65">
        <f t="shared" si="195"/>
        <v>2023</v>
      </c>
      <c r="Q94" s="65">
        <f t="shared" si="195"/>
        <v>2024</v>
      </c>
      <c r="R94" s="65">
        <f t="shared" si="195"/>
        <v>2025</v>
      </c>
      <c r="S94" s="65">
        <f t="shared" si="195"/>
        <v>2026</v>
      </c>
      <c r="T94" s="129">
        <f t="shared" ref="T94" si="196">S94+1</f>
        <v>2027</v>
      </c>
    </row>
    <row r="95" spans="2:20">
      <c r="B95" s="57" t="s">
        <v>94</v>
      </c>
      <c r="C95" s="664">
        <f>0</f>
        <v>0</v>
      </c>
      <c r="D95" s="665"/>
      <c r="E95" s="666"/>
      <c r="F95" s="131"/>
      <c r="G95" s="85" t="s">
        <v>176</v>
      </c>
      <c r="H95" s="137">
        <f>IS!B37*-1</f>
        <v>-49.609000000000002</v>
      </c>
      <c r="I95" s="138">
        <f>IS!C37*-1</f>
        <v>-51.234999999999999</v>
      </c>
      <c r="J95" s="141">
        <f>IS!D37*-1</f>
        <v>-67.018000000000001</v>
      </c>
      <c r="K95" s="139">
        <f>IS!E37*-1</f>
        <v>-88.076999999999998</v>
      </c>
      <c r="L95" s="139">
        <f>IS!F37*-1</f>
        <v>-126.959</v>
      </c>
      <c r="M95" s="140">
        <f>IS!G37*-1</f>
        <v>-193.816</v>
      </c>
      <c r="N95" s="139">
        <f>N96*N35*-1</f>
        <v>-298.17807473112003</v>
      </c>
      <c r="O95" s="139">
        <f t="shared" ref="O95:T95" si="197">O96*O35*-1</f>
        <v>-413.75055712068934</v>
      </c>
      <c r="P95" s="139">
        <f t="shared" si="197"/>
        <v>-532.28731604046254</v>
      </c>
      <c r="Q95" s="139">
        <f t="shared" si="197"/>
        <v>-653.48810056546495</v>
      </c>
      <c r="R95" s="139">
        <f t="shared" si="197"/>
        <v>-781.88523374910505</v>
      </c>
      <c r="S95" s="139">
        <f t="shared" si="197"/>
        <v>-922.17015537340046</v>
      </c>
      <c r="T95" s="140">
        <f t="shared" si="197"/>
        <v>-1076.9814974806425</v>
      </c>
    </row>
    <row r="96" spans="2:20">
      <c r="B96" s="131"/>
      <c r="C96" s="131"/>
      <c r="D96" s="131"/>
      <c r="E96" s="131"/>
      <c r="F96" s="131"/>
      <c r="G96" s="86" t="s">
        <v>107</v>
      </c>
      <c r="H96" s="87">
        <f>H95/H35*-1</f>
        <v>3.9151049862759441E-2</v>
      </c>
      <c r="I96" s="88">
        <f t="shared" ref="I96:L96" si="198">I95/I35*-1</f>
        <v>2.9984415243916356E-2</v>
      </c>
      <c r="J96" s="130">
        <f t="shared" si="198"/>
        <v>3.0266640713595062E-2</v>
      </c>
      <c r="K96" s="106">
        <f t="shared" si="198"/>
        <v>2.6704752352587503E-2</v>
      </c>
      <c r="L96" s="190">
        <f t="shared" si="198"/>
        <v>2.6935186167391535E-2</v>
      </c>
      <c r="M96" s="90">
        <f t="shared" ref="M96" si="199">M95/M35*-1</f>
        <v>2.5328680454629271E-2</v>
      </c>
      <c r="N96" s="190">
        <f>C94</f>
        <v>2.5328680454629271E-2</v>
      </c>
      <c r="O96" s="190">
        <f>N96+$C$95</f>
        <v>2.5328680454629271E-2</v>
      </c>
      <c r="P96" s="190">
        <f t="shared" ref="P96:S96" si="200">O96+$C$95</f>
        <v>2.5328680454629271E-2</v>
      </c>
      <c r="Q96" s="190">
        <f t="shared" si="200"/>
        <v>2.5328680454629271E-2</v>
      </c>
      <c r="R96" s="190">
        <f t="shared" si="200"/>
        <v>2.5328680454629271E-2</v>
      </c>
      <c r="S96" s="190">
        <f t="shared" si="200"/>
        <v>2.5328680454629271E-2</v>
      </c>
      <c r="T96" s="191">
        <f t="shared" ref="T96" si="201">S96+$C$95</f>
        <v>2.5328680454629271E-2</v>
      </c>
    </row>
    <row r="98" spans="7:20" ht="16" thickBot="1">
      <c r="G98" s="132" t="s">
        <v>117</v>
      </c>
      <c r="H98" s="134"/>
      <c r="I98" s="134"/>
      <c r="J98" s="134"/>
      <c r="K98" s="134"/>
      <c r="L98" s="134"/>
      <c r="M98" s="134"/>
      <c r="N98" s="135"/>
      <c r="O98" s="133"/>
      <c r="P98" s="133"/>
      <c r="Q98" s="133"/>
      <c r="R98" s="134"/>
      <c r="S98" s="134"/>
      <c r="T98" s="136"/>
    </row>
    <row r="99" spans="7:20">
      <c r="G99" s="63" t="s">
        <v>118</v>
      </c>
      <c r="H99" s="65">
        <v>2015</v>
      </c>
      <c r="I99" s="65">
        <f>H99+1</f>
        <v>2016</v>
      </c>
      <c r="J99" s="65">
        <f t="shared" ref="J99:S99" si="202">I99+1</f>
        <v>2017</v>
      </c>
      <c r="K99" s="65">
        <f t="shared" si="202"/>
        <v>2018</v>
      </c>
      <c r="L99" s="65">
        <f t="shared" si="202"/>
        <v>2019</v>
      </c>
      <c r="M99" s="65">
        <f t="shared" si="202"/>
        <v>2020</v>
      </c>
      <c r="N99" s="128">
        <f>M99+1</f>
        <v>2021</v>
      </c>
      <c r="O99" s="65">
        <f t="shared" si="202"/>
        <v>2022</v>
      </c>
      <c r="P99" s="65">
        <f t="shared" si="202"/>
        <v>2023</v>
      </c>
      <c r="Q99" s="65">
        <f t="shared" si="202"/>
        <v>2024</v>
      </c>
      <c r="R99" s="65">
        <f t="shared" si="202"/>
        <v>2025</v>
      </c>
      <c r="S99" s="65">
        <f t="shared" si="202"/>
        <v>2026</v>
      </c>
      <c r="T99" s="129">
        <f t="shared" ref="T99" si="203">S99+1</f>
        <v>2027</v>
      </c>
    </row>
    <row r="100" spans="7:20">
      <c r="G100" s="83" t="s">
        <v>104</v>
      </c>
      <c r="H100" s="98">
        <f>H80</f>
        <v>-289.084</v>
      </c>
      <c r="I100" s="99">
        <f t="shared" ref="I100:L100" si="204">I80</f>
        <v>-377.86900000000003</v>
      </c>
      <c r="J100" s="99">
        <f t="shared" si="204"/>
        <v>-503.72300000000001</v>
      </c>
      <c r="K100" s="99">
        <f t="shared" si="204"/>
        <v>-750.39599999999996</v>
      </c>
      <c r="L100" s="99">
        <f t="shared" si="204"/>
        <v>-1061.0820000000001</v>
      </c>
      <c r="M100" s="99">
        <f t="shared" ref="M100" si="205">M80</f>
        <v>-1504.2719999999999</v>
      </c>
      <c r="N100" s="98">
        <f>N80</f>
        <v>-2314.2616132410708</v>
      </c>
      <c r="O100" s="99">
        <f t="shared" ref="O100:S100" si="206">O80</f>
        <v>-3088.7445761553099</v>
      </c>
      <c r="P100" s="99">
        <f t="shared" si="206"/>
        <v>-3816.0351669636862</v>
      </c>
      <c r="Q100" s="99">
        <f t="shared" si="206"/>
        <v>-4491.4365259349743</v>
      </c>
      <c r="R100" s="99">
        <f t="shared" si="206"/>
        <v>-5142.3908355872554</v>
      </c>
      <c r="S100" s="99">
        <f t="shared" si="206"/>
        <v>-5791.9714490463512</v>
      </c>
      <c r="T100" s="100">
        <f t="shared" ref="T100" si="207">T80</f>
        <v>-6445.409610979088</v>
      </c>
    </row>
    <row r="101" spans="7:20">
      <c r="G101" s="84" t="s">
        <v>108</v>
      </c>
      <c r="H101" s="102">
        <f>H85</f>
        <v>-199.63800000000001</v>
      </c>
      <c r="I101" s="198">
        <f t="shared" ref="I101:L101" si="208">I85</f>
        <v>-268.53699999999998</v>
      </c>
      <c r="J101" s="198">
        <f t="shared" si="208"/>
        <v>-321.88799999999998</v>
      </c>
      <c r="K101" s="198">
        <f t="shared" si="208"/>
        <v>-497.47899999999998</v>
      </c>
      <c r="L101" s="198">
        <f t="shared" si="208"/>
        <v>-670.60599999999999</v>
      </c>
      <c r="M101" s="198">
        <f t="shared" ref="M101" si="209">M85</f>
        <v>-801.66200000000003</v>
      </c>
      <c r="N101" s="102">
        <f>N85</f>
        <v>-1233.3245539331074</v>
      </c>
      <c r="O101" s="198">
        <f t="shared" ref="O101:S101" si="210">O85</f>
        <v>-1588.8411680849367</v>
      </c>
      <c r="P101" s="198">
        <f t="shared" si="210"/>
        <v>-1886.4194947633041</v>
      </c>
      <c r="Q101" s="198">
        <f t="shared" si="210"/>
        <v>-2122.451125667189</v>
      </c>
      <c r="R101" s="198">
        <f t="shared" si="210"/>
        <v>-2307.9479408599959</v>
      </c>
      <c r="S101" s="198">
        <f t="shared" si="210"/>
        <v>-2448.9761707055295</v>
      </c>
      <c r="T101" s="104">
        <f t="shared" ref="T101" si="211">T85</f>
        <v>-2541.2016511363813</v>
      </c>
    </row>
    <row r="102" spans="7:20">
      <c r="G102" s="84" t="s">
        <v>177</v>
      </c>
      <c r="H102" s="102">
        <f>H90</f>
        <v>-7.3959999999999999</v>
      </c>
      <c r="I102" s="198">
        <f t="shared" ref="I102:L102" si="212">I90</f>
        <v>-8.8780000000000001</v>
      </c>
      <c r="J102" s="198">
        <f t="shared" si="212"/>
        <v>-7.4269999999999996</v>
      </c>
      <c r="K102" s="198">
        <f t="shared" si="212"/>
        <v>-11.452</v>
      </c>
      <c r="L102" s="198">
        <f t="shared" si="212"/>
        <v>-11.430999999999999</v>
      </c>
      <c r="M102" s="198">
        <f t="shared" ref="M102" si="213">M90</f>
        <v>-13.257999999999999</v>
      </c>
      <c r="N102" s="102">
        <f>N90</f>
        <v>-20.396896617333908</v>
      </c>
      <c r="O102" s="198">
        <f t="shared" ref="O102:S102" si="214">O90</f>
        <v>-28.30264212606853</v>
      </c>
      <c r="P102" s="198">
        <f t="shared" si="214"/>
        <v>-36.411159223513287</v>
      </c>
      <c r="Q102" s="198">
        <f t="shared" si="214"/>
        <v>-44.701909219553244</v>
      </c>
      <c r="R102" s="198">
        <f t="shared" si="214"/>
        <v>-53.484926058971567</v>
      </c>
      <c r="S102" s="198">
        <f t="shared" si="214"/>
        <v>-63.081128079934274</v>
      </c>
      <c r="T102" s="104">
        <f t="shared" ref="T102" si="215">T90</f>
        <v>-73.671011132199382</v>
      </c>
    </row>
    <row r="103" spans="7:20">
      <c r="G103" s="84" t="s">
        <v>178</v>
      </c>
      <c r="H103" s="200">
        <f>H95</f>
        <v>-49.609000000000002</v>
      </c>
      <c r="I103" s="201">
        <f t="shared" ref="I103:L103" si="216">I95</f>
        <v>-51.234999999999999</v>
      </c>
      <c r="J103" s="201">
        <f t="shared" si="216"/>
        <v>-67.018000000000001</v>
      </c>
      <c r="K103" s="201">
        <f t="shared" si="216"/>
        <v>-88.076999999999998</v>
      </c>
      <c r="L103" s="201">
        <f t="shared" si="216"/>
        <v>-126.959</v>
      </c>
      <c r="M103" s="201">
        <f t="shared" ref="M103" si="217">M95</f>
        <v>-193.816</v>
      </c>
      <c r="N103" s="200">
        <f>N95</f>
        <v>-298.17807473112003</v>
      </c>
      <c r="O103" s="201">
        <f t="shared" ref="O103:S103" si="218">O95</f>
        <v>-413.75055712068934</v>
      </c>
      <c r="P103" s="201">
        <f t="shared" si="218"/>
        <v>-532.28731604046254</v>
      </c>
      <c r="Q103" s="201">
        <f t="shared" si="218"/>
        <v>-653.48810056546495</v>
      </c>
      <c r="R103" s="201">
        <f t="shared" si="218"/>
        <v>-781.88523374910505</v>
      </c>
      <c r="S103" s="201">
        <f t="shared" si="218"/>
        <v>-922.17015537340046</v>
      </c>
      <c r="T103" s="202">
        <f t="shared" ref="T103" si="219">T95</f>
        <v>-1076.9814974806425</v>
      </c>
    </row>
    <row r="104" spans="7:20">
      <c r="G104" s="85" t="s">
        <v>117</v>
      </c>
      <c r="H104" s="98">
        <f>SUM(H100:H103)</f>
        <v>-545.72699999999998</v>
      </c>
      <c r="I104" s="99">
        <f t="shared" ref="I104:L104" si="220">SUM(I100:I103)</f>
        <v>-706.51900000000001</v>
      </c>
      <c r="J104" s="99">
        <f t="shared" si="220"/>
        <v>-900.05600000000004</v>
      </c>
      <c r="K104" s="99">
        <f t="shared" si="220"/>
        <v>-1347.404</v>
      </c>
      <c r="L104" s="99">
        <f t="shared" si="220"/>
        <v>-1870.0780000000002</v>
      </c>
      <c r="M104" s="99">
        <f t="shared" ref="M104" si="221">SUM(M100:M103)</f>
        <v>-2513.0079999999998</v>
      </c>
      <c r="N104" s="98">
        <f t="shared" ref="N104" si="222">SUM(N100:N103)</f>
        <v>-3866.161138522632</v>
      </c>
      <c r="O104" s="99">
        <f t="shared" ref="O104" si="223">SUM(O100:O103)</f>
        <v>-5119.6389434870043</v>
      </c>
      <c r="P104" s="99">
        <f t="shared" ref="P104" si="224">SUM(P100:P103)</f>
        <v>-6271.1531369909653</v>
      </c>
      <c r="Q104" s="99">
        <f t="shared" ref="Q104" si="225">SUM(Q100:Q103)</f>
        <v>-7312.0776613871813</v>
      </c>
      <c r="R104" s="99">
        <f t="shared" ref="R104" si="226">SUM(R100:R103)</f>
        <v>-8285.7089362553288</v>
      </c>
      <c r="S104" s="99">
        <f t="shared" ref="S104:T104" si="227">SUM(S100:S103)</f>
        <v>-9226.1989032052152</v>
      </c>
      <c r="T104" s="100">
        <f t="shared" si="227"/>
        <v>-10137.263770728312</v>
      </c>
    </row>
    <row r="105" spans="7:20">
      <c r="G105" s="86" t="s">
        <v>107</v>
      </c>
      <c r="H105" s="87">
        <f>H104/H35*-1</f>
        <v>0.43068364587986291</v>
      </c>
      <c r="I105" s="88">
        <f t="shared" ref="I105:L105" si="228">I104/I35*-1</f>
        <v>0.41347826824859063</v>
      </c>
      <c r="J105" s="130">
        <f t="shared" si="228"/>
        <v>0.40648290868297354</v>
      </c>
      <c r="K105" s="89">
        <f t="shared" si="228"/>
        <v>0.40852992425815837</v>
      </c>
      <c r="L105" s="89">
        <f t="shared" si="228"/>
        <v>0.39674933701071396</v>
      </c>
      <c r="M105" s="89">
        <f t="shared" ref="M105" si="229">M104/M35*-1</f>
        <v>0.32841033047801516</v>
      </c>
      <c r="N105" s="87">
        <f t="shared" ref="N105" si="230">N104/N35*-1</f>
        <v>0.32841033047801521</v>
      </c>
      <c r="O105" s="88">
        <f t="shared" ref="O105" si="231">O104/O35*-1</f>
        <v>0.31341033047801514</v>
      </c>
      <c r="P105" s="130">
        <f t="shared" ref="P105" si="232">P104/P35*-1</f>
        <v>0.29841033047801513</v>
      </c>
      <c r="Q105" s="89">
        <f t="shared" ref="Q105" si="233">Q104/Q35*-1</f>
        <v>0.28341033047801517</v>
      </c>
      <c r="R105" s="89">
        <f t="shared" ref="R105" si="234">R104/R35*-1</f>
        <v>0.26841033047801516</v>
      </c>
      <c r="S105" s="89">
        <f t="shared" ref="S105:T105" si="235">S104/S35*-1</f>
        <v>0.25341033047801514</v>
      </c>
      <c r="T105" s="90">
        <f t="shared" si="235"/>
        <v>0.23841033047801516</v>
      </c>
    </row>
  </sheetData>
  <mergeCells count="14">
    <mergeCell ref="B2:B3"/>
    <mergeCell ref="C2:C3"/>
    <mergeCell ref="C95:E95"/>
    <mergeCell ref="B83:E83"/>
    <mergeCell ref="C84:E84"/>
    <mergeCell ref="C85:E85"/>
    <mergeCell ref="B88:E88"/>
    <mergeCell ref="C89:E89"/>
    <mergeCell ref="C90:E90"/>
    <mergeCell ref="B78:E78"/>
    <mergeCell ref="C79:E79"/>
    <mergeCell ref="C80:E80"/>
    <mergeCell ref="B93:E93"/>
    <mergeCell ref="C94:E94"/>
  </mergeCells>
  <phoneticPr fontId="35" type="noConversion"/>
  <pageMargins left="0.7" right="0.7" top="0.75" bottom="0.75" header="0.3" footer="0.3"/>
  <pageSetup scale="24" orientation="landscape"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E7025-AE59-BC4D-BAE3-C5CA4692CAB4}">
  <sheetPr>
    <tabColor rgb="FF6985AA"/>
  </sheetPr>
  <dimension ref="A1:O42"/>
  <sheetViews>
    <sheetView showGridLines="0" view="pageBreakPreview" zoomScale="60" zoomScaleNormal="89" workbookViewId="0">
      <pane ySplit="3" topLeftCell="A4" activePane="bottomLeft" state="frozen"/>
      <selection pane="bottomLeft" activeCell="B13" sqref="B13:O16"/>
    </sheetView>
  </sheetViews>
  <sheetFormatPr baseColWidth="10" defaultColWidth="9.1640625" defaultRowHeight="15"/>
  <cols>
    <col min="1" max="1" width="6.5" style="131" customWidth="1"/>
    <col min="2" max="2" width="32" style="131" customWidth="1"/>
    <col min="3" max="7" width="11.83203125" style="131" customWidth="1"/>
    <col min="8" max="8" width="11.83203125" customWidth="1"/>
    <col min="9" max="15" width="11.83203125" style="131" customWidth="1"/>
    <col min="16" max="16384" width="9.1640625" style="131"/>
  </cols>
  <sheetData>
    <row r="1" spans="1:15" customFormat="1"/>
    <row r="2" spans="1:15" customFormat="1">
      <c r="B2" s="655" t="s">
        <v>5</v>
      </c>
      <c r="C2" s="651" t="str">
        <f>IF('DCF Main'!D4=1,"Base Scenario",(IF('DCF Main'!D4=2,"Bull Scenario","Bear Scenario")))</f>
        <v>Bear Scenario</v>
      </c>
    </row>
    <row r="3" spans="1:15" customFormat="1">
      <c r="B3" s="655"/>
      <c r="C3" s="651"/>
    </row>
    <row r="4" spans="1:15" ht="16" thickBot="1"/>
    <row r="5" spans="1:15" ht="16" thickBot="1">
      <c r="B5" s="142" t="s">
        <v>179</v>
      </c>
      <c r="C5" s="143"/>
      <c r="D5" s="144"/>
      <c r="E5" s="144"/>
      <c r="F5" s="144"/>
      <c r="G5" s="144"/>
      <c r="H5" s="144"/>
      <c r="I5" s="144"/>
      <c r="J5" s="144"/>
      <c r="K5" s="144"/>
      <c r="L5" s="144"/>
      <c r="M5" s="144"/>
      <c r="N5" s="144"/>
      <c r="O5" s="145"/>
    </row>
    <row r="6" spans="1:15">
      <c r="A6" s="146"/>
      <c r="B6" s="147"/>
      <c r="C6" s="64">
        <v>2015</v>
      </c>
      <c r="D6" s="64">
        <f>C6+1</f>
        <v>2016</v>
      </c>
      <c r="E6" s="64">
        <f t="shared" ref="E6:M6" si="0">D6+1</f>
        <v>2017</v>
      </c>
      <c r="F6" s="64">
        <f t="shared" si="0"/>
        <v>2018</v>
      </c>
      <c r="G6" s="64">
        <f t="shared" si="0"/>
        <v>2019</v>
      </c>
      <c r="H6" s="82">
        <f t="shared" si="0"/>
        <v>2020</v>
      </c>
      <c r="I6" s="64">
        <f t="shared" si="0"/>
        <v>2021</v>
      </c>
      <c r="J6" s="64">
        <f t="shared" si="0"/>
        <v>2022</v>
      </c>
      <c r="K6" s="64">
        <f t="shared" si="0"/>
        <v>2023</v>
      </c>
      <c r="L6" s="64">
        <f t="shared" si="0"/>
        <v>2024</v>
      </c>
      <c r="M6" s="64">
        <f t="shared" si="0"/>
        <v>2025</v>
      </c>
      <c r="N6" s="64">
        <f>M6+1</f>
        <v>2026</v>
      </c>
      <c r="O6" s="82">
        <f>N6+1</f>
        <v>2027</v>
      </c>
    </row>
    <row r="7" spans="1:15">
      <c r="B7" s="91" t="s">
        <v>180</v>
      </c>
      <c r="C7" s="148">
        <f>CF!B21*-1</f>
        <v>-24.425999999999998</v>
      </c>
      <c r="D7" s="149">
        <f>CF!C21*-1</f>
        <v>-30.645</v>
      </c>
      <c r="E7" s="149">
        <f>CF!D21*-1</f>
        <v>-30.678999999999998</v>
      </c>
      <c r="F7" s="149">
        <f>CF!E21*-1</f>
        <v>-50.360999999999997</v>
      </c>
      <c r="G7" s="149">
        <f>CF!F21*-1</f>
        <v>-56.698</v>
      </c>
      <c r="H7" s="150">
        <f>CF!G21*-1</f>
        <v>-39.61</v>
      </c>
      <c r="I7" s="148">
        <f>I8*CHOOSE('DCF Main'!$G$2, 'IS Drivers'!N35,'Synergy Adjustments'!H9)*-1</f>
        <v>-165.55165958698271</v>
      </c>
      <c r="J7" s="151">
        <f>J8*CHOOSE('DCF Main'!$G$2, 'IS Drivers'!O35,'Synergy Adjustments'!I9)*-1</f>
        <v>-216.06276194727457</v>
      </c>
      <c r="K7" s="151">
        <f>K8*CHOOSE('DCF Main'!$G$2, 'IS Drivers'!P35,'Synergy Adjustments'!J9)*-1</f>
        <v>-261.81560686164357</v>
      </c>
      <c r="L7" s="151">
        <f>L8*CHOOSE('DCF Main'!$G$2, 'IS Drivers'!Q35,'Synergy Adjustments'!K9)*-1</f>
        <v>-315.77279039268785</v>
      </c>
      <c r="M7" s="149">
        <f>M8*CHOOSE('DCF Main'!$G$2, 'IS Drivers'!R35,'Synergy Adjustments'!L9)*-1</f>
        <v>-362.01873863643948</v>
      </c>
      <c r="N7" s="149">
        <f>N8*CHOOSE('DCF Main'!$G$2, 'IS Drivers'!S35,'Synergy Adjustments'!M9)*-1</f>
        <v>-470.99501524443542</v>
      </c>
      <c r="O7" s="150">
        <f>O8*CHOOSE('DCF Main'!$G$2, 'IS Drivers'!T35,'Synergy Adjustments'!N9)*-1</f>
        <v>-540.12346566963038</v>
      </c>
    </row>
    <row r="8" spans="1:15">
      <c r="B8" s="57" t="s">
        <v>181</v>
      </c>
      <c r="C8" s="152">
        <f>C7/'IS Drivers'!H35*-1</f>
        <v>1.9276815576765544E-2</v>
      </c>
      <c r="D8" s="153">
        <f>D7/'IS Drivers'!I35*-1</f>
        <v>1.7934466773686285E-2</v>
      </c>
      <c r="E8" s="153">
        <f>E7/'IS Drivers'!J35*-1</f>
        <v>1.3855236958016994E-2</v>
      </c>
      <c r="F8" s="153">
        <f>F7/'IS Drivers'!K35*-1</f>
        <v>1.5269344246836963E-2</v>
      </c>
      <c r="G8" s="153">
        <f>G7/'IS Drivers'!L35*-1</f>
        <v>1.2028853293730773E-2</v>
      </c>
      <c r="H8" s="154">
        <f>H7/'IS Drivers'!M35*-1</f>
        <v>5.1763994345557915E-3</v>
      </c>
      <c r="I8" s="155">
        <f>AVERAGE(C8:H8)</f>
        <v>1.3923519380598723E-2</v>
      </c>
      <c r="J8" s="156">
        <f>AVERAGE(D8:I8)</f>
        <v>1.3031303347904255E-2</v>
      </c>
      <c r="K8" s="156">
        <f>AVERAGE(E8:J8)</f>
        <v>1.2214109443607249E-2</v>
      </c>
      <c r="L8" s="156">
        <f>AVERAGE(F8:K8)</f>
        <v>1.1940588191205624E-2</v>
      </c>
      <c r="M8" s="153">
        <f>AVERAGE(G8:L8)</f>
        <v>1.1385795515267069E-2</v>
      </c>
      <c r="N8" s="153">
        <f>AVERAGE(I8:M8)</f>
        <v>1.2499063175716583E-2</v>
      </c>
      <c r="O8" s="154">
        <f>AVERAGE(J8:N8)</f>
        <v>1.2214171934740156E-2</v>
      </c>
    </row>
    <row r="9" spans="1:15">
      <c r="B9" s="91" t="s">
        <v>182</v>
      </c>
      <c r="C9" s="148">
        <f>CF!B33</f>
        <v>-37.4</v>
      </c>
      <c r="D9" s="149">
        <f>CF!C33</f>
        <v>-25.4</v>
      </c>
      <c r="E9" s="149">
        <f>CF!D33</f>
        <v>-26.1</v>
      </c>
      <c r="F9" s="149">
        <f>CF!E33</f>
        <v>-61.2</v>
      </c>
      <c r="G9" s="149">
        <f>CF!F33</f>
        <v>-62.5</v>
      </c>
      <c r="H9" s="149">
        <f>CF!G33</f>
        <v>-103</v>
      </c>
      <c r="I9" s="148">
        <f>I10*CHOOSE('DCF Main'!$G$2, 'IS Drivers'!N35,'Synergy Adjustments'!H9)*-1</f>
        <v>-201.02932216014455</v>
      </c>
      <c r="J9" s="151">
        <f>J10*'IS Drivers'!O35*-1</f>
        <v>-241.85841386928416</v>
      </c>
      <c r="K9" s="151">
        <f>K10*'IS Drivers'!P35*-1</f>
        <v>-310.94255258829588</v>
      </c>
      <c r="L9" s="151">
        <f>L10*'IS Drivers'!Q35*-1</f>
        <v>-394.68159678490099</v>
      </c>
      <c r="M9" s="149">
        <f>M10*'IS Drivers'!R35*-1</f>
        <v>-455.46551871907923</v>
      </c>
      <c r="N9" s="149">
        <f>N10*'IS Drivers'!S35*-1</f>
        <v>-546.25467894735368</v>
      </c>
      <c r="O9" s="150">
        <f>O10*'IS Drivers'!T35*-1</f>
        <v>-648.89439889455093</v>
      </c>
    </row>
    <row r="10" spans="1:15">
      <c r="B10" s="57" t="s">
        <v>181</v>
      </c>
      <c r="C10" s="108">
        <f>C9/'IS Drivers'!H35*-1</f>
        <v>2.9515798844306534E-2</v>
      </c>
      <c r="D10" s="106">
        <f>D9/'IS Drivers'!I35*-1</f>
        <v>1.4864919433892367E-2</v>
      </c>
      <c r="E10" s="106">
        <f>E9/'IS Drivers'!J35*-1</f>
        <v>1.1787270921615554E-2</v>
      </c>
      <c r="F10" s="106">
        <f>F9/'IS Drivers'!K35*-1</f>
        <v>1.8555705166823977E-2</v>
      </c>
      <c r="G10" s="106">
        <f>G9/'IS Drivers'!L35*-1</f>
        <v>1.3259785721862734E-2</v>
      </c>
      <c r="H10" s="106">
        <f>H9/'IS Drivers'!M35*-1</f>
        <v>1.3460468108034501E-2</v>
      </c>
      <c r="I10" s="155">
        <f t="shared" ref="I10:O10" si="1">AVERAGE(C10:H10)</f>
        <v>1.6907324699422611E-2</v>
      </c>
      <c r="J10" s="106">
        <f t="shared" si="1"/>
        <v>1.4805912341941957E-2</v>
      </c>
      <c r="K10" s="106">
        <f t="shared" si="1"/>
        <v>1.4796077826616889E-2</v>
      </c>
      <c r="L10" s="106">
        <f t="shared" si="1"/>
        <v>1.5297545644117111E-2</v>
      </c>
      <c r="M10" s="106">
        <f t="shared" si="1"/>
        <v>1.4754519056999302E-2</v>
      </c>
      <c r="N10" s="106">
        <f t="shared" si="1"/>
        <v>1.5003641279522063E-2</v>
      </c>
      <c r="O10" s="107">
        <f t="shared" si="1"/>
        <v>1.526083680810332E-2</v>
      </c>
    </row>
    <row r="11" spans="1:15">
      <c r="B11" s="157" t="s">
        <v>183</v>
      </c>
      <c r="C11" s="158">
        <f>C9/C7</f>
        <v>1.5311553262916564</v>
      </c>
      <c r="D11" s="159">
        <f t="shared" ref="D11:I11" si="2">D9/D7</f>
        <v>0.82884646761298741</v>
      </c>
      <c r="E11" s="159">
        <f t="shared" si="2"/>
        <v>0.85074480915284079</v>
      </c>
      <c r="F11" s="159">
        <f t="shared" si="2"/>
        <v>1.2152260677905524</v>
      </c>
      <c r="G11" s="159">
        <f>G9/G7</f>
        <v>1.1023316519101203</v>
      </c>
      <c r="H11" s="159">
        <f>H9/H7</f>
        <v>2.6003534460994699</v>
      </c>
      <c r="I11" s="158">
        <f t="shared" si="2"/>
        <v>1.2142996491951292</v>
      </c>
      <c r="J11" s="159">
        <f t="shared" ref="J11:N11" si="3">J9/J7</f>
        <v>1.1193896240588856</v>
      </c>
      <c r="K11" s="159">
        <f t="shared" si="3"/>
        <v>1.1876394853444068</v>
      </c>
      <c r="L11" s="159">
        <f t="shared" si="3"/>
        <v>1.2498910887606369</v>
      </c>
      <c r="M11" s="159">
        <f t="shared" si="3"/>
        <v>1.2581269147409646</v>
      </c>
      <c r="N11" s="159">
        <f t="shared" si="3"/>
        <v>1.1597886628669738</v>
      </c>
      <c r="O11" s="160">
        <f t="shared" ref="O11" si="4">O9/O7</f>
        <v>1.2013816102028994</v>
      </c>
    </row>
    <row r="12" spans="1:15" ht="16" thickBot="1">
      <c r="H12" s="131"/>
    </row>
    <row r="13" spans="1:15" ht="16" thickBot="1">
      <c r="B13" s="142" t="s">
        <v>184</v>
      </c>
      <c r="C13" s="143"/>
      <c r="D13" s="144"/>
      <c r="E13" s="144"/>
      <c r="F13" s="144"/>
      <c r="G13" s="144"/>
      <c r="H13" s="144"/>
      <c r="I13" s="144"/>
      <c r="J13" s="144"/>
      <c r="K13" s="144"/>
      <c r="L13" s="144"/>
      <c r="M13" s="144"/>
      <c r="N13" s="144"/>
      <c r="O13" s="145"/>
    </row>
    <row r="14" spans="1:15">
      <c r="A14" s="146"/>
      <c r="B14" s="161"/>
      <c r="C14" s="162">
        <v>2015</v>
      </c>
      <c r="D14" s="64">
        <f>C14+1</f>
        <v>2016</v>
      </c>
      <c r="E14" s="64">
        <f t="shared" ref="E14:M14" si="5">D14+1</f>
        <v>2017</v>
      </c>
      <c r="F14" s="64">
        <f t="shared" si="5"/>
        <v>2018</v>
      </c>
      <c r="G14" s="64">
        <f t="shared" si="5"/>
        <v>2019</v>
      </c>
      <c r="H14" s="82">
        <f t="shared" si="5"/>
        <v>2020</v>
      </c>
      <c r="I14" s="64">
        <f t="shared" si="5"/>
        <v>2021</v>
      </c>
      <c r="J14" s="64">
        <f t="shared" si="5"/>
        <v>2022</v>
      </c>
      <c r="K14" s="64">
        <f t="shared" si="5"/>
        <v>2023</v>
      </c>
      <c r="L14" s="64">
        <f t="shared" si="5"/>
        <v>2024</v>
      </c>
      <c r="M14" s="64">
        <f t="shared" si="5"/>
        <v>2025</v>
      </c>
      <c r="N14" s="64">
        <f>M14+1</f>
        <v>2026</v>
      </c>
      <c r="O14" s="82">
        <f>N14+1</f>
        <v>2027</v>
      </c>
    </row>
    <row r="15" spans="1:15">
      <c r="B15" s="94" t="s">
        <v>185</v>
      </c>
      <c r="C15" s="164">
        <f>C16+C18+C20+C22+C24+C26+C28</f>
        <v>244.23400000000001</v>
      </c>
      <c r="D15" s="163">
        <f t="shared" ref="D15:I15" si="6">D16+D18+D20+D22+D24+D26+D28</f>
        <v>489.49400000000003</v>
      </c>
      <c r="E15" s="163">
        <f t="shared" si="6"/>
        <v>912.24399999999991</v>
      </c>
      <c r="F15" s="163">
        <f t="shared" si="6"/>
        <v>987.74099999999999</v>
      </c>
      <c r="G15" s="163">
        <f>G16+G18+G20+G22+G24+G26+G28</f>
        <v>1680.2270000000003</v>
      </c>
      <c r="H15" s="165">
        <f>H16+H18+H20+H22+H24+H26+H28</f>
        <v>3610.0280000000002</v>
      </c>
      <c r="I15" s="164">
        <f t="shared" si="6"/>
        <v>3667.818453858989</v>
      </c>
      <c r="J15" s="163">
        <f t="shared" ref="J15" si="7">J16+J18+J20+J22+J24+J26+J28</f>
        <v>5882.3395788984417</v>
      </c>
      <c r="K15" s="163">
        <f t="shared" ref="K15" si="8">K16+K18+K20+K22+K24+K26+K28</f>
        <v>7839.5159308360453</v>
      </c>
      <c r="L15" s="163">
        <f t="shared" ref="L15" si="9">L16+L18+L20+L22+L24+L26+L28</f>
        <v>9458.3783779117257</v>
      </c>
      <c r="M15" s="163">
        <f t="shared" ref="M15" si="10">M16+M18+M20+M22+M24+M26+M28</f>
        <v>11671.366789134783</v>
      </c>
      <c r="N15" s="163">
        <f t="shared" ref="N15:O15" si="11">N16+N18+N20+N22+N24+N26+N28</f>
        <v>13137.603521616049</v>
      </c>
      <c r="O15" s="165">
        <f t="shared" si="11"/>
        <v>15772.285809450088</v>
      </c>
    </row>
    <row r="16" spans="1:15">
      <c r="B16" s="80" t="s">
        <v>186</v>
      </c>
      <c r="C16" s="207">
        <f>BS!B22</f>
        <v>147.535</v>
      </c>
      <c r="D16" s="166">
        <f>BS!C22</f>
        <v>327.29300000000001</v>
      </c>
      <c r="E16" s="166">
        <f>BS!D22</f>
        <v>629.12900000000002</v>
      </c>
      <c r="F16" s="166">
        <f>BS!E22</f>
        <v>387.339</v>
      </c>
      <c r="G16" s="166">
        <f>BS!F22</f>
        <v>622.55499999999995</v>
      </c>
      <c r="H16" s="168">
        <f>BS!G22</f>
        <v>886.39800000000002</v>
      </c>
      <c r="I16" s="167">
        <f>I17*CHOOSE('DCF Main'!$G$2, 'IS Drivers'!N35,'Synergy Adjustments'!H9)</f>
        <v>2001.3908764487549</v>
      </c>
      <c r="J16" s="166">
        <f>J17*CHOOSE('DCF Main'!$G$2, 'IS Drivers'!O35,'Synergy Adjustments'!I9)</f>
        <v>2789.2239678528795</v>
      </c>
      <c r="K16" s="166">
        <f>K17*CHOOSE('DCF Main'!$G$2, 'IS Drivers'!P35,'Synergy Adjustments'!J9)</f>
        <v>3522.6910729677311</v>
      </c>
      <c r="L16" s="166">
        <f>L17*CHOOSE('DCF Main'!$G$2, 'IS Drivers'!Q35,'Synergy Adjustments'!K9)</f>
        <v>3818.0292277688463</v>
      </c>
      <c r="M16" s="166">
        <f>M17*CHOOSE('DCF Main'!$G$2, 'IS Drivers'!R35,'Synergy Adjustments'!L9)</f>
        <v>4733.2094165730641</v>
      </c>
      <c r="N16" s="166">
        <f>N17*CHOOSE('DCF Main'!$G$2, 'IS Drivers'!S35,'Synergy Adjustments'!M9)</f>
        <v>5984.9245202011953</v>
      </c>
      <c r="O16" s="168">
        <f>O17*CHOOSE('DCF Main'!$G$2, 'IS Drivers'!T35,'Synergy Adjustments'!N9)</f>
        <v>6939.4106660184216</v>
      </c>
    </row>
    <row r="17" spans="2:15">
      <c r="B17" s="169" t="s">
        <v>181</v>
      </c>
      <c r="C17" s="208">
        <f>C16/'IS Drivers'!H35</f>
        <v>0.11643351290092953</v>
      </c>
      <c r="D17" s="206">
        <f>D16/'IS Drivers'!I35</f>
        <v>0.19154268016838324</v>
      </c>
      <c r="E17" s="206">
        <f>E16/'IS Drivers'!J35</f>
        <v>0.28412697194042419</v>
      </c>
      <c r="F17" s="206">
        <f>F16/'IS Drivers'!K35</f>
        <v>0.11744033143157569</v>
      </c>
      <c r="G17" s="206">
        <f>G16/'IS Drivers'!L35</f>
        <v>0.13207913440118807</v>
      </c>
      <c r="H17" s="209">
        <f>H16/'IS Drivers'!M35</f>
        <v>0.11583817485461714</v>
      </c>
      <c r="I17" s="208">
        <f>AVERAGE(C17:G17)</f>
        <v>0.16832452616850016</v>
      </c>
      <c r="J17" s="206">
        <f>AVERAGE(D17:I17)</f>
        <v>0.16822530316078144</v>
      </c>
      <c r="K17" s="206">
        <f>AVERAGE(E17:J17)</f>
        <v>0.16433907365951445</v>
      </c>
      <c r="L17" s="206">
        <f>AVERAGE(F17:K17)</f>
        <v>0.14437442394602948</v>
      </c>
      <c r="M17" s="206">
        <f>AVERAGE(G17:L17)</f>
        <v>0.14886343936510513</v>
      </c>
      <c r="N17" s="206">
        <f>AVERAGE(I17:M17)</f>
        <v>0.15882535325998612</v>
      </c>
      <c r="O17" s="209">
        <f>AVERAGE(J17:N17)</f>
        <v>0.15692551867828333</v>
      </c>
    </row>
    <row r="18" spans="2:15">
      <c r="B18" s="80" t="s">
        <v>187</v>
      </c>
      <c r="C18" s="207">
        <f>BS!B23</f>
        <v>9.6349999999999998</v>
      </c>
      <c r="D18" s="166">
        <f>BS!C23</f>
        <v>10.048999999999999</v>
      </c>
      <c r="E18" s="166">
        <f>BS!D23</f>
        <v>21.082999999999998</v>
      </c>
      <c r="F18" s="166">
        <f>BS!E23</f>
        <v>46.101999999999997</v>
      </c>
      <c r="G18" s="166">
        <f>BS!F23</f>
        <v>67.281000000000006</v>
      </c>
      <c r="H18" s="168">
        <f>BS!G23</f>
        <v>147.02099999999999</v>
      </c>
      <c r="I18" s="167">
        <f>I19*CHOOSE('DCF Main'!$G$2, 'IS Drivers'!N35,'Synergy Adjustments'!H9)</f>
        <v>121.89346709090013</v>
      </c>
      <c r="J18" s="166">
        <f>J19*CHOOSE('DCF Main'!$G$2, 'IS Drivers'!O35,'Synergy Adjustments'!I9)</f>
        <v>202.05747402874874</v>
      </c>
      <c r="K18" s="166">
        <f>K19*CHOOSE('DCF Main'!$G$2, 'IS Drivers'!P35,'Synergy Adjustments'!J9)</f>
        <v>283.75339670977758</v>
      </c>
      <c r="L18" s="166">
        <f>L19*CHOOSE('DCF Main'!$G$2, 'IS Drivers'!Q35,'Synergy Adjustments'!K9)</f>
        <v>366.44983453197517</v>
      </c>
      <c r="M18" s="166">
        <f>M19*CHOOSE('DCF Main'!$G$2, 'IS Drivers'!R35,'Synergy Adjustments'!L9)</f>
        <v>439.94659578589921</v>
      </c>
      <c r="N18" s="166">
        <f>N19*CHOOSE('DCF Main'!$G$2, 'IS Drivers'!S35,'Synergy Adjustments'!M9)</f>
        <v>477.58273369641785</v>
      </c>
      <c r="O18" s="168">
        <f>O19*CHOOSE('DCF Main'!$G$2, 'IS Drivers'!T35,'Synergy Adjustments'!N9)</f>
        <v>581.87477557623538</v>
      </c>
    </row>
    <row r="19" spans="2:15">
      <c r="B19" s="169" t="s">
        <v>181</v>
      </c>
      <c r="C19" s="208">
        <f>C18/'IS Drivers'!H35</f>
        <v>7.603869568580039E-3</v>
      </c>
      <c r="D19" s="206">
        <f>D18/'IS Drivers'!I35</f>
        <v>5.8810069051647403E-3</v>
      </c>
      <c r="E19" s="206">
        <f>E18/'IS Drivers'!J35</f>
        <v>9.5214955111272287E-3</v>
      </c>
      <c r="F19" s="206">
        <f>F18/'IS Drivers'!K35</f>
        <v>1.3978024830080373E-2</v>
      </c>
      <c r="G19" s="206">
        <f>G18/'IS Drivers'!L35</f>
        <v>1.4274106290442347E-2</v>
      </c>
      <c r="H19" s="209">
        <f>H18/'IS Drivers'!M35</f>
        <v>1.9213315356420776E-2</v>
      </c>
      <c r="I19" s="208">
        <f>AVERAGE(C19:G19)</f>
        <v>1.0251700621078944E-2</v>
      </c>
      <c r="J19" s="206">
        <f>AVERAGE(D19:I19)</f>
        <v>1.2186608252385734E-2</v>
      </c>
      <c r="K19" s="206">
        <f>AVERAGE(E19:J19)</f>
        <v>1.3237541810255901E-2</v>
      </c>
      <c r="L19" s="206">
        <f>AVERAGE(F19:K19)</f>
        <v>1.3856882860110678E-2</v>
      </c>
      <c r="M19" s="206">
        <f>AVERAGE(G19:L19)</f>
        <v>1.3836692531782395E-2</v>
      </c>
      <c r="N19" s="206">
        <f>AVERAGE(I19:M19)</f>
        <v>1.2673885215122731E-2</v>
      </c>
      <c r="O19" s="209">
        <f>AVERAGE(J19:N19)</f>
        <v>1.3158322133931488E-2</v>
      </c>
    </row>
    <row r="20" spans="2:15">
      <c r="B20" s="80" t="s">
        <v>188</v>
      </c>
      <c r="C20" s="207">
        <f>BS!B26</f>
        <v>11.864000000000001</v>
      </c>
      <c r="D20" s="166">
        <f>BS!C26</f>
        <v>13.724</v>
      </c>
      <c r="E20" s="166">
        <f>BS!D26</f>
        <v>16.777000000000001</v>
      </c>
      <c r="F20" s="166">
        <f>BS!E26</f>
        <v>28.626999999999999</v>
      </c>
      <c r="G20" s="166">
        <f>BS!F26</f>
        <v>47.683</v>
      </c>
      <c r="H20" s="168">
        <f>BS!G26</f>
        <v>70.421999999999997</v>
      </c>
      <c r="I20" s="167">
        <f>I21*CHOOSE('DCF Main'!$G$2, 'IS Drivers'!N74,'Synergy Adjustments'!H16)*-1</f>
        <v>114.83188065211365</v>
      </c>
      <c r="J20" s="166">
        <f>J21*CHOOSE('DCF Main'!$G$2, 'IS Drivers'!O74,'Synergy Adjustments'!I16)*-1</f>
        <v>156.62802575195033</v>
      </c>
      <c r="K20" s="166">
        <f>K21*CHOOSE('DCF Main'!$G$2, 'IS Drivers'!P74,'Synergy Adjustments'!J16)*-1</f>
        <v>197.0322585892045</v>
      </c>
      <c r="L20" s="166">
        <f>L21*CHOOSE('DCF Main'!$G$2, 'IS Drivers'!Q74,'Synergy Adjustments'!K16)*-1</f>
        <v>233.91810146137891</v>
      </c>
      <c r="M20" s="166">
        <f>M21*CHOOSE('DCF Main'!$G$2, 'IS Drivers'!R74,'Synergy Adjustments'!L16)*-1</f>
        <v>263.16698455996635</v>
      </c>
      <c r="N20" s="166">
        <f>N21*CHOOSE('DCF Main'!$G$2, 'IS Drivers'!S74,'Synergy Adjustments'!M16)*-1</f>
        <v>284.86924944479335</v>
      </c>
      <c r="O20" s="168">
        <f>O21*CHOOSE('DCF Main'!$G$2, 'IS Drivers'!T74,'Synergy Adjustments'!N16)*-1</f>
        <v>314.29120270679806</v>
      </c>
    </row>
    <row r="21" spans="2:15">
      <c r="B21" s="169" t="s">
        <v>189</v>
      </c>
      <c r="C21" s="208">
        <f>C20/'IS Drivers'!H74*-1</f>
        <v>1.3308669368634661E-2</v>
      </c>
      <c r="D21" s="206">
        <f>D20/'IS Drivers'!I74*-1</f>
        <v>1.2202853319462413E-2</v>
      </c>
      <c r="E21" s="206">
        <f>E20/'IS Drivers'!J74*-1</f>
        <v>1.2260277125963623E-2</v>
      </c>
      <c r="F21" s="206">
        <f>F20/'IS Drivers'!K74*-1</f>
        <v>1.4404340976367461E-2</v>
      </c>
      <c r="G21" s="206">
        <f>G20/'IS Drivers'!L74*-1</f>
        <v>1.6927683790312988E-2</v>
      </c>
      <c r="H21" s="209">
        <f>H20/'IS Drivers'!M74*-1</f>
        <v>1.3580092404485506E-2</v>
      </c>
      <c r="I21" s="208">
        <f>AVERAGE(C21:G21)</f>
        <v>1.3820764916148229E-2</v>
      </c>
      <c r="J21" s="206">
        <f>AVERAGE(D21:I21)</f>
        <v>1.3866002088790035E-2</v>
      </c>
      <c r="K21" s="206">
        <f>AVERAGE(E21:J21)</f>
        <v>1.4143193550344638E-2</v>
      </c>
      <c r="L21" s="206">
        <f>AVERAGE(F21:K21)</f>
        <v>1.4457012954408143E-2</v>
      </c>
      <c r="M21" s="206">
        <f>AVERAGE(G21:L21)</f>
        <v>1.4465791617414923E-2</v>
      </c>
      <c r="N21" s="206">
        <f>AVERAGE(I21:M21)</f>
        <v>1.4150553025421193E-2</v>
      </c>
      <c r="O21" s="209">
        <f>AVERAGE(J21:N21)</f>
        <v>1.4216510647275787E-2</v>
      </c>
    </row>
    <row r="22" spans="2:15">
      <c r="B22" s="172" t="s">
        <v>190</v>
      </c>
      <c r="C22" s="207">
        <f>BS!B27</f>
        <v>7.101</v>
      </c>
      <c r="D22" s="166">
        <f>BS!C27</f>
        <v>7.3650000000000002</v>
      </c>
      <c r="E22" s="166">
        <f>BS!D27</f>
        <v>14.473000000000001</v>
      </c>
      <c r="F22" s="166">
        <f>BS!E27</f>
        <v>21.782</v>
      </c>
      <c r="G22" s="166">
        <f>BS!F27</f>
        <v>22.757999999999999</v>
      </c>
      <c r="H22" s="168">
        <f>BS!G27</f>
        <v>25.43</v>
      </c>
      <c r="I22" s="167">
        <f>I23*CHOOSE('DCF Main'!$G$2, 'IS Drivers'!N80,'Synergy Adjustments'!H49)*-1</f>
        <v>44.215378360000109</v>
      </c>
      <c r="J22" s="166">
        <f>J23*CHOOSE('DCF Main'!$G$2, 'IS Drivers'!O80,'Synergy Adjustments'!I49)*-1</f>
        <v>55.054317806294044</v>
      </c>
      <c r="K22" s="166">
        <f>K23*CHOOSE('DCF Main'!$G$2, 'IS Drivers'!P80,'Synergy Adjustments'!J49)*-1</f>
        <v>68.755828972939909</v>
      </c>
      <c r="L22" s="166">
        <f>L23*CHOOSE('DCF Main'!$G$2, 'IS Drivers'!Q80,'Synergy Adjustments'!K49)*-1</f>
        <v>76.976718829243637</v>
      </c>
      <c r="M22" s="166">
        <f>M23*CHOOSE('DCF Main'!$G$2, 'IS Drivers'!R80,'Synergy Adjustments'!L49)*-1</f>
        <v>83.042460112970318</v>
      </c>
      <c r="N22" s="166">
        <f>N23*CHOOSE('DCF Main'!$G$2, 'IS Drivers'!S80,'Synergy Adjustments'!M49)*-1</f>
        <v>97.03255802161668</v>
      </c>
      <c r="O22" s="168">
        <f>O23*CHOOSE('DCF Main'!$G$2, 'IS Drivers'!T80,'Synergy Adjustments'!N49)*-1</f>
        <v>105.05695549460165</v>
      </c>
    </row>
    <row r="23" spans="2:15">
      <c r="B23" s="169" t="s">
        <v>191</v>
      </c>
      <c r="C23" s="208">
        <f>C22/'IS Drivers'!H80*-1</f>
        <v>2.4563794606411976E-2</v>
      </c>
      <c r="D23" s="206">
        <f>D22/'IS Drivers'!I80*-1</f>
        <v>1.9490881760610156E-2</v>
      </c>
      <c r="E23" s="206">
        <f>E22/'IS Drivers'!J80*-1</f>
        <v>2.8732061073248591E-2</v>
      </c>
      <c r="F23" s="206">
        <f>F22/'IS Drivers'!K80*-1</f>
        <v>2.9027340231024688E-2</v>
      </c>
      <c r="G23" s="206">
        <f>G22/'IS Drivers'!L80*-1</f>
        <v>2.1447918257024429E-2</v>
      </c>
      <c r="H23" s="209">
        <f>H22/'IS Drivers'!M80*-1</f>
        <v>1.6905187359732815E-2</v>
      </c>
      <c r="I23" s="208">
        <f>AVERAGE(C23:G23)</f>
        <v>2.4652399185663969E-2</v>
      </c>
      <c r="J23" s="206">
        <f>AVERAGE(D23:I23)</f>
        <v>2.3375964644550773E-2</v>
      </c>
      <c r="K23" s="206">
        <f>AVERAGE(E23:J23)</f>
        <v>2.4023478458540876E-2</v>
      </c>
      <c r="L23" s="206">
        <f>AVERAGE(F23:K23)</f>
        <v>2.3238714689422929E-2</v>
      </c>
      <c r="M23" s="206">
        <f>AVERAGE(G23:L23)</f>
        <v>2.2273943765822628E-2</v>
      </c>
      <c r="N23" s="206">
        <f>AVERAGE(I23:M23)</f>
        <v>2.3512900148800236E-2</v>
      </c>
      <c r="O23" s="209">
        <f>AVERAGE(J23:N23)</f>
        <v>2.3285000341427491E-2</v>
      </c>
    </row>
    <row r="24" spans="2:15">
      <c r="B24" s="80" t="s">
        <v>192</v>
      </c>
      <c r="C24" s="207">
        <f>BS!B28</f>
        <v>0.60399999999999998</v>
      </c>
      <c r="D24" s="166">
        <f>BS!C28</f>
        <v>42.143999999999998</v>
      </c>
      <c r="E24" s="166">
        <f>BS!D28</f>
        <v>73.42</v>
      </c>
      <c r="F24" s="166">
        <f>BS!E28</f>
        <v>89.974000000000004</v>
      </c>
      <c r="G24" s="166">
        <f>BS!F28</f>
        <v>164.834</v>
      </c>
      <c r="H24" s="168">
        <f>BS!G28</f>
        <v>524.173</v>
      </c>
      <c r="I24" s="167">
        <f>I25*CHOOSE('DCF Main'!$G$2, 'IS Drivers'!N35,'Synergy Adjustments'!H9)</f>
        <v>286.66770133896159</v>
      </c>
      <c r="J24" s="166">
        <f>J25*CHOOSE('DCF Main'!$G$2, 'IS Drivers'!O35,'Synergy Adjustments'!I9)</f>
        <v>587.725467513279</v>
      </c>
      <c r="K24" s="166">
        <f>K25*CHOOSE('DCF Main'!$G$2, 'IS Drivers'!P35,'Synergy Adjustments'!J9)</f>
        <v>798.35334304236744</v>
      </c>
      <c r="L24" s="166">
        <f>L25*CHOOSE('DCF Main'!$G$2, 'IS Drivers'!Q35,'Synergy Adjustments'!K9)</f>
        <v>1002.9530352691141</v>
      </c>
      <c r="M24" s="166">
        <f>M25*CHOOSE('DCF Main'!$G$2, 'IS Drivers'!R35,'Synergy Adjustments'!L9)</f>
        <v>1262.2806452409968</v>
      </c>
      <c r="N24" s="166">
        <f>N25*CHOOSE('DCF Main'!$G$2, 'IS Drivers'!S35,'Synergy Adjustments'!M9)</f>
        <v>1314.5652355430918</v>
      </c>
      <c r="O24" s="168">
        <f>O25*CHOOSE('DCF Main'!$G$2, 'IS Drivers'!T35,'Synergy Adjustments'!N9)</f>
        <v>1637.9684892329874</v>
      </c>
    </row>
    <row r="25" spans="2:15">
      <c r="B25" s="169" t="s">
        <v>181</v>
      </c>
      <c r="C25" s="208">
        <f>C24/'IS Drivers'!H35</f>
        <v>4.7667225941072584E-4</v>
      </c>
      <c r="D25" s="206">
        <f>D24/'IS Drivers'!I35</f>
        <v>2.4664061599289761E-2</v>
      </c>
      <c r="E25" s="206">
        <f>E24/'IS Drivers'!J35</f>
        <v>3.3157909236207428E-2</v>
      </c>
      <c r="F25" s="206">
        <f>F24/'IS Drivers'!K35</f>
        <v>2.7279918573199679E-2</v>
      </c>
      <c r="G25" s="206">
        <f>G24/'IS Drivers'!L35</f>
        <v>3.4970616314840351E-2</v>
      </c>
      <c r="H25" s="209">
        <f>H24/'IS Drivers'!M35</f>
        <v>6.8501106306725901E-2</v>
      </c>
      <c r="I25" s="208">
        <f>AVERAGE(C25:G25)</f>
        <v>2.410983559658959E-2</v>
      </c>
      <c r="J25" s="206">
        <f>AVERAGE(D25:I25)</f>
        <v>3.544724127114212E-2</v>
      </c>
      <c r="K25" s="206">
        <f>AVERAGE(E25:J25)</f>
        <v>3.7244437883117508E-2</v>
      </c>
      <c r="L25" s="206">
        <f>AVERAGE(F25:K25)</f>
        <v>3.7925525990935856E-2</v>
      </c>
      <c r="M25" s="206">
        <f>AVERAGE(G25:L25)</f>
        <v>3.9699793893891888E-2</v>
      </c>
      <c r="N25" s="206">
        <f>AVERAGE(I25:M25)</f>
        <v>3.488536692713539E-2</v>
      </c>
      <c r="O25" s="209">
        <f>AVERAGE(J25:N25)</f>
        <v>3.7040473193244557E-2</v>
      </c>
    </row>
    <row r="26" spans="2:15">
      <c r="B26" s="80" t="s">
        <v>193</v>
      </c>
      <c r="C26" s="207">
        <f>BS!B29</f>
        <v>13.537000000000001</v>
      </c>
      <c r="D26" s="166">
        <f>BS!C29</f>
        <v>22.131</v>
      </c>
      <c r="E26" s="166">
        <f>BS!D29</f>
        <v>28.805</v>
      </c>
      <c r="F26" s="166">
        <f>BS!E29</f>
        <v>33.838000000000001</v>
      </c>
      <c r="G26" s="166">
        <f>BS!F29</f>
        <v>38.872999999999998</v>
      </c>
      <c r="H26" s="168">
        <f>BS!G29</f>
        <v>27.556000000000001</v>
      </c>
      <c r="I26" s="167">
        <f>I27*CHOOSE('DCF Main'!$G$2, 'IS Drivers'!N35,'Synergy Adjustments'!H9)</f>
        <v>131.14931677942855</v>
      </c>
      <c r="J26" s="166">
        <f>J27*CHOOSE('DCF Main'!$G$2, 'IS Drivers'!O35,'Synergy Adjustments'!I9)</f>
        <v>163.31237952041587</v>
      </c>
      <c r="K26" s="166">
        <f>K27*CHOOSE('DCF Main'!$G$2, 'IS Drivers'!P35,'Synergy Adjustments'!J9)</f>
        <v>200.05309730869303</v>
      </c>
      <c r="L26" s="166">
        <f>L27*CHOOSE('DCF Main'!$G$2, 'IS Drivers'!Q35,'Synergy Adjustments'!K9)</f>
        <v>230.60608360685444</v>
      </c>
      <c r="M26" s="166">
        <f>M27*CHOOSE('DCF Main'!$G$2, 'IS Drivers'!R35,'Synergy Adjustments'!L9)</f>
        <v>269.10318497684744</v>
      </c>
      <c r="N26" s="166">
        <f>N27*CHOOSE('DCF Main'!$G$2, 'IS Drivers'!S35,'Synergy Adjustments'!M9)</f>
        <v>357.20199244869065</v>
      </c>
      <c r="O26" s="168">
        <f>O27*CHOOSE('DCF Main'!$G$2, 'IS Drivers'!T35,'Synergy Adjustments'!N9)</f>
        <v>405.46706267455966</v>
      </c>
    </row>
    <row r="27" spans="2:15">
      <c r="B27" s="169" t="s">
        <v>194</v>
      </c>
      <c r="C27" s="208">
        <f>C26/'IS Drivers'!H35</f>
        <v>1.0683298635170525E-2</v>
      </c>
      <c r="D27" s="206">
        <f>D26/'IS Drivers'!I35</f>
        <v>1.2951792598089448E-2</v>
      </c>
      <c r="E27" s="206">
        <f>E26/'IS Drivers'!J35</f>
        <v>1.3008901873453486E-2</v>
      </c>
      <c r="F27" s="206">
        <f>F26/'IS Drivers'!K35</f>
        <v>1.0259607049591335E-2</v>
      </c>
      <c r="G27" s="206">
        <f>G26/'IS Drivers'!L35</f>
        <v>8.2471624058555217E-3</v>
      </c>
      <c r="H27" s="209">
        <f>H26/'IS Drivers'!M35</f>
        <v>3.6011326134465895E-3</v>
      </c>
      <c r="I27" s="208">
        <f>AVERAGE(C27:G27)</f>
        <v>1.1030152512432062E-2</v>
      </c>
      <c r="J27" s="206">
        <f>AVERAGE(D27:I27)</f>
        <v>9.849791508811408E-3</v>
      </c>
      <c r="K27" s="206">
        <f>AVERAGE(E27:J27)</f>
        <v>9.3327913272650675E-3</v>
      </c>
      <c r="L27" s="206">
        <f>AVERAGE(F27:K27)</f>
        <v>8.7201062362336646E-3</v>
      </c>
      <c r="M27" s="206">
        <f>AVERAGE(G27:L27)</f>
        <v>8.4635227673407181E-3</v>
      </c>
      <c r="N27" s="206">
        <f>AVERAGE(I27:M27)</f>
        <v>9.4792728704165847E-3</v>
      </c>
      <c r="O27" s="209">
        <f>AVERAGE(J27:N27)</f>
        <v>9.1690969420134879E-3</v>
      </c>
    </row>
    <row r="28" spans="2:15">
      <c r="B28" s="172" t="s">
        <v>195</v>
      </c>
      <c r="C28" s="207">
        <f>BS!B30</f>
        <v>53.957999999999998</v>
      </c>
      <c r="D28" s="166">
        <f>BS!C30</f>
        <v>66.787999999999997</v>
      </c>
      <c r="E28" s="166">
        <f>BS!D30</f>
        <v>128.55699999999999</v>
      </c>
      <c r="F28" s="166">
        <f>BS!E30</f>
        <v>380.07900000000001</v>
      </c>
      <c r="G28" s="166">
        <f>BS!F30</f>
        <v>716.24300000000005</v>
      </c>
      <c r="H28" s="168">
        <f>BS!G30</f>
        <v>1929.028</v>
      </c>
      <c r="I28" s="167">
        <f>I29*CHOOSE('DCF Main'!$G$2, 'IS Drivers'!N35,'Synergy Adjustments'!H9)</f>
        <v>967.66983318882956</v>
      </c>
      <c r="J28" s="166">
        <f>J29*CHOOSE('DCF Main'!$G$2, 'IS Drivers'!O35,'Synergy Adjustments'!I9)</f>
        <v>1928.337946424874</v>
      </c>
      <c r="K28" s="166">
        <f>K29*CHOOSE('DCF Main'!$G$2, 'IS Drivers'!P35,'Synergy Adjustments'!J9)</f>
        <v>2768.8769332453312</v>
      </c>
      <c r="L28" s="166">
        <f>L29*CHOOSE('DCF Main'!$G$2, 'IS Drivers'!Q35,'Synergy Adjustments'!K9)</f>
        <v>3729.4453764443138</v>
      </c>
      <c r="M28" s="166">
        <f>M29*CHOOSE('DCF Main'!$G$2, 'IS Drivers'!R35,'Synergy Adjustments'!L9)</f>
        <v>4620.617501885039</v>
      </c>
      <c r="N28" s="166">
        <f>N29*CHOOSE('DCF Main'!$G$2, 'IS Drivers'!S35,'Synergy Adjustments'!M9)</f>
        <v>4621.4272322602419</v>
      </c>
      <c r="O28" s="168">
        <f>O29*CHOOSE('DCF Main'!$G$2, 'IS Drivers'!T35,'Synergy Adjustments'!N9)</f>
        <v>5788.2166577464841</v>
      </c>
    </row>
    <row r="29" spans="2:15">
      <c r="B29" s="169" t="s">
        <v>181</v>
      </c>
      <c r="C29" s="208">
        <f>C28/'IS Drivers'!H35</f>
        <v>4.2583247969013152E-2</v>
      </c>
      <c r="D29" s="206">
        <f>D28/'IS Drivers'!I35</f>
        <v>3.9086544848456826E-2</v>
      </c>
      <c r="E29" s="206">
        <f>E28/'IS Drivers'!J35</f>
        <v>5.8058857772801939E-2</v>
      </c>
      <c r="F29" s="206">
        <f>F28/'IS Drivers'!K35</f>
        <v>0.11523911542649166</v>
      </c>
      <c r="G29" s="206">
        <f>G28/'IS Drivers'!L35</f>
        <v>0.15195565927654611</v>
      </c>
      <c r="H29" s="209">
        <f>H28/'IS Drivers'!M35</f>
        <v>0.25209339683015125</v>
      </c>
      <c r="I29" s="208">
        <f>AVERAGE(C29:G29)</f>
        <v>8.1384685058661949E-2</v>
      </c>
      <c r="J29" s="206">
        <f>AVERAGE(D29:I29)</f>
        <v>0.11630304320218494</v>
      </c>
      <c r="K29" s="206">
        <f>AVERAGE(E29:J29)</f>
        <v>0.12917245959447299</v>
      </c>
      <c r="L29" s="206">
        <f>AVERAGE(F29:K29)</f>
        <v>0.14102472656475148</v>
      </c>
      <c r="M29" s="206">
        <f>AVERAGE(G29:L29)</f>
        <v>0.14532232842112813</v>
      </c>
      <c r="N29" s="206">
        <f>AVERAGE(I29:M29)</f>
        <v>0.12264144856823991</v>
      </c>
      <c r="O29" s="209">
        <f>AVERAGE(J29:N29)</f>
        <v>0.13089280127015548</v>
      </c>
    </row>
    <row r="30" spans="2:15">
      <c r="B30" s="173"/>
      <c r="C30" s="210"/>
      <c r="D30" s="174"/>
      <c r="E30" s="174"/>
      <c r="F30" s="174"/>
      <c r="G30" s="174"/>
      <c r="H30" s="176"/>
      <c r="I30" s="152"/>
      <c r="J30" s="175"/>
      <c r="K30" s="175"/>
      <c r="L30" s="175"/>
      <c r="M30" s="174"/>
      <c r="N30" s="174"/>
      <c r="O30" s="176"/>
    </row>
    <row r="31" spans="2:15">
      <c r="B31" s="109" t="s">
        <v>196</v>
      </c>
      <c r="C31" s="177">
        <f>C32+C34+C36+C38</f>
        <v>334.202</v>
      </c>
      <c r="D31" s="177">
        <f t="shared" ref="D31:I31" si="12">D32+D34+D36+D38</f>
        <v>577.46400000000006</v>
      </c>
      <c r="E31" s="177">
        <f t="shared" si="12"/>
        <v>972.827</v>
      </c>
      <c r="F31" s="177">
        <f t="shared" si="12"/>
        <v>1018.5410000000001</v>
      </c>
      <c r="G31" s="177">
        <f>G32+G34+G36+G38</f>
        <v>1664.364</v>
      </c>
      <c r="H31" s="177">
        <f>H32+H34+H36+H38</f>
        <v>3300.9320000000002</v>
      </c>
      <c r="I31" s="164">
        <f t="shared" si="12"/>
        <v>3953.2975690264398</v>
      </c>
      <c r="J31" s="163">
        <f t="shared" ref="J31" si="13">J32+J34+J36+J38</f>
        <v>5978.9254161304507</v>
      </c>
      <c r="K31" s="163">
        <f t="shared" ref="K31" si="14">K32+K34+K36+K38</f>
        <v>7810.0498674256496</v>
      </c>
      <c r="L31" s="163">
        <f t="shared" ref="L31" si="15">L32+L34+L36+L38</f>
        <v>9307.908154091434</v>
      </c>
      <c r="M31" s="177">
        <f t="shared" ref="M31" si="16">M32+M34+M36+M38</f>
        <v>11433.482280094042</v>
      </c>
      <c r="N31" s="177">
        <f t="shared" ref="N31:O31" si="17">N32+N34+N36+N38</f>
        <v>13170.627205273511</v>
      </c>
      <c r="O31" s="178">
        <f t="shared" si="17"/>
        <v>15615.942146047124</v>
      </c>
    </row>
    <row r="32" spans="2:15">
      <c r="B32" s="172" t="s">
        <v>197</v>
      </c>
      <c r="C32" s="166">
        <f>BS!B46</f>
        <v>18.869</v>
      </c>
      <c r="D32" s="166">
        <f>BS!C46</f>
        <v>12.602</v>
      </c>
      <c r="E32" s="166">
        <f>BS!D46</f>
        <v>16.763000000000002</v>
      </c>
      <c r="F32" s="166">
        <f>BS!E46</f>
        <v>36.415999999999997</v>
      </c>
      <c r="G32" s="166">
        <f>BS!F46</f>
        <v>42.116</v>
      </c>
      <c r="H32" s="166">
        <f>BS!G46</f>
        <v>36.384</v>
      </c>
      <c r="I32" s="167">
        <f>I33*CHOOSE('DCF Main'!$G$2, 'IS Drivers'!N74,'Synergy Adjustments'!H16)*-1</f>
        <v>129.44351816055462</v>
      </c>
      <c r="J32" s="166">
        <f>J33*CHOOSE('DCF Main'!$G$2, 'IS Drivers'!O74,'Synergy Adjustments'!I16)*-1</f>
        <v>149.34182886620812</v>
      </c>
      <c r="K32" s="166">
        <f>K33*CHOOSE('DCF Main'!$G$2, 'IS Drivers'!P74,'Synergy Adjustments'!J16)*-1</f>
        <v>188.86483646906936</v>
      </c>
      <c r="L32" s="166">
        <f>L33*CHOOSE('DCF Main'!$G$2, 'IS Drivers'!Q74,'Synergy Adjustments'!K16)*-1</f>
        <v>222.87876026077353</v>
      </c>
      <c r="M32" s="166">
        <f>M33*CHOOSE('DCF Main'!$G$2, 'IS Drivers'!R74,'Synergy Adjustments'!L16)*-1</f>
        <v>236.80283618567833</v>
      </c>
      <c r="N32" s="166">
        <f>N33*CHOOSE('DCF Main'!$G$2, 'IS Drivers'!S74,'Synergy Adjustments'!M16)*-1</f>
        <v>278.41049972506647</v>
      </c>
      <c r="O32" s="168">
        <f>O33*CHOOSE('DCF Main'!$G$2, 'IS Drivers'!T74,'Synergy Adjustments'!N16)*-1</f>
        <v>298.00421814642311</v>
      </c>
    </row>
    <row r="33" spans="2:15">
      <c r="B33" s="169" t="s">
        <v>189</v>
      </c>
      <c r="C33" s="206">
        <f>C32/'IS Drivers'!H74*-1</f>
        <v>2.1166662366551535E-2</v>
      </c>
      <c r="D33" s="206">
        <f>D32/'IS Drivers'!I74*-1</f>
        <v>1.1205214043417761E-2</v>
      </c>
      <c r="E33" s="206">
        <f>E32/'IS Drivers'!J74*-1</f>
        <v>1.2250046221763618E-2</v>
      </c>
      <c r="F33" s="206">
        <f>F32/'IS Drivers'!K74*-1</f>
        <v>1.8323557515471319E-2</v>
      </c>
      <c r="G33" s="170">
        <f>G32/'IS Drivers'!L74*-1</f>
        <v>1.495137324649921E-2</v>
      </c>
      <c r="H33" s="206">
        <f>H32/'IS Drivers'!M74*-1</f>
        <v>7.016246088506442E-3</v>
      </c>
      <c r="I33" s="208">
        <f>AVERAGE(C33:G33)</f>
        <v>1.5579370678740689E-2</v>
      </c>
      <c r="J33" s="170">
        <f>AVERAGE(D33:I33)</f>
        <v>1.3220967965733172E-2</v>
      </c>
      <c r="K33" s="170">
        <f>AVERAGE(E33:J33)</f>
        <v>1.3556926952785741E-2</v>
      </c>
      <c r="L33" s="170">
        <f>AVERAGE(F33:K33)</f>
        <v>1.3774740407956095E-2</v>
      </c>
      <c r="M33" s="170">
        <f>AVERAGE(G33:L33)</f>
        <v>1.3016604223370224E-2</v>
      </c>
      <c r="N33" s="170">
        <f>AVERAGE(I33:M33)</f>
        <v>1.3829722045717183E-2</v>
      </c>
      <c r="O33" s="171">
        <f>AVERAGE(J33:N33)</f>
        <v>1.3479792319112482E-2</v>
      </c>
    </row>
    <row r="34" spans="2:15">
      <c r="B34" s="172" t="s">
        <v>198</v>
      </c>
      <c r="C34" s="166">
        <f>BS!B47</f>
        <v>46.542000000000002</v>
      </c>
      <c r="D34" s="166">
        <f>BS!C47</f>
        <v>39.542999999999999</v>
      </c>
      <c r="E34" s="166">
        <f>BS!D47</f>
        <v>52.28</v>
      </c>
      <c r="F34" s="166">
        <f>BS!E47</f>
        <v>82.353999999999999</v>
      </c>
      <c r="G34" s="166">
        <f>BS!F47</f>
        <v>128.387</v>
      </c>
      <c r="H34" s="166">
        <f>BS!G47</f>
        <v>146.48500000000001</v>
      </c>
      <c r="I34" s="167">
        <f>I35*CHOOSE('DCF Main'!$G$2, 'IS Drivers'!N80,'Synergy Adjustments'!H49)*-1</f>
        <v>215.28962671911938</v>
      </c>
      <c r="J34" s="166">
        <f>J35*CHOOSE('DCF Main'!$G$2, 'IS Drivers'!O80,'Synergy Adjustments'!I49)*-1</f>
        <v>257.73106553745259</v>
      </c>
      <c r="K34" s="166">
        <f>K35*CHOOSE('DCF Main'!$G$2, 'IS Drivers'!P80,'Synergy Adjustments'!J49)*-1</f>
        <v>315.48005160365631</v>
      </c>
      <c r="L34" s="166">
        <f>L35*CHOOSE('DCF Main'!$G$2, 'IS Drivers'!Q80,'Synergy Adjustments'!K49)*-1</f>
        <v>368.68503336194868</v>
      </c>
      <c r="M34" s="166">
        <f>M35*CHOOSE('DCF Main'!$G$2, 'IS Drivers'!R80,'Synergy Adjustments'!L49)*-1</f>
        <v>415.93167314273035</v>
      </c>
      <c r="N34" s="166">
        <f>N35*CHOOSE('DCF Main'!$G$2, 'IS Drivers'!S80,'Synergy Adjustments'!M49)*-1</f>
        <v>464.31476367530536</v>
      </c>
      <c r="O34" s="168">
        <f>O35*CHOOSE('DCF Main'!$G$2, 'IS Drivers'!T80,'Synergy Adjustments'!N49)*-1</f>
        <v>500.84477156585621</v>
      </c>
    </row>
    <row r="35" spans="2:15">
      <c r="B35" s="169" t="s">
        <v>191</v>
      </c>
      <c r="C35" s="206">
        <f>C34/'IS Drivers'!H80*-1</f>
        <v>0.16099818737806312</v>
      </c>
      <c r="D35" s="206">
        <f>D34/'IS Drivers'!I80*-1</f>
        <v>0.10464737779495009</v>
      </c>
      <c r="E35" s="206">
        <f>E34/'IS Drivers'!J80*-1</f>
        <v>0.10378720050503948</v>
      </c>
      <c r="F35" s="206">
        <f>F34/'IS Drivers'!K80*-1</f>
        <v>0.10974738671314879</v>
      </c>
      <c r="G35" s="170">
        <f>G34/'IS Drivers'!L80*-1</f>
        <v>0.1209963037729412</v>
      </c>
      <c r="H35" s="206">
        <f>H34/'IS Drivers'!M80*-1</f>
        <v>9.7379330333875802E-2</v>
      </c>
      <c r="I35" s="208">
        <f>AVERAGE(C35:G35)</f>
        <v>0.12003529123282855</v>
      </c>
      <c r="J35" s="170">
        <f>AVERAGE(D35:I35)</f>
        <v>0.10943214839213065</v>
      </c>
      <c r="K35" s="170">
        <f>AVERAGE(E35:J35)</f>
        <v>0.11022961015832743</v>
      </c>
      <c r="L35" s="170">
        <f>AVERAGE(F35:K35)</f>
        <v>0.11130334510054207</v>
      </c>
      <c r="M35" s="170">
        <f>AVERAGE(G35:L35)</f>
        <v>0.11156267149844096</v>
      </c>
      <c r="N35" s="170">
        <f>AVERAGE(I35:M35)</f>
        <v>0.11251261327645393</v>
      </c>
      <c r="O35" s="171">
        <f>AVERAGE(J35:N35)</f>
        <v>0.11100807768517902</v>
      </c>
    </row>
    <row r="36" spans="2:15">
      <c r="B36" s="172" t="s">
        <v>199</v>
      </c>
      <c r="C36" s="166">
        <f>BS!B50</f>
        <v>6.6230000000000002</v>
      </c>
      <c r="D36" s="166">
        <f>BS!C50</f>
        <v>5.407</v>
      </c>
      <c r="E36" s="166">
        <f>BS!D50</f>
        <v>5.8929999999999998</v>
      </c>
      <c r="F36" s="166">
        <f>BS!E50</f>
        <v>31.474</v>
      </c>
      <c r="G36" s="166">
        <f>BS!F50</f>
        <v>38.103999999999999</v>
      </c>
      <c r="H36" s="166">
        <f>BS!G50</f>
        <v>46.097999999999999</v>
      </c>
      <c r="I36" s="167">
        <f>I37*CHOOSE('DCF Main'!$G$2, 'IS Drivers'!N35,'Synergy Adjustments'!H9)</f>
        <v>68.200108328361054</v>
      </c>
      <c r="J36" s="166">
        <f>J37*CHOOSE('DCF Main'!$G$2, 'IS Drivers'!O35,'Synergy Adjustments'!I9)</f>
        <v>97.306326137309227</v>
      </c>
      <c r="K36" s="166">
        <f>K37*CHOOSE('DCF Main'!$G$2, 'IS Drivers'!P35,'Synergy Adjustments'!J9)</f>
        <v>135.46244796191118</v>
      </c>
      <c r="L36" s="166">
        <f>L37*CHOOSE('DCF Main'!$G$2, 'IS Drivers'!Q35,'Synergy Adjustments'!K9)</f>
        <v>183.24567500452187</v>
      </c>
      <c r="M36" s="166">
        <f>M37*CHOOSE('DCF Main'!$G$2, 'IS Drivers'!R35,'Synergy Adjustments'!L9)</f>
        <v>206.46894176347502</v>
      </c>
      <c r="N36" s="166">
        <f>N37*CHOOSE('DCF Main'!$G$2, 'IS Drivers'!S35,'Synergy Adjustments'!M9)</f>
        <v>236.24670753305571</v>
      </c>
      <c r="O36" s="168">
        <f>O37*CHOOSE('DCF Main'!$G$2, 'IS Drivers'!T35,'Synergy Adjustments'!N9)</f>
        <v>281.95865237611332</v>
      </c>
    </row>
    <row r="37" spans="2:15">
      <c r="B37" s="169" t="s">
        <v>181</v>
      </c>
      <c r="C37" s="206">
        <f>C36/'IS Drivers'!H35</f>
        <v>5.2268218113861549E-3</v>
      </c>
      <c r="D37" s="206">
        <f>D36/'IS Drivers'!I35</f>
        <v>3.1643550936636231E-3</v>
      </c>
      <c r="E37" s="206">
        <f>E36/'IS Drivers'!J35</f>
        <v>2.6613941586620862E-3</v>
      </c>
      <c r="F37" s="206">
        <f>F36/'IS Drivers'!K35</f>
        <v>9.5428474578532312E-3</v>
      </c>
      <c r="G37" s="170">
        <f>G36/'IS Drivers'!L35</f>
        <v>8.0840140023337222E-3</v>
      </c>
      <c r="H37" s="206">
        <f>H36/'IS Drivers'!M35</f>
        <v>6.0242782412055764E-3</v>
      </c>
      <c r="I37" s="208">
        <f>AVERAGE(C37:G37)</f>
        <v>5.7358865047797639E-3</v>
      </c>
      <c r="J37" s="170">
        <f>AVERAGE(D37:I37)</f>
        <v>5.8687959097496675E-3</v>
      </c>
      <c r="K37" s="170">
        <f>AVERAGE(E37:J37)</f>
        <v>6.3195360457640078E-3</v>
      </c>
      <c r="L37" s="170">
        <f>AVERAGE(F37:K37)</f>
        <v>6.9292263602809935E-3</v>
      </c>
      <c r="M37" s="170">
        <f>AVERAGE(G37:L37)</f>
        <v>6.4936228440189564E-3</v>
      </c>
      <c r="N37" s="170">
        <f>AVERAGE(I37:M37)</f>
        <v>6.2694135329186777E-3</v>
      </c>
      <c r="O37" s="171">
        <f>AVERAGE(J37:N37)</f>
        <v>6.3761189385464602E-3</v>
      </c>
    </row>
    <row r="38" spans="2:15">
      <c r="B38" s="172" t="s">
        <v>200</v>
      </c>
      <c r="C38" s="166">
        <f>BS!B51</f>
        <v>262.16800000000001</v>
      </c>
      <c r="D38" s="166">
        <f>BS!C51</f>
        <v>519.91200000000003</v>
      </c>
      <c r="E38" s="166">
        <f>BS!D51</f>
        <v>897.89099999999996</v>
      </c>
      <c r="F38" s="166">
        <f>BS!E51</f>
        <v>868.29700000000003</v>
      </c>
      <c r="G38" s="166">
        <f>BS!F51</f>
        <v>1455.7570000000001</v>
      </c>
      <c r="H38" s="166">
        <f>BS!G51</f>
        <v>3071.9650000000001</v>
      </c>
      <c r="I38" s="167">
        <f>I39*CHOOSE('DCF Main'!$G$2, 'IS Drivers'!N35,'Synergy Adjustments'!H9)</f>
        <v>3540.3643158184045</v>
      </c>
      <c r="J38" s="166">
        <f>J39*CHOOSE('DCF Main'!$G$2, 'IS Drivers'!O35,'Synergy Adjustments'!I9)</f>
        <v>5474.5461955894807</v>
      </c>
      <c r="K38" s="166">
        <f>K39*CHOOSE('DCF Main'!$G$2, 'IS Drivers'!P35,'Synergy Adjustments'!J9)</f>
        <v>7170.2425313910126</v>
      </c>
      <c r="L38" s="166">
        <f>L39*CHOOSE('DCF Main'!$G$2, 'IS Drivers'!Q35,'Synergy Adjustments'!K9)</f>
        <v>8533.0986854641906</v>
      </c>
      <c r="M38" s="166">
        <f>M39*CHOOSE('DCF Main'!$G$2, 'IS Drivers'!R35,'Synergy Adjustments'!L9)</f>
        <v>10574.278829002158</v>
      </c>
      <c r="N38" s="166">
        <f>N39*CHOOSE('DCF Main'!$G$2, 'IS Drivers'!S35,'Synergy Adjustments'!M9)</f>
        <v>12191.655234340084</v>
      </c>
      <c r="O38" s="168">
        <f>O39*CHOOSE('DCF Main'!$G$2, 'IS Drivers'!T35,'Synergy Adjustments'!N9)</f>
        <v>14535.13450395873</v>
      </c>
    </row>
    <row r="39" spans="2:15">
      <c r="B39" s="169" t="s">
        <v>181</v>
      </c>
      <c r="C39" s="206">
        <f>C38/'IS Drivers'!H35</f>
        <v>0.20690101474369402</v>
      </c>
      <c r="D39" s="206">
        <f>D38/'IS Drivers'!I35</f>
        <v>0.30426968475251376</v>
      </c>
      <c r="E39" s="206">
        <f>E38/'IS Drivers'!J35</f>
        <v>0.40550515230192757</v>
      </c>
      <c r="F39" s="206">
        <f>F38/'IS Drivers'!K35</f>
        <v>0.26326573740584569</v>
      </c>
      <c r="G39" s="170">
        <f>G38/'IS Drivers'!L35</f>
        <v>0.30884841412962766</v>
      </c>
      <c r="H39" s="206">
        <f>H38/'IS Drivers'!M35</f>
        <v>0.40145715448056513</v>
      </c>
      <c r="I39" s="208">
        <f>AVERAGE(C39:G39)</f>
        <v>0.29775800066672176</v>
      </c>
      <c r="J39" s="170">
        <f>AVERAGE(D39:I39)</f>
        <v>0.33018402395620028</v>
      </c>
      <c r="K39" s="170">
        <f>AVERAGE(E39:J39)</f>
        <v>0.33450308049014804</v>
      </c>
      <c r="L39" s="170">
        <f>AVERAGE(F39:K39)</f>
        <v>0.32266940185485143</v>
      </c>
      <c r="M39" s="170">
        <f>AVERAGE(G39:L39)</f>
        <v>0.33257001259635238</v>
      </c>
      <c r="N39" s="170">
        <f>AVERAGE(I39:M39)</f>
        <v>0.32353690391285478</v>
      </c>
      <c r="O39" s="171">
        <f>AVERAGE(J39:N39)</f>
        <v>0.32869268456208139</v>
      </c>
    </row>
    <row r="40" spans="2:15">
      <c r="B40" s="109"/>
      <c r="H40" s="131"/>
      <c r="I40" s="105"/>
      <c r="J40" s="179"/>
      <c r="K40" s="179"/>
      <c r="L40" s="179"/>
      <c r="O40" s="146"/>
    </row>
    <row r="41" spans="2:15">
      <c r="B41" s="180" t="s">
        <v>201</v>
      </c>
      <c r="C41" s="181">
        <f t="shared" ref="C41:I41" si="18">C15-C31</f>
        <v>-89.967999999999989</v>
      </c>
      <c r="D41" s="181">
        <f t="shared" si="18"/>
        <v>-87.970000000000027</v>
      </c>
      <c r="E41" s="181">
        <f t="shared" si="18"/>
        <v>-60.583000000000084</v>
      </c>
      <c r="F41" s="181">
        <f t="shared" si="18"/>
        <v>-30.800000000000068</v>
      </c>
      <c r="G41" s="181">
        <f>G15-G31</f>
        <v>15.863000000000284</v>
      </c>
      <c r="H41" s="181">
        <f>H15-H31</f>
        <v>309.096</v>
      </c>
      <c r="I41" s="182">
        <f t="shared" si="18"/>
        <v>-285.4791151674508</v>
      </c>
      <c r="J41" s="181">
        <f t="shared" ref="J41:N41" si="19">J15-J31</f>
        <v>-96.585837232008998</v>
      </c>
      <c r="K41" s="181">
        <f t="shared" si="19"/>
        <v>29.466063410395691</v>
      </c>
      <c r="L41" s="181">
        <f t="shared" si="19"/>
        <v>150.47022382029172</v>
      </c>
      <c r="M41" s="181">
        <f t="shared" si="19"/>
        <v>237.88450904074125</v>
      </c>
      <c r="N41" s="181">
        <f t="shared" si="19"/>
        <v>-33.023683657462243</v>
      </c>
      <c r="O41" s="183">
        <f t="shared" ref="O41" si="20">O15-O31</f>
        <v>156.34366340296401</v>
      </c>
    </row>
    <row r="42" spans="2:15">
      <c r="B42" s="184" t="s">
        <v>202</v>
      </c>
      <c r="C42" s="185"/>
      <c r="D42" s="185">
        <f>(D41-C41)*-1</f>
        <v>-1.997999999999962</v>
      </c>
      <c r="E42" s="185">
        <f t="shared" ref="E42:M42" si="21">(E41-D41)*-1</f>
        <v>-27.386999999999944</v>
      </c>
      <c r="F42" s="185">
        <f t="shared" si="21"/>
        <v>-29.783000000000015</v>
      </c>
      <c r="G42" s="185">
        <f>(G41-F41)*-1</f>
        <v>-46.663000000000352</v>
      </c>
      <c r="H42" s="185">
        <f>(H41-G41)*-1</f>
        <v>-293.23299999999972</v>
      </c>
      <c r="I42" s="186">
        <f>(I41-G41)*-1</f>
        <v>301.34211516745108</v>
      </c>
      <c r="J42" s="185">
        <f t="shared" si="21"/>
        <v>-188.8932779354418</v>
      </c>
      <c r="K42" s="185">
        <f t="shared" si="21"/>
        <v>-126.05190064240469</v>
      </c>
      <c r="L42" s="185">
        <f t="shared" si="21"/>
        <v>-121.00416040989603</v>
      </c>
      <c r="M42" s="185">
        <f t="shared" si="21"/>
        <v>-87.414285220449528</v>
      </c>
      <c r="N42" s="185">
        <f>(N41-M41)*-1</f>
        <v>270.90819269820349</v>
      </c>
      <c r="O42" s="187">
        <f>(O41-N41)*-1</f>
        <v>-189.36734706042625</v>
      </c>
    </row>
  </sheetData>
  <mergeCells count="2">
    <mergeCell ref="B2:B3"/>
    <mergeCell ref="C2:C3"/>
  </mergeCells>
  <phoneticPr fontId="35" type="noConversion"/>
  <pageMargins left="0.7" right="0.7" top="0.75" bottom="0.75" header="0.3" footer="0.3"/>
  <pageSetup scale="42" orientation="portrait" horizontalDpi="0" verticalDpi="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0EAEB-A5B9-A24C-9CE7-18470FF193F4}">
  <sheetPr>
    <tabColor rgb="FF6985AA"/>
  </sheetPr>
  <dimension ref="B2:T51"/>
  <sheetViews>
    <sheetView showGridLines="0" view="pageBreakPreview" zoomScale="60" zoomScaleNormal="113" workbookViewId="0">
      <selection activeCell="N44" sqref="N44"/>
    </sheetView>
  </sheetViews>
  <sheetFormatPr baseColWidth="10" defaultColWidth="10.83203125" defaultRowHeight="15"/>
  <cols>
    <col min="1" max="1" width="4.33203125" style="131" customWidth="1"/>
    <col min="2" max="2" width="16.33203125" style="131" customWidth="1"/>
    <col min="3" max="3" width="20.5" style="131" customWidth="1"/>
    <col min="4" max="4" width="5.6640625" style="131" customWidth="1"/>
    <col min="5" max="5" width="19.33203125" style="131" customWidth="1"/>
    <col min="6" max="7" width="18.83203125" style="131" customWidth="1"/>
    <col min="8" max="9" width="14.1640625" style="131" bestFit="1" customWidth="1"/>
    <col min="10" max="10" width="15.6640625" style="131" bestFit="1" customWidth="1"/>
    <col min="11" max="11" width="13.1640625" style="131" bestFit="1" customWidth="1"/>
    <col min="12" max="12" width="11.83203125" style="131" bestFit="1" customWidth="1"/>
    <col min="13" max="14" width="18.6640625" style="131" customWidth="1"/>
    <col min="15" max="16384" width="10.83203125" style="131"/>
  </cols>
  <sheetData>
    <row r="2" spans="2:19" ht="8" customHeight="1"/>
    <row r="3" spans="2:19" ht="7" customHeight="1"/>
    <row r="4" spans="2:19">
      <c r="B4" s="675" t="s">
        <v>203</v>
      </c>
      <c r="C4" s="676"/>
      <c r="E4" s="372" t="s">
        <v>204</v>
      </c>
      <c r="F4" s="374"/>
      <c r="G4" s="374"/>
      <c r="H4" s="374"/>
      <c r="I4" s="374"/>
      <c r="J4" s="373"/>
      <c r="K4" s="373"/>
      <c r="L4" s="373"/>
      <c r="M4" s="375"/>
    </row>
    <row r="5" spans="2:19" ht="15" customHeight="1">
      <c r="B5" s="635" t="s">
        <v>205</v>
      </c>
      <c r="C5" s="636"/>
      <c r="E5" s="376" t="s">
        <v>206</v>
      </c>
      <c r="F5" s="377"/>
      <c r="G5" s="377"/>
      <c r="H5" s="377"/>
      <c r="I5" s="377"/>
      <c r="J5" s="377"/>
      <c r="K5" s="377"/>
      <c r="L5" s="377"/>
      <c r="M5" s="378"/>
    </row>
    <row r="6" spans="2:19" ht="15" customHeight="1">
      <c r="B6" s="637"/>
      <c r="C6" s="638"/>
      <c r="E6" s="677" t="s">
        <v>207</v>
      </c>
      <c r="F6" s="679" t="s">
        <v>208</v>
      </c>
      <c r="G6" s="679" t="s">
        <v>209</v>
      </c>
      <c r="H6" s="679" t="s">
        <v>210</v>
      </c>
      <c r="I6" s="679" t="s">
        <v>211</v>
      </c>
      <c r="J6" s="679" t="s">
        <v>212</v>
      </c>
      <c r="K6" s="679" t="s">
        <v>213</v>
      </c>
      <c r="L6" s="679" t="s">
        <v>214</v>
      </c>
      <c r="M6" s="673" t="s">
        <v>215</v>
      </c>
    </row>
    <row r="7" spans="2:19" s="379" customFormat="1">
      <c r="B7" s="637"/>
      <c r="C7" s="638"/>
      <c r="E7" s="678"/>
      <c r="F7" s="680"/>
      <c r="G7" s="680"/>
      <c r="H7" s="680"/>
      <c r="I7" s="680"/>
      <c r="J7" s="680"/>
      <c r="K7" s="680"/>
      <c r="L7" s="680"/>
      <c r="M7" s="674"/>
      <c r="S7" s="131"/>
    </row>
    <row r="8" spans="2:19" s="379" customFormat="1">
      <c r="B8" s="637"/>
      <c r="C8" s="638"/>
      <c r="E8" s="380" t="s">
        <v>216</v>
      </c>
      <c r="F8" s="432">
        <v>241368.51</v>
      </c>
      <c r="G8" s="432">
        <v>236918.51</v>
      </c>
      <c r="H8" s="442">
        <v>0.52159999999999995</v>
      </c>
      <c r="I8" s="432">
        <v>20299</v>
      </c>
      <c r="J8" s="432">
        <v>4030</v>
      </c>
      <c r="K8" s="446">
        <f>G8/I8</f>
        <v>11.671437509236908</v>
      </c>
      <c r="L8" s="446">
        <f>G8/J8</f>
        <v>58.788712158808934</v>
      </c>
      <c r="M8" s="435">
        <v>0.1915</v>
      </c>
      <c r="S8" s="131"/>
    </row>
    <row r="9" spans="2:19" s="379" customFormat="1">
      <c r="B9" s="637"/>
      <c r="C9" s="638"/>
      <c r="E9" s="380" t="s">
        <v>217</v>
      </c>
      <c r="F9" s="432">
        <v>447360.89</v>
      </c>
      <c r="G9" s="432">
        <v>457045.89</v>
      </c>
      <c r="H9" s="442">
        <v>0.68049999999999999</v>
      </c>
      <c r="I9" s="432">
        <v>21846</v>
      </c>
      <c r="J9" s="432">
        <v>14892</v>
      </c>
      <c r="K9" s="446">
        <f t="shared" ref="K9:K10" si="0">G9/I9</f>
        <v>20.921262015929692</v>
      </c>
      <c r="L9" s="446">
        <f t="shared" ref="L9" si="1">G9/J9</f>
        <v>30.690699033037873</v>
      </c>
      <c r="M9" s="435">
        <v>-4.9200000000000001E-2</v>
      </c>
      <c r="S9" s="131"/>
    </row>
    <row r="10" spans="2:19" s="379" customFormat="1">
      <c r="B10" s="637"/>
      <c r="C10" s="638"/>
      <c r="E10" s="381" t="s">
        <v>218</v>
      </c>
      <c r="F10" s="432">
        <v>118436.03</v>
      </c>
      <c r="G10" s="432">
        <v>113217.85</v>
      </c>
      <c r="H10" s="442">
        <v>0.1462</v>
      </c>
      <c r="I10" s="432">
        <v>2456.91</v>
      </c>
      <c r="J10" s="432">
        <v>59.23</v>
      </c>
      <c r="K10" s="446">
        <f t="shared" si="0"/>
        <v>46.081398993044111</v>
      </c>
      <c r="L10" s="449" t="s">
        <v>219</v>
      </c>
      <c r="M10" s="435">
        <v>0.65210000000000001</v>
      </c>
      <c r="S10" s="131"/>
    </row>
    <row r="11" spans="2:19" s="379" customFormat="1">
      <c r="B11" s="637"/>
      <c r="C11" s="638"/>
      <c r="E11" s="382" t="s">
        <v>220</v>
      </c>
      <c r="F11" s="438">
        <v>340270.56</v>
      </c>
      <c r="G11" s="438">
        <v>342304.56</v>
      </c>
      <c r="H11" s="443">
        <v>2.1379999999999999</v>
      </c>
      <c r="I11" s="438">
        <v>15595</v>
      </c>
      <c r="J11" s="444">
        <v>9029</v>
      </c>
      <c r="K11" s="447">
        <f>G11/I11</f>
        <v>21.949635139467777</v>
      </c>
      <c r="L11" s="447">
        <f>G11/J11</f>
        <v>37.911680141765423</v>
      </c>
      <c r="M11" s="445">
        <v>-4.1799999999999997E-2</v>
      </c>
      <c r="S11" s="131"/>
    </row>
    <row r="12" spans="2:19" ht="15" customHeight="1">
      <c r="B12" s="637"/>
      <c r="C12" s="638"/>
      <c r="E12" s="385"/>
      <c r="F12" s="386"/>
      <c r="G12" s="386"/>
      <c r="H12" s="387"/>
      <c r="I12" s="386"/>
      <c r="J12" s="386"/>
      <c r="K12" s="388"/>
      <c r="L12" s="388"/>
      <c r="M12" s="389"/>
    </row>
    <row r="13" spans="2:19" ht="15" customHeight="1">
      <c r="B13" s="637"/>
      <c r="C13" s="638"/>
      <c r="E13" s="390"/>
      <c r="F13" s="391"/>
      <c r="G13" s="391"/>
      <c r="H13" s="392"/>
      <c r="I13" s="391"/>
      <c r="J13" s="391"/>
      <c r="K13" s="393"/>
      <c r="L13" s="393"/>
      <c r="M13" s="394"/>
    </row>
    <row r="14" spans="2:19" ht="15" customHeight="1">
      <c r="B14" s="637"/>
      <c r="C14" s="638"/>
      <c r="E14" s="395"/>
      <c r="F14" s="396"/>
      <c r="G14" s="396"/>
      <c r="H14" s="397"/>
      <c r="I14" s="396"/>
      <c r="J14" s="396"/>
      <c r="K14" s="398"/>
      <c r="L14" s="398"/>
      <c r="M14" s="399"/>
    </row>
    <row r="15" spans="2:19">
      <c r="B15" s="637"/>
      <c r="C15" s="638"/>
      <c r="S15" s="414"/>
    </row>
    <row r="16" spans="2:19">
      <c r="B16" s="637"/>
      <c r="C16" s="638"/>
      <c r="E16" s="400"/>
      <c r="F16" s="401"/>
      <c r="G16" s="401"/>
      <c r="H16" s="402"/>
      <c r="I16" s="401"/>
      <c r="J16" s="401"/>
      <c r="K16" s="403"/>
      <c r="L16" s="403"/>
      <c r="M16" s="404"/>
    </row>
    <row r="17" spans="2:20">
      <c r="B17" s="637"/>
      <c r="C17" s="638"/>
    </row>
    <row r="18" spans="2:20">
      <c r="B18" s="637"/>
      <c r="C18" s="638"/>
      <c r="E18" s="289" t="s">
        <v>10</v>
      </c>
      <c r="F18" s="405">
        <f t="shared" ref="F18:M18" si="2">AVERAGE(F8:F11)</f>
        <v>286858.9975</v>
      </c>
      <c r="G18" s="405">
        <f t="shared" si="2"/>
        <v>287371.70250000001</v>
      </c>
      <c r="H18" s="406">
        <f t="shared" si="2"/>
        <v>0.87157499999999999</v>
      </c>
      <c r="I18" s="405">
        <f t="shared" si="2"/>
        <v>15049.227500000001</v>
      </c>
      <c r="J18" s="405">
        <f t="shared" si="2"/>
        <v>7002.5574999999999</v>
      </c>
      <c r="K18" s="407">
        <f t="shared" si="2"/>
        <v>25.155933414419621</v>
      </c>
      <c r="L18" s="407">
        <f t="shared" si="2"/>
        <v>42.463697111204077</v>
      </c>
      <c r="M18" s="408">
        <f t="shared" si="2"/>
        <v>0.18815000000000001</v>
      </c>
    </row>
    <row r="19" spans="2:20">
      <c r="B19" s="637"/>
      <c r="C19" s="638"/>
      <c r="E19" s="105" t="s">
        <v>221</v>
      </c>
      <c r="F19" s="409">
        <f t="shared" ref="F19:M19" si="3">MEDIAN(F8:F11)</f>
        <v>290819.53500000003</v>
      </c>
      <c r="G19" s="409">
        <f t="shared" si="3"/>
        <v>289611.53500000003</v>
      </c>
      <c r="H19" s="410">
        <f t="shared" si="3"/>
        <v>0.60104999999999997</v>
      </c>
      <c r="I19" s="409">
        <f t="shared" si="3"/>
        <v>17947</v>
      </c>
      <c r="J19" s="409">
        <f t="shared" si="3"/>
        <v>6529.5</v>
      </c>
      <c r="K19" s="411">
        <f t="shared" si="3"/>
        <v>21.435448577698736</v>
      </c>
      <c r="L19" s="411">
        <f t="shared" si="3"/>
        <v>37.911680141765423</v>
      </c>
      <c r="M19" s="412">
        <f t="shared" si="3"/>
        <v>7.485E-2</v>
      </c>
    </row>
    <row r="20" spans="2:20">
      <c r="B20" s="637"/>
      <c r="C20" s="638"/>
    </row>
    <row r="21" spans="2:20">
      <c r="B21" s="637"/>
      <c r="C21" s="638"/>
    </row>
    <row r="22" spans="2:20">
      <c r="B22" s="637"/>
      <c r="C22" s="638"/>
    </row>
    <row r="23" spans="2:20">
      <c r="B23" s="637"/>
      <c r="C23" s="638"/>
    </row>
    <row r="24" spans="2:20">
      <c r="B24" s="637"/>
      <c r="C24" s="638"/>
    </row>
    <row r="25" spans="2:20">
      <c r="B25" s="637"/>
      <c r="C25" s="638"/>
    </row>
    <row r="26" spans="2:20" ht="15" customHeight="1">
      <c r="B26" s="639"/>
      <c r="C26" s="640"/>
    </row>
    <row r="27" spans="2:20">
      <c r="B27" s="413"/>
      <c r="C27" s="413"/>
    </row>
    <row r="28" spans="2:20">
      <c r="B28" s="675" t="s">
        <v>222</v>
      </c>
      <c r="C28" s="676"/>
      <c r="E28" s="372" t="s">
        <v>223</v>
      </c>
      <c r="F28" s="425"/>
      <c r="G28" s="374"/>
      <c r="H28" s="374"/>
      <c r="I28" s="374"/>
      <c r="J28" s="374"/>
      <c r="K28" s="373"/>
      <c r="L28" s="373"/>
      <c r="M28" s="373"/>
      <c r="N28" s="375"/>
    </row>
    <row r="29" spans="2:20">
      <c r="B29" s="635" t="s">
        <v>224</v>
      </c>
      <c r="C29" s="636"/>
      <c r="E29" s="376" t="s">
        <v>206</v>
      </c>
      <c r="F29" s="426"/>
      <c r="G29" s="377"/>
      <c r="H29" s="377"/>
      <c r="I29" s="377"/>
      <c r="J29" s="683" t="s">
        <v>225</v>
      </c>
      <c r="K29" s="683"/>
      <c r="L29" s="424"/>
      <c r="M29" s="683" t="s">
        <v>226</v>
      </c>
      <c r="N29" s="684"/>
    </row>
    <row r="30" spans="2:20" ht="15" customHeight="1">
      <c r="B30" s="637"/>
      <c r="C30" s="638"/>
      <c r="E30" s="685" t="s">
        <v>227</v>
      </c>
      <c r="F30" s="686" t="s">
        <v>228</v>
      </c>
      <c r="G30" s="679" t="s">
        <v>229</v>
      </c>
      <c r="H30" s="679" t="s">
        <v>230</v>
      </c>
      <c r="I30" s="679" t="s">
        <v>209</v>
      </c>
      <c r="J30" s="679" t="s">
        <v>211</v>
      </c>
      <c r="K30" s="679" t="s">
        <v>212</v>
      </c>
      <c r="L30" s="679" t="s">
        <v>231</v>
      </c>
      <c r="M30" s="679" t="s">
        <v>232</v>
      </c>
      <c r="N30" s="681" t="s">
        <v>233</v>
      </c>
    </row>
    <row r="31" spans="2:20" s="379" customFormat="1">
      <c r="B31" s="637"/>
      <c r="C31" s="638"/>
      <c r="E31" s="678"/>
      <c r="F31" s="687"/>
      <c r="G31" s="680"/>
      <c r="H31" s="680"/>
      <c r="I31" s="680"/>
      <c r="J31" s="680"/>
      <c r="K31" s="680"/>
      <c r="L31" s="680"/>
      <c r="M31" s="680"/>
      <c r="N31" s="682"/>
      <c r="T31" s="131"/>
    </row>
    <row r="32" spans="2:20" s="379" customFormat="1">
      <c r="B32" s="637"/>
      <c r="C32" s="638"/>
      <c r="E32" s="427">
        <v>43401</v>
      </c>
      <c r="F32" s="417" t="s">
        <v>234</v>
      </c>
      <c r="G32" s="416" t="s">
        <v>235</v>
      </c>
      <c r="H32" s="432">
        <v>33923.620000000003</v>
      </c>
      <c r="I32" s="432">
        <v>33923.620000000003</v>
      </c>
      <c r="J32" s="433">
        <v>10.75</v>
      </c>
      <c r="K32" s="433">
        <v>56.4</v>
      </c>
      <c r="L32" s="433">
        <v>51.06</v>
      </c>
      <c r="M32" s="434">
        <v>0.58179999999999998</v>
      </c>
      <c r="N32" s="435">
        <v>0.39419999999999999</v>
      </c>
      <c r="T32" s="131"/>
    </row>
    <row r="33" spans="2:20" s="379" customFormat="1">
      <c r="B33" s="637"/>
      <c r="C33" s="638"/>
      <c r="E33" s="427">
        <v>42579</v>
      </c>
      <c r="F33" s="417" t="s">
        <v>236</v>
      </c>
      <c r="G33" s="417" t="s">
        <v>237</v>
      </c>
      <c r="H33" s="432">
        <v>8880.74</v>
      </c>
      <c r="I33" s="432">
        <v>8696.83</v>
      </c>
      <c r="J33" s="433">
        <v>9.69</v>
      </c>
      <c r="K33" s="436" t="s">
        <v>219</v>
      </c>
      <c r="L33" s="433">
        <v>159.69999999999999</v>
      </c>
      <c r="M33" s="437">
        <v>0.33100000000000002</v>
      </c>
      <c r="N33" s="435">
        <v>0.57899999999999996</v>
      </c>
      <c r="T33" s="131"/>
    </row>
    <row r="34" spans="2:20" s="379" customFormat="1">
      <c r="B34" s="637"/>
      <c r="C34" s="638"/>
      <c r="E34" s="427">
        <v>42534</v>
      </c>
      <c r="F34" s="417" t="s">
        <v>238</v>
      </c>
      <c r="G34" s="417" t="s">
        <v>239</v>
      </c>
      <c r="H34" s="432">
        <v>27880.71</v>
      </c>
      <c r="I34" s="432">
        <v>25880.19</v>
      </c>
      <c r="J34" s="433">
        <v>8.0500000000000007</v>
      </c>
      <c r="K34" s="433">
        <v>97.24</v>
      </c>
      <c r="L34" s="433">
        <v>53.9</v>
      </c>
      <c r="M34" s="437">
        <v>0.44400000000000001</v>
      </c>
      <c r="N34" s="435">
        <v>0.54300000000000004</v>
      </c>
      <c r="T34" s="131"/>
    </row>
    <row r="35" spans="2:20" s="379" customFormat="1">
      <c r="B35" s="637"/>
      <c r="C35" s="638"/>
      <c r="E35" s="427">
        <v>42522</v>
      </c>
      <c r="F35" s="418" t="s">
        <v>240</v>
      </c>
      <c r="G35" s="418" t="s">
        <v>241</v>
      </c>
      <c r="H35" s="432">
        <v>2915.21</v>
      </c>
      <c r="I35" s="432">
        <v>2840.45</v>
      </c>
      <c r="J35" s="433">
        <v>11.2</v>
      </c>
      <c r="K35" s="436" t="s">
        <v>219</v>
      </c>
      <c r="L35" s="436" t="s">
        <v>242</v>
      </c>
      <c r="M35" s="437">
        <v>0.66400000000000003</v>
      </c>
      <c r="N35" s="435">
        <v>0.61599999999999999</v>
      </c>
      <c r="T35" s="131"/>
    </row>
    <row r="36" spans="2:20" ht="15" customHeight="1">
      <c r="B36" s="637"/>
      <c r="C36" s="638"/>
      <c r="E36" s="428">
        <v>40673</v>
      </c>
      <c r="F36" s="419" t="s">
        <v>243</v>
      </c>
      <c r="G36" s="419" t="s">
        <v>239</v>
      </c>
      <c r="H36" s="438">
        <v>8600</v>
      </c>
      <c r="I36" s="438">
        <v>9182.4</v>
      </c>
      <c r="J36" s="439">
        <v>10.7</v>
      </c>
      <c r="K36" s="439">
        <v>47.6</v>
      </c>
      <c r="L36" s="439" t="s">
        <v>242</v>
      </c>
      <c r="M36" s="440" t="s">
        <v>242</v>
      </c>
      <c r="N36" s="441" t="s">
        <v>242</v>
      </c>
    </row>
    <row r="37" spans="2:20" ht="15" customHeight="1">
      <c r="B37" s="637"/>
      <c r="C37" s="638"/>
      <c r="E37" s="385"/>
      <c r="F37" s="420"/>
      <c r="G37" s="420"/>
      <c r="H37" s="386"/>
      <c r="I37" s="386"/>
      <c r="J37" s="387"/>
      <c r="K37" s="386"/>
      <c r="L37" s="386"/>
      <c r="M37" s="388"/>
      <c r="N37" s="389"/>
    </row>
    <row r="38" spans="2:20" ht="15" customHeight="1">
      <c r="B38" s="637"/>
      <c r="C38" s="638"/>
      <c r="E38" s="390"/>
      <c r="F38" s="421"/>
      <c r="G38" s="421"/>
      <c r="H38" s="391"/>
      <c r="I38" s="391"/>
      <c r="J38" s="392"/>
      <c r="K38" s="391"/>
      <c r="L38" s="391"/>
      <c r="M38" s="393"/>
      <c r="N38" s="394"/>
    </row>
    <row r="39" spans="2:20">
      <c r="B39" s="637"/>
      <c r="C39" s="638"/>
      <c r="E39" s="395"/>
      <c r="F39" s="422"/>
      <c r="G39" s="422"/>
      <c r="H39" s="396"/>
      <c r="I39" s="396"/>
      <c r="J39" s="397"/>
      <c r="K39" s="396"/>
      <c r="L39" s="396"/>
      <c r="M39" s="398"/>
      <c r="N39" s="399"/>
      <c r="T39" s="414"/>
    </row>
    <row r="40" spans="2:20">
      <c r="B40" s="637"/>
      <c r="C40" s="638"/>
    </row>
    <row r="41" spans="2:20">
      <c r="B41" s="637"/>
      <c r="C41" s="638"/>
      <c r="E41" s="400"/>
      <c r="F41" s="423"/>
      <c r="G41" s="401"/>
      <c r="H41" s="401"/>
      <c r="I41" s="402"/>
      <c r="J41" s="401"/>
      <c r="K41" s="401"/>
      <c r="L41" s="403"/>
      <c r="M41" s="403"/>
      <c r="N41" s="404"/>
    </row>
    <row r="42" spans="2:20">
      <c r="B42" s="637"/>
      <c r="C42" s="638"/>
    </row>
    <row r="43" spans="2:20">
      <c r="B43" s="637"/>
      <c r="C43" s="638"/>
      <c r="E43" s="289" t="s">
        <v>10</v>
      </c>
      <c r="F43" s="292"/>
      <c r="G43" s="292"/>
      <c r="H43" s="405">
        <f>AVERAGE(H32:H36)</f>
        <v>16440.056000000004</v>
      </c>
      <c r="I43" s="405">
        <f t="shared" ref="I43:M43" si="4">AVERAGE(I32:I36)</f>
        <v>16104.697999999999</v>
      </c>
      <c r="J43" s="407">
        <f t="shared" si="4"/>
        <v>10.077999999999999</v>
      </c>
      <c r="K43" s="407">
        <f t="shared" si="4"/>
        <v>67.08</v>
      </c>
      <c r="L43" s="407">
        <f t="shared" si="4"/>
        <v>88.219999999999985</v>
      </c>
      <c r="M43" s="429">
        <f t="shared" si="4"/>
        <v>0.50519999999999998</v>
      </c>
      <c r="N43" s="408">
        <f>AVERAGE(N32:N36)</f>
        <v>0.53305000000000002</v>
      </c>
    </row>
    <row r="44" spans="2:20">
      <c r="B44" s="637"/>
      <c r="C44" s="638"/>
      <c r="E44" s="105" t="s">
        <v>221</v>
      </c>
      <c r="F44" s="179"/>
      <c r="G44" s="179"/>
      <c r="H44" s="409">
        <f>MEDIAN(H32:H36)</f>
        <v>8880.74</v>
      </c>
      <c r="I44" s="409">
        <f t="shared" ref="I44:N44" si="5">MEDIAN(I32:I36)</f>
        <v>9182.4</v>
      </c>
      <c r="J44" s="383">
        <f t="shared" si="5"/>
        <v>10.7</v>
      </c>
      <c r="K44" s="383">
        <f t="shared" si="5"/>
        <v>56.4</v>
      </c>
      <c r="L44" s="383">
        <f t="shared" si="5"/>
        <v>53.9</v>
      </c>
      <c r="M44" s="430">
        <f t="shared" si="5"/>
        <v>0.51290000000000002</v>
      </c>
      <c r="N44" s="384">
        <f t="shared" si="5"/>
        <v>0.56099999999999994</v>
      </c>
    </row>
    <row r="45" spans="2:20">
      <c r="B45" s="637"/>
      <c r="C45" s="638"/>
    </row>
    <row r="46" spans="2:20">
      <c r="B46" s="637"/>
      <c r="C46" s="638"/>
    </row>
    <row r="47" spans="2:20">
      <c r="B47" s="637"/>
      <c r="C47" s="638"/>
    </row>
    <row r="48" spans="2:20">
      <c r="B48" s="637"/>
      <c r="C48" s="638"/>
    </row>
    <row r="49" spans="2:3">
      <c r="B49" s="637"/>
      <c r="C49" s="638"/>
    </row>
    <row r="50" spans="2:3">
      <c r="B50" s="639"/>
      <c r="C50" s="640"/>
    </row>
    <row r="51" spans="2:3">
      <c r="B51" s="413"/>
      <c r="C51" s="413"/>
    </row>
  </sheetData>
  <mergeCells count="25">
    <mergeCell ref="B28:C28"/>
    <mergeCell ref="E30:E31"/>
    <mergeCell ref="H30:H31"/>
    <mergeCell ref="I30:I31"/>
    <mergeCell ref="J30:J31"/>
    <mergeCell ref="F30:F31"/>
    <mergeCell ref="J29:K29"/>
    <mergeCell ref="K30:K31"/>
    <mergeCell ref="L30:L31"/>
    <mergeCell ref="N30:N31"/>
    <mergeCell ref="B29:C50"/>
    <mergeCell ref="G30:G31"/>
    <mergeCell ref="M29:N29"/>
    <mergeCell ref="M30:M31"/>
    <mergeCell ref="M6:M7"/>
    <mergeCell ref="B4:C4"/>
    <mergeCell ref="B5:C26"/>
    <mergeCell ref="E6:E7"/>
    <mergeCell ref="F6:F7"/>
    <mergeCell ref="G6:G7"/>
    <mergeCell ref="H6:H7"/>
    <mergeCell ref="I6:I7"/>
    <mergeCell ref="J6:J7"/>
    <mergeCell ref="K6:K7"/>
    <mergeCell ref="L6:L7"/>
  </mergeCells>
  <phoneticPr fontId="35" type="noConversion"/>
  <pageMargins left="0.7" right="0.7" top="0.75" bottom="0.75" header="0.3" footer="0.3"/>
  <pageSetup scale="38"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DD1FD-F26E-324A-AFA2-A99B9BCC6DBD}">
  <sheetPr>
    <tabColor rgb="FF6985AA"/>
    <outlinePr summaryBelow="0" summaryRight="0"/>
    <pageSetUpPr autoPageBreaks="0"/>
  </sheetPr>
  <dimension ref="A5:IU125"/>
  <sheetViews>
    <sheetView view="pageBreakPreview" zoomScale="60" zoomScaleNormal="100" workbookViewId="0">
      <selection activeCell="M113" sqref="M113"/>
    </sheetView>
  </sheetViews>
  <sheetFormatPr baseColWidth="10" defaultColWidth="11.5" defaultRowHeight="11"/>
  <cols>
    <col min="1" max="1" width="45.83203125" style="2" customWidth="1"/>
    <col min="2" max="7" width="14.83203125" style="2" customWidth="1"/>
    <col min="8" max="256" width="8.83203125" style="2" customWidth="1"/>
    <col min="257" max="257" width="45.83203125" style="2" customWidth="1"/>
    <col min="258" max="263" width="14.83203125" style="2" customWidth="1"/>
    <col min="264" max="512" width="8.83203125" style="2" customWidth="1"/>
    <col min="513" max="513" width="45.83203125" style="2" customWidth="1"/>
    <col min="514" max="519" width="14.83203125" style="2" customWidth="1"/>
    <col min="520" max="768" width="8.83203125" style="2" customWidth="1"/>
    <col min="769" max="769" width="45.83203125" style="2" customWidth="1"/>
    <col min="770" max="775" width="14.83203125" style="2" customWidth="1"/>
    <col min="776" max="1024" width="8.83203125" style="2" customWidth="1"/>
    <col min="1025" max="1025" width="45.83203125" style="2" customWidth="1"/>
    <col min="1026" max="1031" width="14.83203125" style="2" customWidth="1"/>
    <col min="1032" max="1280" width="8.83203125" style="2" customWidth="1"/>
    <col min="1281" max="1281" width="45.83203125" style="2" customWidth="1"/>
    <col min="1282" max="1287" width="14.83203125" style="2" customWidth="1"/>
    <col min="1288" max="1536" width="8.83203125" style="2" customWidth="1"/>
    <col min="1537" max="1537" width="45.83203125" style="2" customWidth="1"/>
    <col min="1538" max="1543" width="14.83203125" style="2" customWidth="1"/>
    <col min="1544" max="1792" width="8.83203125" style="2" customWidth="1"/>
    <col min="1793" max="1793" width="45.83203125" style="2" customWidth="1"/>
    <col min="1794" max="1799" width="14.83203125" style="2" customWidth="1"/>
    <col min="1800" max="2048" width="8.83203125" style="2" customWidth="1"/>
    <col min="2049" max="2049" width="45.83203125" style="2" customWidth="1"/>
    <col min="2050" max="2055" width="14.83203125" style="2" customWidth="1"/>
    <col min="2056" max="2304" width="8.83203125" style="2" customWidth="1"/>
    <col min="2305" max="2305" width="45.83203125" style="2" customWidth="1"/>
    <col min="2306" max="2311" width="14.83203125" style="2" customWidth="1"/>
    <col min="2312" max="2560" width="8.83203125" style="2" customWidth="1"/>
    <col min="2561" max="2561" width="45.83203125" style="2" customWidth="1"/>
    <col min="2562" max="2567" width="14.83203125" style="2" customWidth="1"/>
    <col min="2568" max="2816" width="8.83203125" style="2" customWidth="1"/>
    <col min="2817" max="2817" width="45.83203125" style="2" customWidth="1"/>
    <col min="2818" max="2823" width="14.83203125" style="2" customWidth="1"/>
    <col min="2824" max="3072" width="8.83203125" style="2" customWidth="1"/>
    <col min="3073" max="3073" width="45.83203125" style="2" customWidth="1"/>
    <col min="3074" max="3079" width="14.83203125" style="2" customWidth="1"/>
    <col min="3080" max="3328" width="8.83203125" style="2" customWidth="1"/>
    <col min="3329" max="3329" width="45.83203125" style="2" customWidth="1"/>
    <col min="3330" max="3335" width="14.83203125" style="2" customWidth="1"/>
    <col min="3336" max="3584" width="8.83203125" style="2" customWidth="1"/>
    <col min="3585" max="3585" width="45.83203125" style="2" customWidth="1"/>
    <col min="3586" max="3591" width="14.83203125" style="2" customWidth="1"/>
    <col min="3592" max="3840" width="8.83203125" style="2" customWidth="1"/>
    <col min="3841" max="3841" width="45.83203125" style="2" customWidth="1"/>
    <col min="3842" max="3847" width="14.83203125" style="2" customWidth="1"/>
    <col min="3848" max="4096" width="8.83203125" style="2" customWidth="1"/>
    <col min="4097" max="4097" width="45.83203125" style="2" customWidth="1"/>
    <col min="4098" max="4103" width="14.83203125" style="2" customWidth="1"/>
    <col min="4104" max="4352" width="8.83203125" style="2" customWidth="1"/>
    <col min="4353" max="4353" width="45.83203125" style="2" customWidth="1"/>
    <col min="4354" max="4359" width="14.83203125" style="2" customWidth="1"/>
    <col min="4360" max="4608" width="8.83203125" style="2" customWidth="1"/>
    <col min="4609" max="4609" width="45.83203125" style="2" customWidth="1"/>
    <col min="4610" max="4615" width="14.83203125" style="2" customWidth="1"/>
    <col min="4616" max="4864" width="8.83203125" style="2" customWidth="1"/>
    <col min="4865" max="4865" width="45.83203125" style="2" customWidth="1"/>
    <col min="4866" max="4871" width="14.83203125" style="2" customWidth="1"/>
    <col min="4872" max="5120" width="8.83203125" style="2" customWidth="1"/>
    <col min="5121" max="5121" width="45.83203125" style="2" customWidth="1"/>
    <col min="5122" max="5127" width="14.83203125" style="2" customWidth="1"/>
    <col min="5128" max="5376" width="8.83203125" style="2" customWidth="1"/>
    <col min="5377" max="5377" width="45.83203125" style="2" customWidth="1"/>
    <col min="5378" max="5383" width="14.83203125" style="2" customWidth="1"/>
    <col min="5384" max="5632" width="8.83203125" style="2" customWidth="1"/>
    <col min="5633" max="5633" width="45.83203125" style="2" customWidth="1"/>
    <col min="5634" max="5639" width="14.83203125" style="2" customWidth="1"/>
    <col min="5640" max="5888" width="8.83203125" style="2" customWidth="1"/>
    <col min="5889" max="5889" width="45.83203125" style="2" customWidth="1"/>
    <col min="5890" max="5895" width="14.83203125" style="2" customWidth="1"/>
    <col min="5896" max="6144" width="8.83203125" style="2" customWidth="1"/>
    <col min="6145" max="6145" width="45.83203125" style="2" customWidth="1"/>
    <col min="6146" max="6151" width="14.83203125" style="2" customWidth="1"/>
    <col min="6152" max="6400" width="8.83203125" style="2" customWidth="1"/>
    <col min="6401" max="6401" width="45.83203125" style="2" customWidth="1"/>
    <col min="6402" max="6407" width="14.83203125" style="2" customWidth="1"/>
    <col min="6408" max="6656" width="8.83203125" style="2" customWidth="1"/>
    <col min="6657" max="6657" width="45.83203125" style="2" customWidth="1"/>
    <col min="6658" max="6663" width="14.83203125" style="2" customWidth="1"/>
    <col min="6664" max="6912" width="8.83203125" style="2" customWidth="1"/>
    <col min="6913" max="6913" width="45.83203125" style="2" customWidth="1"/>
    <col min="6914" max="6919" width="14.83203125" style="2" customWidth="1"/>
    <col min="6920" max="7168" width="8.83203125" style="2" customWidth="1"/>
    <col min="7169" max="7169" width="45.83203125" style="2" customWidth="1"/>
    <col min="7170" max="7175" width="14.83203125" style="2" customWidth="1"/>
    <col min="7176" max="7424" width="8.83203125" style="2" customWidth="1"/>
    <col min="7425" max="7425" width="45.83203125" style="2" customWidth="1"/>
    <col min="7426" max="7431" width="14.83203125" style="2" customWidth="1"/>
    <col min="7432" max="7680" width="8.83203125" style="2" customWidth="1"/>
    <col min="7681" max="7681" width="45.83203125" style="2" customWidth="1"/>
    <col min="7682" max="7687" width="14.83203125" style="2" customWidth="1"/>
    <col min="7688" max="7936" width="8.83203125" style="2" customWidth="1"/>
    <col min="7937" max="7937" width="45.83203125" style="2" customWidth="1"/>
    <col min="7938" max="7943" width="14.83203125" style="2" customWidth="1"/>
    <col min="7944" max="8192" width="8.83203125" style="2" customWidth="1"/>
    <col min="8193" max="8193" width="45.83203125" style="2" customWidth="1"/>
    <col min="8194" max="8199" width="14.83203125" style="2" customWidth="1"/>
    <col min="8200" max="8448" width="8.83203125" style="2" customWidth="1"/>
    <col min="8449" max="8449" width="45.83203125" style="2" customWidth="1"/>
    <col min="8450" max="8455" width="14.83203125" style="2" customWidth="1"/>
    <col min="8456" max="8704" width="8.83203125" style="2" customWidth="1"/>
    <col min="8705" max="8705" width="45.83203125" style="2" customWidth="1"/>
    <col min="8706" max="8711" width="14.83203125" style="2" customWidth="1"/>
    <col min="8712" max="8960" width="8.83203125" style="2" customWidth="1"/>
    <col min="8961" max="8961" width="45.83203125" style="2" customWidth="1"/>
    <col min="8962" max="8967" width="14.83203125" style="2" customWidth="1"/>
    <col min="8968" max="9216" width="8.83203125" style="2" customWidth="1"/>
    <col min="9217" max="9217" width="45.83203125" style="2" customWidth="1"/>
    <col min="9218" max="9223" width="14.83203125" style="2" customWidth="1"/>
    <col min="9224" max="9472" width="8.83203125" style="2" customWidth="1"/>
    <col min="9473" max="9473" width="45.83203125" style="2" customWidth="1"/>
    <col min="9474" max="9479" width="14.83203125" style="2" customWidth="1"/>
    <col min="9480" max="9728" width="8.83203125" style="2" customWidth="1"/>
    <col min="9729" max="9729" width="45.83203125" style="2" customWidth="1"/>
    <col min="9730" max="9735" width="14.83203125" style="2" customWidth="1"/>
    <col min="9736" max="9984" width="8.83203125" style="2" customWidth="1"/>
    <col min="9985" max="9985" width="45.83203125" style="2" customWidth="1"/>
    <col min="9986" max="9991" width="14.83203125" style="2" customWidth="1"/>
    <col min="9992" max="10240" width="8.83203125" style="2" customWidth="1"/>
    <col min="10241" max="10241" width="45.83203125" style="2" customWidth="1"/>
    <col min="10242" max="10247" width="14.83203125" style="2" customWidth="1"/>
    <col min="10248" max="10496" width="8.83203125" style="2" customWidth="1"/>
    <col min="10497" max="10497" width="45.83203125" style="2" customWidth="1"/>
    <col min="10498" max="10503" width="14.83203125" style="2" customWidth="1"/>
    <col min="10504" max="10752" width="8.83203125" style="2" customWidth="1"/>
    <col min="10753" max="10753" width="45.83203125" style="2" customWidth="1"/>
    <col min="10754" max="10759" width="14.83203125" style="2" customWidth="1"/>
    <col min="10760" max="11008" width="8.83203125" style="2" customWidth="1"/>
    <col min="11009" max="11009" width="45.83203125" style="2" customWidth="1"/>
    <col min="11010" max="11015" width="14.83203125" style="2" customWidth="1"/>
    <col min="11016" max="11264" width="8.83203125" style="2" customWidth="1"/>
    <col min="11265" max="11265" width="45.83203125" style="2" customWidth="1"/>
    <col min="11266" max="11271" width="14.83203125" style="2" customWidth="1"/>
    <col min="11272" max="11520" width="8.83203125" style="2" customWidth="1"/>
    <col min="11521" max="11521" width="45.83203125" style="2" customWidth="1"/>
    <col min="11522" max="11527" width="14.83203125" style="2" customWidth="1"/>
    <col min="11528" max="11776" width="8.83203125" style="2" customWidth="1"/>
    <col min="11777" max="11777" width="45.83203125" style="2" customWidth="1"/>
    <col min="11778" max="11783" width="14.83203125" style="2" customWidth="1"/>
    <col min="11784" max="12032" width="8.83203125" style="2" customWidth="1"/>
    <col min="12033" max="12033" width="45.83203125" style="2" customWidth="1"/>
    <col min="12034" max="12039" width="14.83203125" style="2" customWidth="1"/>
    <col min="12040" max="12288" width="8.83203125" style="2" customWidth="1"/>
    <col min="12289" max="12289" width="45.83203125" style="2" customWidth="1"/>
    <col min="12290" max="12295" width="14.83203125" style="2" customWidth="1"/>
    <col min="12296" max="12544" width="8.83203125" style="2" customWidth="1"/>
    <col min="12545" max="12545" width="45.83203125" style="2" customWidth="1"/>
    <col min="12546" max="12551" width="14.83203125" style="2" customWidth="1"/>
    <col min="12552" max="12800" width="8.83203125" style="2" customWidth="1"/>
    <col min="12801" max="12801" width="45.83203125" style="2" customWidth="1"/>
    <col min="12802" max="12807" width="14.83203125" style="2" customWidth="1"/>
    <col min="12808" max="13056" width="8.83203125" style="2" customWidth="1"/>
    <col min="13057" max="13057" width="45.83203125" style="2" customWidth="1"/>
    <col min="13058" max="13063" width="14.83203125" style="2" customWidth="1"/>
    <col min="13064" max="13312" width="8.83203125" style="2" customWidth="1"/>
    <col min="13313" max="13313" width="45.83203125" style="2" customWidth="1"/>
    <col min="13314" max="13319" width="14.83203125" style="2" customWidth="1"/>
    <col min="13320" max="13568" width="8.83203125" style="2" customWidth="1"/>
    <col min="13569" max="13569" width="45.83203125" style="2" customWidth="1"/>
    <col min="13570" max="13575" width="14.83203125" style="2" customWidth="1"/>
    <col min="13576" max="13824" width="8.83203125" style="2" customWidth="1"/>
    <col min="13825" max="13825" width="45.83203125" style="2" customWidth="1"/>
    <col min="13826" max="13831" width="14.83203125" style="2" customWidth="1"/>
    <col min="13832" max="14080" width="8.83203125" style="2" customWidth="1"/>
    <col min="14081" max="14081" width="45.83203125" style="2" customWidth="1"/>
    <col min="14082" max="14087" width="14.83203125" style="2" customWidth="1"/>
    <col min="14088" max="14336" width="8.83203125" style="2" customWidth="1"/>
    <col min="14337" max="14337" width="45.83203125" style="2" customWidth="1"/>
    <col min="14338" max="14343" width="14.83203125" style="2" customWidth="1"/>
    <col min="14344" max="14592" width="8.83203125" style="2" customWidth="1"/>
    <col min="14593" max="14593" width="45.83203125" style="2" customWidth="1"/>
    <col min="14594" max="14599" width="14.83203125" style="2" customWidth="1"/>
    <col min="14600" max="14848" width="8.83203125" style="2" customWidth="1"/>
    <col min="14849" max="14849" width="45.83203125" style="2" customWidth="1"/>
    <col min="14850" max="14855" width="14.83203125" style="2" customWidth="1"/>
    <col min="14856" max="15104" width="8.83203125" style="2" customWidth="1"/>
    <col min="15105" max="15105" width="45.83203125" style="2" customWidth="1"/>
    <col min="15106" max="15111" width="14.83203125" style="2" customWidth="1"/>
    <col min="15112" max="15360" width="8.83203125" style="2" customWidth="1"/>
    <col min="15361" max="15361" width="45.83203125" style="2" customWidth="1"/>
    <col min="15362" max="15367" width="14.83203125" style="2" customWidth="1"/>
    <col min="15368" max="15616" width="8.83203125" style="2" customWidth="1"/>
    <col min="15617" max="15617" width="45.83203125" style="2" customWidth="1"/>
    <col min="15618" max="15623" width="14.83203125" style="2" customWidth="1"/>
    <col min="15624" max="15872" width="8.83203125" style="2" customWidth="1"/>
    <col min="15873" max="15873" width="45.83203125" style="2" customWidth="1"/>
    <col min="15874" max="15879" width="14.83203125" style="2" customWidth="1"/>
    <col min="15880" max="16128" width="8.83203125" style="2" customWidth="1"/>
    <col min="16129" max="16129" width="45.83203125" style="2" customWidth="1"/>
    <col min="16130" max="16135" width="14.83203125" style="2" customWidth="1"/>
    <col min="16136" max="16384" width="8.83203125" style="2" customWidth="1"/>
  </cols>
  <sheetData>
    <row r="5" spans="1:255" ht="17">
      <c r="A5" s="1" t="s">
        <v>244</v>
      </c>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32"/>
    </row>
    <row r="7" spans="1:255" ht="12">
      <c r="A7" s="3" t="s">
        <v>245</v>
      </c>
      <c r="B7" s="4" t="s">
        <v>246</v>
      </c>
      <c r="C7" s="32" t="s">
        <v>247</v>
      </c>
      <c r="D7" s="5" t="s">
        <v>248</v>
      </c>
      <c r="E7" s="4" t="s">
        <v>249</v>
      </c>
      <c r="F7" s="32" t="s">
        <v>250</v>
      </c>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32"/>
    </row>
    <row r="8" spans="1:255">
      <c r="A8" s="5"/>
      <c r="B8" s="4" t="s">
        <v>251</v>
      </c>
      <c r="C8" s="32" t="s">
        <v>252</v>
      </c>
      <c r="D8" s="5" t="s">
        <v>248</v>
      </c>
      <c r="E8" s="4" t="s">
        <v>253</v>
      </c>
      <c r="F8" s="32" t="s">
        <v>254</v>
      </c>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32"/>
    </row>
    <row r="9" spans="1:255">
      <c r="A9" s="5"/>
      <c r="B9" s="4" t="s">
        <v>255</v>
      </c>
      <c r="C9" s="32" t="s">
        <v>256</v>
      </c>
      <c r="D9" s="5" t="s">
        <v>248</v>
      </c>
      <c r="E9" s="4" t="s">
        <v>257</v>
      </c>
      <c r="F9" s="32" t="s">
        <v>258</v>
      </c>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32"/>
    </row>
    <row r="10" spans="1:255">
      <c r="A10" s="5"/>
      <c r="B10" s="4" t="s">
        <v>259</v>
      </c>
      <c r="C10" s="32" t="s">
        <v>260</v>
      </c>
      <c r="D10" s="5" t="s">
        <v>248</v>
      </c>
      <c r="E10" s="4" t="s">
        <v>261</v>
      </c>
      <c r="F10" s="6" t="s">
        <v>262</v>
      </c>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32"/>
    </row>
    <row r="11" spans="1:255">
      <c r="A11" s="5"/>
      <c r="B11" s="4" t="s">
        <v>263</v>
      </c>
      <c r="C11" s="32" t="s">
        <v>264</v>
      </c>
      <c r="D11" s="5" t="s">
        <v>248</v>
      </c>
      <c r="E11" s="7"/>
      <c r="F11" s="7"/>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32"/>
    </row>
    <row r="14" spans="1:255">
      <c r="A14" s="8" t="s">
        <v>265</v>
      </c>
      <c r="B14" s="8"/>
      <c r="C14" s="8"/>
      <c r="D14" s="8"/>
      <c r="E14" s="8"/>
      <c r="F14" s="8"/>
      <c r="G14" s="8"/>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9"/>
      <c r="IS14" s="9"/>
      <c r="IT14" s="9"/>
      <c r="IU14" s="9"/>
    </row>
    <row r="15" spans="1:255" ht="36">
      <c r="A15" s="10" t="s">
        <v>266</v>
      </c>
      <c r="B15" s="11" t="s">
        <v>267</v>
      </c>
      <c r="C15" s="11" t="s">
        <v>268</v>
      </c>
      <c r="D15" s="11" t="s">
        <v>269</v>
      </c>
      <c r="E15" s="11" t="s">
        <v>270</v>
      </c>
      <c r="F15" s="11" t="s">
        <v>271</v>
      </c>
      <c r="G15" s="11" t="s">
        <v>272</v>
      </c>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32"/>
    </row>
    <row r="16" spans="1:255" ht="12">
      <c r="A16" s="12" t="s">
        <v>273</v>
      </c>
      <c r="B16" s="13" t="s">
        <v>274</v>
      </c>
      <c r="C16" s="13" t="s">
        <v>274</v>
      </c>
      <c r="D16" s="13" t="s">
        <v>274</v>
      </c>
      <c r="E16" s="13" t="s">
        <v>274</v>
      </c>
      <c r="F16" s="13" t="s">
        <v>274</v>
      </c>
      <c r="G16" s="13" t="s">
        <v>274</v>
      </c>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32"/>
    </row>
    <row r="17" spans="1:7">
      <c r="A17" s="14" t="s">
        <v>275</v>
      </c>
      <c r="B17" s="5"/>
      <c r="C17" s="5"/>
      <c r="D17" s="5"/>
      <c r="E17" s="5"/>
      <c r="F17" s="5"/>
      <c r="G17" s="5"/>
    </row>
    <row r="18" spans="1:7">
      <c r="A18" s="53" t="s">
        <v>276</v>
      </c>
      <c r="B18" s="54">
        <v>1050.4449999999999</v>
      </c>
      <c r="C18" s="54">
        <v>1456.16</v>
      </c>
      <c r="D18" s="54">
        <v>1920.174</v>
      </c>
      <c r="E18" s="54">
        <v>2471.451</v>
      </c>
      <c r="F18" s="54">
        <v>3081.0740000000001</v>
      </c>
      <c r="G18" s="54">
        <v>3198.1470000000004</v>
      </c>
    </row>
    <row r="19" spans="1:7">
      <c r="A19" s="53" t="s">
        <v>277</v>
      </c>
      <c r="B19" s="54">
        <v>58.012999999999998</v>
      </c>
      <c r="C19" s="54">
        <v>129.351</v>
      </c>
      <c r="D19" s="54">
        <v>252.66399999999999</v>
      </c>
      <c r="E19" s="54">
        <v>591.70600000000002</v>
      </c>
      <c r="F19" s="54">
        <v>1031.4559999999999</v>
      </c>
      <c r="G19" s="54">
        <v>1371.4469999999999</v>
      </c>
    </row>
    <row r="20" spans="1:7">
      <c r="A20" s="53" t="s">
        <v>134</v>
      </c>
      <c r="B20" s="54">
        <v>16.376999999999999</v>
      </c>
      <c r="C20" s="54">
        <v>44.307000000000002</v>
      </c>
      <c r="D20" s="54">
        <v>41.414999999999999</v>
      </c>
      <c r="E20" s="54">
        <v>68.503</v>
      </c>
      <c r="F20" s="54">
        <v>84.504999999999995</v>
      </c>
      <c r="G20" s="54">
        <v>89.557999999999993</v>
      </c>
    </row>
    <row r="21" spans="1:7">
      <c r="A21" s="53" t="s">
        <v>139</v>
      </c>
      <c r="B21" s="54">
        <v>0</v>
      </c>
      <c r="C21" s="54">
        <v>0</v>
      </c>
      <c r="D21" s="54">
        <v>0</v>
      </c>
      <c r="E21" s="54">
        <v>166.517</v>
      </c>
      <c r="F21" s="54">
        <v>516.46500000000003</v>
      </c>
      <c r="G21" s="54">
        <v>2992.8850000000002</v>
      </c>
    </row>
    <row r="22" spans="1:7">
      <c r="A22" s="53" t="s">
        <v>142</v>
      </c>
      <c r="B22" s="54">
        <v>142.28299999999999</v>
      </c>
      <c r="C22" s="54">
        <v>78.903000000000006</v>
      </c>
      <c r="D22" s="54">
        <v>0</v>
      </c>
      <c r="E22" s="54">
        <v>0</v>
      </c>
      <c r="F22" s="54">
        <v>0</v>
      </c>
      <c r="G22" s="54">
        <v>0</v>
      </c>
    </row>
    <row r="23" spans="1:7">
      <c r="A23" s="14" t="s">
        <v>278</v>
      </c>
      <c r="B23" s="16">
        <v>1267.1179999999999</v>
      </c>
      <c r="C23" s="16">
        <v>1708.721</v>
      </c>
      <c r="D23" s="16">
        <v>2214.2530000000002</v>
      </c>
      <c r="E23" s="16">
        <v>3298.1770000000001</v>
      </c>
      <c r="F23" s="16">
        <v>4713.5</v>
      </c>
      <c r="G23" s="16">
        <v>7652.0370000000003</v>
      </c>
    </row>
    <row r="24" spans="1:7">
      <c r="A24" s="5"/>
      <c r="B24" s="5"/>
      <c r="C24" s="5"/>
      <c r="D24" s="5"/>
      <c r="E24" s="5"/>
      <c r="F24" s="5"/>
      <c r="G24" s="5"/>
    </row>
    <row r="25" spans="1:7">
      <c r="A25" s="53" t="s">
        <v>279</v>
      </c>
      <c r="B25" s="54">
        <v>672.66700000000003</v>
      </c>
      <c r="C25" s="54">
        <v>943.2</v>
      </c>
      <c r="D25" s="54">
        <v>1230.29</v>
      </c>
      <c r="E25" s="54">
        <v>1558.5619999999999</v>
      </c>
      <c r="F25" s="54">
        <v>1937.971</v>
      </c>
      <c r="G25" s="54">
        <v>1895.806</v>
      </c>
    </row>
    <row r="26" spans="1:7">
      <c r="A26" s="53" t="s">
        <v>280</v>
      </c>
      <c r="B26" s="54">
        <v>22.47</v>
      </c>
      <c r="C26" s="54">
        <v>43.131999999999998</v>
      </c>
      <c r="D26" s="54">
        <v>75.72</v>
      </c>
      <c r="E26" s="54">
        <v>169.88399999999999</v>
      </c>
      <c r="F26" s="54">
        <v>234.27</v>
      </c>
      <c r="G26" s="54">
        <v>207.94200000000001</v>
      </c>
    </row>
    <row r="27" spans="1:7">
      <c r="A27" s="53" t="s">
        <v>281</v>
      </c>
      <c r="B27" s="54">
        <v>30.873999999999999</v>
      </c>
      <c r="C27" s="54">
        <v>68.561999999999998</v>
      </c>
      <c r="D27" s="54">
        <v>62.393000000000001</v>
      </c>
      <c r="E27" s="54">
        <v>94.114000000000004</v>
      </c>
      <c r="F27" s="54">
        <v>136.38499999999999</v>
      </c>
      <c r="G27" s="54">
        <v>148.411</v>
      </c>
    </row>
    <row r="28" spans="1:7">
      <c r="A28" s="53" t="s">
        <v>282</v>
      </c>
      <c r="B28" s="54">
        <v>0</v>
      </c>
      <c r="C28" s="54">
        <v>0</v>
      </c>
      <c r="D28" s="54">
        <v>0</v>
      </c>
      <c r="E28" s="54">
        <v>164.827</v>
      </c>
      <c r="F28" s="54">
        <v>508.23899999999998</v>
      </c>
      <c r="G28" s="54">
        <v>2933.52</v>
      </c>
    </row>
    <row r="29" spans="1:7">
      <c r="A29" s="53" t="s">
        <v>283</v>
      </c>
      <c r="B29" s="54">
        <v>165.43799999999999</v>
      </c>
      <c r="C29" s="54">
        <v>69.760999999999996</v>
      </c>
      <c r="D29" s="54">
        <v>0</v>
      </c>
      <c r="E29" s="54">
        <v>0</v>
      </c>
      <c r="F29" s="54">
        <v>0</v>
      </c>
      <c r="G29" s="54">
        <v>0</v>
      </c>
    </row>
    <row r="30" spans="1:7">
      <c r="A30" s="14" t="s">
        <v>284</v>
      </c>
      <c r="B30" s="17">
        <v>891.44899999999996</v>
      </c>
      <c r="C30" s="17">
        <v>1124.655</v>
      </c>
      <c r="D30" s="17">
        <v>1368.403</v>
      </c>
      <c r="E30" s="17">
        <v>1987.3869999999999</v>
      </c>
      <c r="F30" s="17">
        <v>2816.8649999999998</v>
      </c>
      <c r="G30" s="17">
        <v>5185.6790000000001</v>
      </c>
    </row>
    <row r="31" spans="1:7">
      <c r="A31" s="14" t="s">
        <v>285</v>
      </c>
      <c r="B31" s="16">
        <v>375.66899999999998</v>
      </c>
      <c r="C31" s="16">
        <v>584.06600000000003</v>
      </c>
      <c r="D31" s="16">
        <v>845.85</v>
      </c>
      <c r="E31" s="16">
        <v>1310.79</v>
      </c>
      <c r="F31" s="16">
        <v>1896.635</v>
      </c>
      <c r="G31" s="16">
        <v>2466.3580000000002</v>
      </c>
    </row>
    <row r="32" spans="1:7">
      <c r="A32" s="5"/>
      <c r="B32" s="5"/>
      <c r="C32" s="5"/>
      <c r="D32" s="5"/>
      <c r="E32" s="5"/>
      <c r="F32" s="5"/>
      <c r="G32" s="5"/>
    </row>
    <row r="33" spans="1:7">
      <c r="A33" s="5" t="s">
        <v>286</v>
      </c>
      <c r="B33" s="15">
        <v>289.084</v>
      </c>
      <c r="C33" s="15">
        <v>377.86900000000003</v>
      </c>
      <c r="D33" s="15">
        <v>503.72300000000001</v>
      </c>
      <c r="E33" s="15">
        <v>750.39599999999996</v>
      </c>
      <c r="F33" s="15">
        <v>1061.0820000000001</v>
      </c>
      <c r="G33" s="15">
        <v>1504.2719999999999</v>
      </c>
    </row>
    <row r="34" spans="1:7">
      <c r="A34" s="5" t="s">
        <v>287</v>
      </c>
      <c r="B34" s="15">
        <v>199.63800000000001</v>
      </c>
      <c r="C34" s="15">
        <v>268.53699999999998</v>
      </c>
      <c r="D34" s="15">
        <v>321.88799999999998</v>
      </c>
      <c r="E34" s="15">
        <v>497.47899999999998</v>
      </c>
      <c r="F34" s="15">
        <v>670.60599999999999</v>
      </c>
      <c r="G34" s="15">
        <v>801.66200000000003</v>
      </c>
    </row>
    <row r="35" spans="1:7">
      <c r="A35" s="5" t="s">
        <v>288</v>
      </c>
      <c r="B35" s="54">
        <v>0</v>
      </c>
      <c r="C35" s="54">
        <v>0</v>
      </c>
      <c r="D35" s="54">
        <v>0</v>
      </c>
      <c r="E35" s="54">
        <v>0</v>
      </c>
      <c r="F35" s="54">
        <v>0</v>
      </c>
      <c r="G35" s="54">
        <v>0</v>
      </c>
    </row>
    <row r="36" spans="1:7">
      <c r="A36" s="5" t="s">
        <v>289</v>
      </c>
      <c r="B36" s="15">
        <v>7.3959999999999999</v>
      </c>
      <c r="C36" s="15">
        <v>8.8780000000000001</v>
      </c>
      <c r="D36" s="15">
        <v>7.4269999999999996</v>
      </c>
      <c r="E36" s="15">
        <v>11.452</v>
      </c>
      <c r="F36" s="15">
        <v>11.430999999999999</v>
      </c>
      <c r="G36" s="15">
        <v>13.257999999999999</v>
      </c>
    </row>
    <row r="37" spans="1:7">
      <c r="A37" s="5" t="s">
        <v>290</v>
      </c>
      <c r="B37" s="15">
        <v>49.609000000000002</v>
      </c>
      <c r="C37" s="15">
        <v>51.234999999999999</v>
      </c>
      <c r="D37" s="15">
        <v>67.018000000000001</v>
      </c>
      <c r="E37" s="15">
        <v>88.076999999999998</v>
      </c>
      <c r="F37" s="15">
        <v>126.959</v>
      </c>
      <c r="G37" s="15">
        <v>193.816</v>
      </c>
    </row>
    <row r="38" spans="1:7">
      <c r="A38" s="5"/>
      <c r="B38" s="5"/>
      <c r="C38" s="5"/>
      <c r="D38" s="5"/>
      <c r="E38" s="5"/>
      <c r="F38" s="5"/>
      <c r="G38" s="5"/>
    </row>
    <row r="39" spans="1:7">
      <c r="A39" s="14" t="s">
        <v>291</v>
      </c>
      <c r="B39" s="16">
        <v>545.72699999999998</v>
      </c>
      <c r="C39" s="16">
        <v>706.51900000000001</v>
      </c>
      <c r="D39" s="16">
        <v>900.05600000000004</v>
      </c>
      <c r="E39" s="16">
        <v>1347.404</v>
      </c>
      <c r="F39" s="16">
        <v>1870.078</v>
      </c>
      <c r="G39" s="16">
        <v>2513.0079999999998</v>
      </c>
    </row>
    <row r="40" spans="1:7">
      <c r="A40" s="5"/>
      <c r="B40" s="5"/>
      <c r="C40" s="5"/>
      <c r="D40" s="5"/>
      <c r="E40" s="5"/>
      <c r="F40" s="5"/>
      <c r="G40" s="5"/>
    </row>
    <row r="41" spans="1:7">
      <c r="A41" s="14" t="s">
        <v>292</v>
      </c>
      <c r="B41" s="17">
        <v>-170.1</v>
      </c>
      <c r="C41" s="17">
        <v>-122.5</v>
      </c>
      <c r="D41" s="17">
        <v>-54.2</v>
      </c>
      <c r="E41" s="17">
        <v>-36.6</v>
      </c>
      <c r="F41" s="17">
        <v>26.556999999999999</v>
      </c>
      <c r="G41" s="17">
        <v>-46.7</v>
      </c>
    </row>
    <row r="42" spans="1:7">
      <c r="A42" s="5"/>
      <c r="B42" s="5"/>
      <c r="C42" s="5"/>
      <c r="D42" s="5"/>
      <c r="E42" s="5"/>
      <c r="F42" s="5"/>
      <c r="G42" s="5"/>
    </row>
    <row r="43" spans="1:7" ht="12">
      <c r="A43" s="5" t="s">
        <v>293</v>
      </c>
      <c r="B43" s="15">
        <v>-1.6</v>
      </c>
      <c r="C43" s="15" t="s">
        <v>39</v>
      </c>
      <c r="D43" s="15">
        <v>-15.6</v>
      </c>
      <c r="E43" s="15">
        <v>-36.9</v>
      </c>
      <c r="F43" s="15">
        <v>-44.2</v>
      </c>
      <c r="G43" s="15">
        <v>-63.3</v>
      </c>
    </row>
    <row r="44" spans="1:7" ht="12">
      <c r="A44" s="5" t="s">
        <v>294</v>
      </c>
      <c r="B44" s="15" t="s">
        <v>39</v>
      </c>
      <c r="C44" s="15">
        <v>0.53300000000000003</v>
      </c>
      <c r="D44" s="15">
        <v>5.5209999999999999</v>
      </c>
      <c r="E44" s="15">
        <v>18.896000000000001</v>
      </c>
      <c r="F44" s="15">
        <v>22.731000000000002</v>
      </c>
      <c r="G44" s="15">
        <v>18.331</v>
      </c>
    </row>
    <row r="45" spans="1:7">
      <c r="A45" s="14" t="s">
        <v>295</v>
      </c>
      <c r="B45" s="16">
        <v>-1.6</v>
      </c>
      <c r="C45" s="16">
        <v>0.53300000000000003</v>
      </c>
      <c r="D45" s="16">
        <v>-10.1</v>
      </c>
      <c r="E45" s="16">
        <v>-18</v>
      </c>
      <c r="F45" s="16">
        <v>-21.5</v>
      </c>
      <c r="G45" s="16">
        <v>-45</v>
      </c>
    </row>
    <row r="46" spans="1:7">
      <c r="A46" s="5"/>
      <c r="B46" s="5"/>
      <c r="C46" s="5"/>
      <c r="D46" s="5"/>
      <c r="E46" s="5"/>
      <c r="F46" s="5"/>
      <c r="G46" s="5"/>
    </row>
    <row r="47" spans="1:7" ht="12">
      <c r="A47" s="5" t="s">
        <v>296</v>
      </c>
      <c r="B47" s="15" t="s">
        <v>39</v>
      </c>
      <c r="C47" s="15" t="s">
        <v>39</v>
      </c>
      <c r="D47" s="15" t="s">
        <v>39</v>
      </c>
      <c r="E47" s="15" t="s">
        <v>39</v>
      </c>
      <c r="F47" s="15">
        <v>1.7</v>
      </c>
      <c r="G47" s="15">
        <v>1.7</v>
      </c>
    </row>
    <row r="48" spans="1:7" ht="12">
      <c r="A48" s="5" t="s">
        <v>297</v>
      </c>
      <c r="B48" s="15" t="s">
        <v>39</v>
      </c>
      <c r="C48" s="15">
        <v>0.247</v>
      </c>
      <c r="D48" s="15">
        <v>1.595</v>
      </c>
      <c r="E48" s="15">
        <v>-1.2</v>
      </c>
      <c r="F48" s="15">
        <v>0.65300000000000002</v>
      </c>
      <c r="G48" s="15">
        <v>-9.3000000000000007</v>
      </c>
    </row>
    <row r="49" spans="1:7">
      <c r="A49" s="14" t="s">
        <v>298</v>
      </c>
      <c r="B49" s="16">
        <v>-171.7</v>
      </c>
      <c r="C49" s="16">
        <v>-121.7</v>
      </c>
      <c r="D49" s="16">
        <v>-62.7</v>
      </c>
      <c r="E49" s="16">
        <v>-55.8</v>
      </c>
      <c r="F49" s="16">
        <v>7.3940000000000001</v>
      </c>
      <c r="G49" s="16">
        <v>-99.3</v>
      </c>
    </row>
    <row r="50" spans="1:7">
      <c r="A50" s="5"/>
      <c r="B50" s="5"/>
      <c r="C50" s="5"/>
      <c r="D50" s="5"/>
      <c r="E50" s="5"/>
      <c r="F50" s="5"/>
      <c r="G50" s="5"/>
    </row>
    <row r="51" spans="1:7" ht="12">
      <c r="A51" s="5" t="s">
        <v>299</v>
      </c>
      <c r="B51" s="15" t="s">
        <v>39</v>
      </c>
      <c r="C51" s="15" t="s">
        <v>39</v>
      </c>
      <c r="D51" s="15" t="s">
        <v>39</v>
      </c>
      <c r="E51" s="15" t="s">
        <v>39</v>
      </c>
      <c r="F51" s="15" t="s">
        <v>39</v>
      </c>
      <c r="G51" s="15" t="s">
        <v>39</v>
      </c>
    </row>
    <row r="52" spans="1:7" ht="12">
      <c r="A52" s="5" t="s">
        <v>300</v>
      </c>
      <c r="B52" s="15" t="s">
        <v>39</v>
      </c>
      <c r="C52" s="15" t="s">
        <v>39</v>
      </c>
      <c r="D52" s="15" t="s">
        <v>39</v>
      </c>
      <c r="E52" s="15">
        <v>24.742000000000001</v>
      </c>
      <c r="F52" s="15">
        <v>-2.6</v>
      </c>
      <c r="G52" s="15">
        <v>34.840000000000003</v>
      </c>
    </row>
    <row r="53" spans="1:7" ht="12">
      <c r="A53" s="5" t="s">
        <v>301</v>
      </c>
      <c r="B53" s="15" t="s">
        <v>39</v>
      </c>
      <c r="C53" s="15" t="s">
        <v>39</v>
      </c>
      <c r="D53" s="15" t="s">
        <v>39</v>
      </c>
      <c r="E53" s="15" t="s">
        <v>39</v>
      </c>
      <c r="F53" s="15">
        <v>373.44499999999999</v>
      </c>
      <c r="G53" s="15">
        <v>373.44499999999999</v>
      </c>
    </row>
    <row r="54" spans="1:7" ht="12">
      <c r="A54" s="5" t="s">
        <v>302</v>
      </c>
      <c r="B54" s="15" t="s">
        <v>39</v>
      </c>
      <c r="C54" s="15">
        <v>-48</v>
      </c>
      <c r="D54" s="15" t="s">
        <v>39</v>
      </c>
      <c r="E54" s="15" t="s">
        <v>39</v>
      </c>
      <c r="F54" s="15" t="s">
        <v>39</v>
      </c>
      <c r="G54" s="15" t="s">
        <v>39</v>
      </c>
    </row>
    <row r="55" spans="1:7" ht="12">
      <c r="A55" s="5" t="s">
        <v>303</v>
      </c>
      <c r="B55" s="15">
        <v>-4.4000000000000004</v>
      </c>
      <c r="C55" s="15" t="s">
        <v>39</v>
      </c>
      <c r="D55" s="15" t="s">
        <v>39</v>
      </c>
      <c r="E55" s="15">
        <v>-5</v>
      </c>
      <c r="F55" s="15" t="s">
        <v>39</v>
      </c>
      <c r="G55" s="15" t="s">
        <v>39</v>
      </c>
    </row>
    <row r="56" spans="1:7">
      <c r="A56" s="14" t="s">
        <v>304</v>
      </c>
      <c r="B56" s="16">
        <v>-176.1</v>
      </c>
      <c r="C56" s="16">
        <v>-169.7</v>
      </c>
      <c r="D56" s="16">
        <v>-62.7</v>
      </c>
      <c r="E56" s="16">
        <v>-36.1</v>
      </c>
      <c r="F56" s="16">
        <v>378.21300000000002</v>
      </c>
      <c r="G56" s="16">
        <v>309.00799999999998</v>
      </c>
    </row>
    <row r="57" spans="1:7">
      <c r="A57" s="5"/>
      <c r="B57" s="5"/>
      <c r="C57" s="5"/>
      <c r="D57" s="5"/>
      <c r="E57" s="5"/>
      <c r="F57" s="5"/>
      <c r="G57" s="5"/>
    </row>
    <row r="58" spans="1:7">
      <c r="A58" s="5" t="s">
        <v>305</v>
      </c>
      <c r="B58" s="15">
        <v>3.746</v>
      </c>
      <c r="C58" s="15">
        <v>1.917</v>
      </c>
      <c r="D58" s="15">
        <v>0.14899999999999999</v>
      </c>
      <c r="E58" s="15">
        <v>2.3260000000000001</v>
      </c>
      <c r="F58" s="15">
        <v>2.7669999999999999</v>
      </c>
      <c r="G58" s="15">
        <v>-1.1000000000000001</v>
      </c>
    </row>
    <row r="59" spans="1:7">
      <c r="A59" s="14" t="s">
        <v>306</v>
      </c>
      <c r="B59" s="16">
        <v>-179.8</v>
      </c>
      <c r="C59" s="16">
        <v>-171.6</v>
      </c>
      <c r="D59" s="16">
        <v>-62.8</v>
      </c>
      <c r="E59" s="16">
        <v>-38.5</v>
      </c>
      <c r="F59" s="16">
        <v>375.44600000000003</v>
      </c>
      <c r="G59" s="16">
        <v>310.08600000000001</v>
      </c>
    </row>
    <row r="60" spans="1:7">
      <c r="A60" s="5"/>
      <c r="B60" s="5"/>
      <c r="C60" s="5"/>
      <c r="D60" s="5"/>
      <c r="E60" s="5"/>
      <c r="F60" s="5"/>
      <c r="G60" s="5"/>
    </row>
    <row r="61" spans="1:7" ht="12">
      <c r="A61" s="5" t="s">
        <v>307</v>
      </c>
      <c r="B61" s="15" t="s">
        <v>39</v>
      </c>
      <c r="C61" s="15" t="s">
        <v>39</v>
      </c>
      <c r="D61" s="15" t="s">
        <v>39</v>
      </c>
      <c r="E61" s="15" t="s">
        <v>39</v>
      </c>
      <c r="F61" s="15" t="s">
        <v>39</v>
      </c>
      <c r="G61" s="15" t="s">
        <v>39</v>
      </c>
    </row>
    <row r="62" spans="1:7" ht="12">
      <c r="A62" s="5" t="s">
        <v>308</v>
      </c>
      <c r="B62" s="15" t="s">
        <v>39</v>
      </c>
      <c r="C62" s="15" t="s">
        <v>39</v>
      </c>
      <c r="D62" s="15" t="s">
        <v>39</v>
      </c>
      <c r="E62" s="15" t="s">
        <v>39</v>
      </c>
      <c r="F62" s="15" t="s">
        <v>39</v>
      </c>
      <c r="G62" s="15" t="s">
        <v>39</v>
      </c>
    </row>
    <row r="63" spans="1:7">
      <c r="A63" s="14" t="s">
        <v>309</v>
      </c>
      <c r="B63" s="16">
        <v>-179.8</v>
      </c>
      <c r="C63" s="16">
        <v>-171.6</v>
      </c>
      <c r="D63" s="16">
        <v>-62.8</v>
      </c>
      <c r="E63" s="16">
        <v>-38.5</v>
      </c>
      <c r="F63" s="16">
        <v>375.44600000000003</v>
      </c>
      <c r="G63" s="16">
        <v>310.08600000000001</v>
      </c>
    </row>
    <row r="64" spans="1:7">
      <c r="A64" s="5"/>
      <c r="B64" s="5"/>
      <c r="C64" s="5"/>
      <c r="D64" s="5"/>
      <c r="E64" s="5"/>
      <c r="F64" s="5"/>
      <c r="G64" s="5"/>
    </row>
    <row r="65" spans="1:7" ht="12">
      <c r="A65" s="5" t="s">
        <v>310</v>
      </c>
      <c r="B65" s="15" t="s">
        <v>39</v>
      </c>
      <c r="C65" s="15" t="s">
        <v>39</v>
      </c>
      <c r="D65" s="15" t="s">
        <v>39</v>
      </c>
      <c r="E65" s="15" t="s">
        <v>39</v>
      </c>
      <c r="F65" s="15" t="s">
        <v>39</v>
      </c>
      <c r="G65" s="15" t="s">
        <v>39</v>
      </c>
    </row>
    <row r="66" spans="1:7">
      <c r="A66" s="14" t="s">
        <v>311</v>
      </c>
      <c r="B66" s="18">
        <v>-179.8</v>
      </c>
      <c r="C66" s="18">
        <v>-171.6</v>
      </c>
      <c r="D66" s="18">
        <v>-62.8</v>
      </c>
      <c r="E66" s="18">
        <v>-38.5</v>
      </c>
      <c r="F66" s="18">
        <v>375.44600000000003</v>
      </c>
      <c r="G66" s="18">
        <v>310.08600000000001</v>
      </c>
    </row>
    <row r="67" spans="1:7">
      <c r="A67" s="5"/>
      <c r="B67" s="5"/>
      <c r="C67" s="5"/>
      <c r="D67" s="5"/>
      <c r="E67" s="5"/>
      <c r="F67" s="5"/>
      <c r="G67" s="5"/>
    </row>
    <row r="68" spans="1:7" ht="12">
      <c r="A68" s="5" t="s">
        <v>312</v>
      </c>
      <c r="B68" s="15">
        <v>32.200000000000003</v>
      </c>
      <c r="C68" s="15" t="s">
        <v>39</v>
      </c>
      <c r="D68" s="15" t="s">
        <v>39</v>
      </c>
      <c r="E68" s="15" t="s">
        <v>39</v>
      </c>
      <c r="F68" s="15" t="s">
        <v>39</v>
      </c>
      <c r="G68" s="15" t="s">
        <v>39</v>
      </c>
    </row>
    <row r="69" spans="1:7">
      <c r="A69" s="5"/>
      <c r="B69" s="5"/>
      <c r="C69" s="5"/>
      <c r="D69" s="5"/>
      <c r="E69" s="5"/>
      <c r="F69" s="5"/>
      <c r="G69" s="5"/>
    </row>
    <row r="70" spans="1:7">
      <c r="A70" s="14" t="s">
        <v>313</v>
      </c>
      <c r="B70" s="17">
        <v>-212</v>
      </c>
      <c r="C70" s="17">
        <v>-171.6</v>
      </c>
      <c r="D70" s="17">
        <v>-62.8</v>
      </c>
      <c r="E70" s="17">
        <v>-38.5</v>
      </c>
      <c r="F70" s="17">
        <v>375.44600000000003</v>
      </c>
      <c r="G70" s="17">
        <v>310.08600000000001</v>
      </c>
    </row>
    <row r="71" spans="1:7">
      <c r="A71" s="14" t="s">
        <v>314</v>
      </c>
      <c r="B71" s="17">
        <v>-212</v>
      </c>
      <c r="C71" s="17">
        <v>-171.6</v>
      </c>
      <c r="D71" s="17">
        <v>-62.8</v>
      </c>
      <c r="E71" s="17">
        <v>-38.5</v>
      </c>
      <c r="F71" s="17">
        <v>375.44600000000003</v>
      </c>
      <c r="G71" s="17">
        <v>310.08600000000001</v>
      </c>
    </row>
    <row r="72" spans="1:7">
      <c r="A72" s="5"/>
      <c r="B72" s="5"/>
      <c r="C72" s="5"/>
      <c r="D72" s="5"/>
      <c r="E72" s="5"/>
      <c r="F72" s="5"/>
      <c r="G72" s="5"/>
    </row>
    <row r="73" spans="1:7">
      <c r="A73" s="14" t="s">
        <v>315</v>
      </c>
      <c r="B73" s="5"/>
      <c r="C73" s="5"/>
      <c r="D73" s="5"/>
      <c r="E73" s="5"/>
      <c r="F73" s="5"/>
      <c r="G73" s="5"/>
    </row>
    <row r="74" spans="1:7">
      <c r="A74" s="5" t="s">
        <v>316</v>
      </c>
      <c r="B74" s="19">
        <v>-1.24</v>
      </c>
      <c r="C74" s="19">
        <v>-0.5</v>
      </c>
      <c r="D74" s="19">
        <v>-0.17</v>
      </c>
      <c r="E74" s="19">
        <v>-0.09</v>
      </c>
      <c r="F74" s="19">
        <v>0.88</v>
      </c>
      <c r="G74" s="19">
        <v>0.71</v>
      </c>
    </row>
    <row r="75" spans="1:7">
      <c r="A75" s="5" t="s">
        <v>317</v>
      </c>
      <c r="B75" s="20">
        <v>-1.24</v>
      </c>
      <c r="C75" s="20">
        <v>-0.5</v>
      </c>
      <c r="D75" s="20">
        <v>-0.17</v>
      </c>
      <c r="E75" s="20">
        <v>-0.09</v>
      </c>
      <c r="F75" s="20">
        <v>0.88340399999999997</v>
      </c>
      <c r="G75" s="20">
        <v>0.70883099999999999</v>
      </c>
    </row>
    <row r="76" spans="1:7">
      <c r="A76" s="5" t="s">
        <v>318</v>
      </c>
      <c r="B76" s="15">
        <v>170.49799999999999</v>
      </c>
      <c r="C76" s="15">
        <v>341.55500000000001</v>
      </c>
      <c r="D76" s="15">
        <v>379.34399999999999</v>
      </c>
      <c r="E76" s="15">
        <v>405.73099999999999</v>
      </c>
      <c r="F76" s="15">
        <v>424.99900000000002</v>
      </c>
      <c r="G76" s="15">
        <v>437.46100000000001</v>
      </c>
    </row>
    <row r="77" spans="1:7">
      <c r="A77" s="5"/>
      <c r="B77" s="5"/>
      <c r="C77" s="5"/>
      <c r="D77" s="5"/>
      <c r="E77" s="5"/>
      <c r="F77" s="5"/>
      <c r="G77" s="5"/>
    </row>
    <row r="78" spans="1:7">
      <c r="A78" s="5" t="s">
        <v>319</v>
      </c>
      <c r="B78" s="19">
        <v>-1.24</v>
      </c>
      <c r="C78" s="19">
        <v>-0.5</v>
      </c>
      <c r="D78" s="19">
        <v>-0.17</v>
      </c>
      <c r="E78" s="19">
        <v>-0.09</v>
      </c>
      <c r="F78" s="19">
        <v>0.81</v>
      </c>
      <c r="G78" s="19">
        <v>0.66</v>
      </c>
    </row>
    <row r="79" spans="1:7">
      <c r="A79" s="5" t="s">
        <v>320</v>
      </c>
      <c r="B79" s="20">
        <v>-1.24</v>
      </c>
      <c r="C79" s="20">
        <v>-0.5</v>
      </c>
      <c r="D79" s="20">
        <v>-0.17</v>
      </c>
      <c r="E79" s="20">
        <v>-0.09</v>
      </c>
      <c r="F79" s="20">
        <v>0.81</v>
      </c>
      <c r="G79" s="20">
        <v>0.65883400000000003</v>
      </c>
    </row>
    <row r="80" spans="1:7">
      <c r="A80" s="5" t="s">
        <v>321</v>
      </c>
      <c r="B80" s="15">
        <v>170.49799999999999</v>
      </c>
      <c r="C80" s="15">
        <v>341.55500000000001</v>
      </c>
      <c r="D80" s="15">
        <v>379.34399999999999</v>
      </c>
      <c r="E80" s="15">
        <v>405.73099999999999</v>
      </c>
      <c r="F80" s="15">
        <v>466.07600000000002</v>
      </c>
      <c r="G80" s="15">
        <v>478.53800000000001</v>
      </c>
    </row>
    <row r="81" spans="1:7">
      <c r="A81" s="5"/>
      <c r="B81" s="5"/>
      <c r="C81" s="5"/>
      <c r="D81" s="5"/>
      <c r="E81" s="5"/>
      <c r="F81" s="5"/>
      <c r="G81" s="5"/>
    </row>
    <row r="82" spans="1:7">
      <c r="A82" s="5" t="s">
        <v>322</v>
      </c>
      <c r="B82" s="19">
        <v>-0.63</v>
      </c>
      <c r="C82" s="19">
        <v>-0.22</v>
      </c>
      <c r="D82" s="19">
        <v>-0.1</v>
      </c>
      <c r="E82" s="19">
        <v>-0.09</v>
      </c>
      <c r="F82" s="19">
        <v>0.01</v>
      </c>
      <c r="G82" s="19">
        <v>-0.14000000000000001</v>
      </c>
    </row>
    <row r="83" spans="1:7">
      <c r="A83" s="5" t="s">
        <v>323</v>
      </c>
      <c r="B83" s="20">
        <v>-0.63</v>
      </c>
      <c r="C83" s="20">
        <v>-0.22</v>
      </c>
      <c r="D83" s="20">
        <v>-0.1</v>
      </c>
      <c r="E83" s="20">
        <v>-0.09</v>
      </c>
      <c r="F83" s="20">
        <v>9.9150000000000002E-3</v>
      </c>
      <c r="G83" s="20">
        <v>-0.13</v>
      </c>
    </row>
    <row r="84" spans="1:7">
      <c r="A84" s="5"/>
      <c r="B84" s="5"/>
      <c r="C84" s="5"/>
      <c r="D84" s="5"/>
      <c r="E84" s="5"/>
      <c r="F84" s="5"/>
      <c r="G84" s="5"/>
    </row>
    <row r="85" spans="1:7" ht="12">
      <c r="A85" s="5" t="s">
        <v>324</v>
      </c>
      <c r="B85" s="20" t="s">
        <v>242</v>
      </c>
      <c r="C85" s="20" t="s">
        <v>242</v>
      </c>
      <c r="D85" s="20" t="s">
        <v>242</v>
      </c>
      <c r="E85" s="20" t="s">
        <v>242</v>
      </c>
      <c r="F85" s="20" t="s">
        <v>242</v>
      </c>
      <c r="G85" s="20" t="s">
        <v>242</v>
      </c>
    </row>
    <row r="86" spans="1:7">
      <c r="A86" s="5"/>
      <c r="B86" s="5"/>
      <c r="C86" s="5"/>
      <c r="D86" s="5"/>
      <c r="E86" s="5"/>
      <c r="F86" s="5"/>
      <c r="G86" s="5"/>
    </row>
    <row r="87" spans="1:7">
      <c r="A87" s="14" t="s">
        <v>325</v>
      </c>
      <c r="B87" s="5"/>
      <c r="C87" s="5"/>
      <c r="D87" s="5"/>
      <c r="E87" s="5"/>
      <c r="F87" s="5"/>
      <c r="G87" s="5"/>
    </row>
    <row r="88" spans="1:7">
      <c r="A88" s="5" t="s">
        <v>48</v>
      </c>
      <c r="B88" s="15">
        <v>-145.6</v>
      </c>
      <c r="C88" s="15">
        <v>-91.8</v>
      </c>
      <c r="D88" s="15">
        <v>-23.5</v>
      </c>
      <c r="E88" s="15">
        <v>13.747</v>
      </c>
      <c r="F88" s="15">
        <v>83.254999999999995</v>
      </c>
      <c r="G88" s="15">
        <v>14.91</v>
      </c>
    </row>
    <row r="89" spans="1:7">
      <c r="A89" s="5" t="s">
        <v>326</v>
      </c>
      <c r="B89" s="15">
        <v>-162.6</v>
      </c>
      <c r="C89" s="15">
        <v>-113.4</v>
      </c>
      <c r="D89" s="15">
        <v>-46.6</v>
      </c>
      <c r="E89" s="15">
        <v>-23.5</v>
      </c>
      <c r="F89" s="15">
        <v>41.557000000000002</v>
      </c>
      <c r="G89" s="15">
        <v>-29.4</v>
      </c>
    </row>
    <row r="90" spans="1:7">
      <c r="A90" s="5" t="s">
        <v>50</v>
      </c>
      <c r="B90" s="15">
        <v>-170.1</v>
      </c>
      <c r="C90" s="15">
        <v>-122.5</v>
      </c>
      <c r="D90" s="15">
        <v>-54.2</v>
      </c>
      <c r="E90" s="15">
        <v>-36.6</v>
      </c>
      <c r="F90" s="15">
        <v>26.556999999999999</v>
      </c>
      <c r="G90" s="15">
        <v>-46.7</v>
      </c>
    </row>
    <row r="91" spans="1:7" ht="12">
      <c r="A91" s="5" t="s">
        <v>327</v>
      </c>
      <c r="B91" s="15">
        <v>-132.80000000000001</v>
      </c>
      <c r="C91" s="15">
        <v>-80.5</v>
      </c>
      <c r="D91" s="15">
        <v>-10.6</v>
      </c>
      <c r="E91" s="15">
        <v>37.046999999999997</v>
      </c>
      <c r="F91" s="15">
        <v>117.545</v>
      </c>
      <c r="G91" s="15" t="s">
        <v>242</v>
      </c>
    </row>
    <row r="92" spans="1:7">
      <c r="A92" s="5" t="s">
        <v>328</v>
      </c>
      <c r="B92" s="15">
        <v>1267.1179999999999</v>
      </c>
      <c r="C92" s="15">
        <v>1708.721</v>
      </c>
      <c r="D92" s="15">
        <v>2214.2530000000002</v>
      </c>
      <c r="E92" s="15">
        <v>3298.1770000000001</v>
      </c>
      <c r="F92" s="15">
        <v>4713.5</v>
      </c>
      <c r="G92" s="15">
        <v>7652.0370000000003</v>
      </c>
    </row>
    <row r="93" spans="1:7" ht="12">
      <c r="A93" s="5" t="s">
        <v>329</v>
      </c>
      <c r="B93" s="21" t="s">
        <v>219</v>
      </c>
      <c r="C93" s="21" t="s">
        <v>219</v>
      </c>
      <c r="D93" s="21" t="s">
        <v>219</v>
      </c>
      <c r="E93" s="21" t="s">
        <v>219</v>
      </c>
      <c r="F93" s="21">
        <v>7.3150000000000003E-3</v>
      </c>
      <c r="G93" s="21" t="s">
        <v>219</v>
      </c>
    </row>
    <row r="94" spans="1:7">
      <c r="A94" s="5" t="s">
        <v>330</v>
      </c>
      <c r="B94" s="15">
        <v>2.4980000000000002</v>
      </c>
      <c r="C94" s="15">
        <v>0.59</v>
      </c>
      <c r="D94" s="15">
        <v>-0.5</v>
      </c>
      <c r="E94" s="15">
        <v>0.748</v>
      </c>
      <c r="F94" s="15">
        <v>1.044</v>
      </c>
      <c r="G94" s="15">
        <v>1.044</v>
      </c>
    </row>
    <row r="95" spans="1:7">
      <c r="A95" s="5" t="s">
        <v>331</v>
      </c>
      <c r="B95" s="15">
        <v>1.222</v>
      </c>
      <c r="C95" s="15">
        <v>1.2689999999999999</v>
      </c>
      <c r="D95" s="15">
        <v>1.9870000000000001</v>
      </c>
      <c r="E95" s="15">
        <v>2.2240000000000002</v>
      </c>
      <c r="F95" s="15">
        <v>3.0990000000000002</v>
      </c>
      <c r="G95" s="15">
        <v>3.0990000000000002</v>
      </c>
    </row>
    <row r="96" spans="1:7">
      <c r="A96" s="5" t="s">
        <v>332</v>
      </c>
      <c r="B96" s="15">
        <v>3.72</v>
      </c>
      <c r="C96" s="15">
        <v>1.859</v>
      </c>
      <c r="D96" s="15">
        <v>1.534</v>
      </c>
      <c r="E96" s="15">
        <v>2.972</v>
      </c>
      <c r="F96" s="15">
        <v>4.1429999999999998</v>
      </c>
      <c r="G96" s="15">
        <v>4.1429999999999998</v>
      </c>
    </row>
    <row r="97" spans="1:7">
      <c r="A97" s="5" t="s">
        <v>333</v>
      </c>
      <c r="B97" s="15">
        <v>7.8E-2</v>
      </c>
      <c r="C97" s="15">
        <v>0.191</v>
      </c>
      <c r="D97" s="15">
        <v>-1.1000000000000001</v>
      </c>
      <c r="E97" s="15">
        <v>-0.4</v>
      </c>
      <c r="F97" s="15">
        <v>-1.2</v>
      </c>
      <c r="G97" s="15">
        <v>-1.2</v>
      </c>
    </row>
    <row r="98" spans="1:7">
      <c r="A98" s="5" t="s">
        <v>334</v>
      </c>
      <c r="B98" s="15">
        <v>-0.1</v>
      </c>
      <c r="C98" s="15">
        <v>-0.1</v>
      </c>
      <c r="D98" s="15">
        <v>-0.3</v>
      </c>
      <c r="E98" s="15">
        <v>-0.3</v>
      </c>
      <c r="F98" s="15">
        <v>-0.2</v>
      </c>
      <c r="G98" s="15">
        <v>-0.2</v>
      </c>
    </row>
    <row r="99" spans="1:7">
      <c r="A99" s="5" t="s">
        <v>335</v>
      </c>
      <c r="B99" s="15">
        <v>2.5999999999999999E-2</v>
      </c>
      <c r="C99" s="15">
        <v>5.8000000000000003E-2</v>
      </c>
      <c r="D99" s="15">
        <v>-1.4</v>
      </c>
      <c r="E99" s="15">
        <v>-0.6</v>
      </c>
      <c r="F99" s="15">
        <v>-1.4</v>
      </c>
      <c r="G99" s="15">
        <v>-1.4</v>
      </c>
    </row>
    <row r="100" spans="1:7">
      <c r="A100" s="5"/>
      <c r="B100" s="5"/>
      <c r="C100" s="5"/>
      <c r="D100" s="5"/>
      <c r="E100" s="5"/>
      <c r="F100" s="5"/>
      <c r="G100" s="5"/>
    </row>
    <row r="101" spans="1:7">
      <c r="A101" s="5" t="s">
        <v>336</v>
      </c>
      <c r="B101" s="15">
        <v>-107.3</v>
      </c>
      <c r="C101" s="15">
        <v>-76</v>
      </c>
      <c r="D101" s="15">
        <v>-39.200000000000003</v>
      </c>
      <c r="E101" s="15">
        <v>-34.9</v>
      </c>
      <c r="F101" s="15">
        <v>4.6212499999999999</v>
      </c>
      <c r="G101" s="15">
        <v>-62</v>
      </c>
    </row>
    <row r="102" spans="1:7" ht="12">
      <c r="A102" s="5" t="s">
        <v>337</v>
      </c>
      <c r="B102" s="15" t="s">
        <v>242</v>
      </c>
      <c r="C102" s="15" t="s">
        <v>242</v>
      </c>
      <c r="D102" s="15">
        <v>15.574</v>
      </c>
      <c r="E102" s="15">
        <v>36.878</v>
      </c>
      <c r="F102" s="15">
        <v>44.247</v>
      </c>
      <c r="G102" s="15" t="s">
        <v>242</v>
      </c>
    </row>
    <row r="103" spans="1:7">
      <c r="A103" s="5" t="s">
        <v>338</v>
      </c>
      <c r="B103" s="22">
        <v>43158</v>
      </c>
      <c r="C103" s="22">
        <v>43523</v>
      </c>
      <c r="D103" s="22">
        <v>43887</v>
      </c>
      <c r="E103" s="22">
        <v>43887</v>
      </c>
      <c r="F103" s="22">
        <v>43887</v>
      </c>
      <c r="G103" s="22">
        <v>44140</v>
      </c>
    </row>
    <row r="104" spans="1:7" ht="12">
      <c r="A104" s="5" t="s">
        <v>339</v>
      </c>
      <c r="B104" s="23" t="s">
        <v>340</v>
      </c>
      <c r="C104" s="23" t="s">
        <v>341</v>
      </c>
      <c r="D104" s="23" t="s">
        <v>341</v>
      </c>
      <c r="E104" s="23" t="s">
        <v>340</v>
      </c>
      <c r="F104" s="23" t="s">
        <v>342</v>
      </c>
      <c r="G104" s="23" t="s">
        <v>342</v>
      </c>
    </row>
    <row r="105" spans="1:7" ht="12">
      <c r="A105" s="5" t="s">
        <v>343</v>
      </c>
      <c r="B105" s="23" t="s">
        <v>344</v>
      </c>
      <c r="C105" s="23" t="s">
        <v>344</v>
      </c>
      <c r="D105" s="23" t="s">
        <v>344</v>
      </c>
      <c r="E105" s="23" t="s">
        <v>344</v>
      </c>
      <c r="F105" s="23" t="s">
        <v>344</v>
      </c>
      <c r="G105" s="23" t="s">
        <v>345</v>
      </c>
    </row>
    <row r="106" spans="1:7">
      <c r="A106" s="5"/>
      <c r="B106" s="5"/>
      <c r="C106" s="5"/>
      <c r="D106" s="5"/>
      <c r="E106" s="5"/>
      <c r="F106" s="5"/>
      <c r="G106" s="5"/>
    </row>
    <row r="107" spans="1:7">
      <c r="A107" s="14" t="s">
        <v>346</v>
      </c>
      <c r="B107" s="5"/>
      <c r="C107" s="5"/>
      <c r="D107" s="5"/>
      <c r="E107" s="5"/>
      <c r="F107" s="5"/>
      <c r="G107" s="5"/>
    </row>
    <row r="108" spans="1:7" ht="12">
      <c r="A108" s="5" t="s">
        <v>347</v>
      </c>
      <c r="B108" s="15">
        <v>58.3</v>
      </c>
      <c r="C108" s="15">
        <v>58.3</v>
      </c>
      <c r="D108" s="15">
        <v>81.900000000000006</v>
      </c>
      <c r="E108" s="15">
        <v>101.9</v>
      </c>
      <c r="F108" s="15">
        <v>142.69999999999999</v>
      </c>
      <c r="G108" s="15" t="s">
        <v>242</v>
      </c>
    </row>
    <row r="109" spans="1:7">
      <c r="A109" s="5" t="s">
        <v>348</v>
      </c>
      <c r="B109" s="15">
        <v>145.61799999999999</v>
      </c>
      <c r="C109" s="15">
        <v>173.876</v>
      </c>
      <c r="D109" s="15">
        <v>253.17</v>
      </c>
      <c r="E109" s="15">
        <v>411.15100000000001</v>
      </c>
      <c r="F109" s="15">
        <v>624.83199999999999</v>
      </c>
      <c r="G109" s="15">
        <v>966.32500000000005</v>
      </c>
    </row>
    <row r="110" spans="1:7">
      <c r="A110" s="5" t="s">
        <v>349</v>
      </c>
      <c r="B110" s="15">
        <v>143.46600000000001</v>
      </c>
      <c r="C110" s="15">
        <v>203.99299999999999</v>
      </c>
      <c r="D110" s="15">
        <v>250.553</v>
      </c>
      <c r="E110" s="15">
        <v>339.245</v>
      </c>
      <c r="F110" s="15">
        <v>436.25</v>
      </c>
      <c r="G110" s="15">
        <v>537.947</v>
      </c>
    </row>
    <row r="111" spans="1:7">
      <c r="A111" s="5" t="s">
        <v>350</v>
      </c>
      <c r="B111" s="15">
        <v>205.27699999999999</v>
      </c>
      <c r="C111" s="15">
        <v>276.565</v>
      </c>
      <c r="D111" s="15">
        <v>328.43200000000002</v>
      </c>
      <c r="E111" s="15">
        <v>504.56900000000002</v>
      </c>
      <c r="F111" s="15">
        <v>677.55600000000004</v>
      </c>
      <c r="G111" s="15">
        <v>811.25199999999995</v>
      </c>
    </row>
    <row r="112" spans="1:7" ht="12">
      <c r="A112" s="5" t="s">
        <v>351</v>
      </c>
      <c r="B112" s="15">
        <v>12.8</v>
      </c>
      <c r="C112" s="15">
        <v>11.3</v>
      </c>
      <c r="D112" s="15">
        <v>12.9</v>
      </c>
      <c r="E112" s="15">
        <v>23.3</v>
      </c>
      <c r="F112" s="15">
        <v>34.29</v>
      </c>
      <c r="G112" s="15" t="s">
        <v>242</v>
      </c>
    </row>
    <row r="113" spans="1:7" ht="12">
      <c r="A113" s="5" t="s">
        <v>352</v>
      </c>
      <c r="B113" s="15" t="s">
        <v>39</v>
      </c>
      <c r="C113" s="15" t="s">
        <v>39</v>
      </c>
      <c r="D113" s="15" t="s">
        <v>39</v>
      </c>
      <c r="E113" s="15">
        <v>10.926209</v>
      </c>
      <c r="F113" s="15">
        <v>12.278288999999999</v>
      </c>
      <c r="G113" s="15" t="s">
        <v>39</v>
      </c>
    </row>
    <row r="114" spans="1:7" ht="12">
      <c r="A114" s="5" t="s">
        <v>353</v>
      </c>
      <c r="B114" s="15" t="s">
        <v>39</v>
      </c>
      <c r="C114" s="15" t="s">
        <v>39</v>
      </c>
      <c r="D114" s="15" t="s">
        <v>39</v>
      </c>
      <c r="E114" s="15">
        <v>12.373791000000001</v>
      </c>
      <c r="F114" s="15">
        <v>22.011710999999998</v>
      </c>
      <c r="G114" s="15" t="s">
        <v>39</v>
      </c>
    </row>
    <row r="115" spans="1:7">
      <c r="A115" s="5"/>
      <c r="B115" s="5"/>
      <c r="C115" s="5"/>
      <c r="D115" s="5"/>
      <c r="E115" s="5"/>
      <c r="F115" s="5"/>
      <c r="G115" s="5"/>
    </row>
    <row r="116" spans="1:7" ht="12">
      <c r="A116" s="5" t="s">
        <v>354</v>
      </c>
      <c r="B116" s="15" t="s">
        <v>39</v>
      </c>
      <c r="C116" s="15" t="s">
        <v>39</v>
      </c>
      <c r="D116" s="15">
        <v>7.6999999999999999E-2</v>
      </c>
      <c r="E116" s="15">
        <v>9.7000000000000003E-2</v>
      </c>
      <c r="F116" s="15">
        <v>0.155</v>
      </c>
      <c r="G116" s="15">
        <v>0.33800000000000002</v>
      </c>
    </row>
    <row r="117" spans="1:7">
      <c r="A117" s="5" t="s">
        <v>355</v>
      </c>
      <c r="B117" s="15">
        <v>54.738</v>
      </c>
      <c r="C117" s="15">
        <v>91.403999999999996</v>
      </c>
      <c r="D117" s="15">
        <v>98.31</v>
      </c>
      <c r="E117" s="15">
        <v>144.601</v>
      </c>
      <c r="F117" s="15">
        <v>210.84</v>
      </c>
      <c r="G117" s="15">
        <v>261.37299999999999</v>
      </c>
    </row>
    <row r="118" spans="1:7">
      <c r="A118" s="5" t="s">
        <v>356</v>
      </c>
      <c r="B118" s="15">
        <v>7.36</v>
      </c>
      <c r="C118" s="15">
        <v>14.122</v>
      </c>
      <c r="D118" s="15">
        <v>17.568000000000001</v>
      </c>
      <c r="E118" s="15">
        <v>22.797000000000001</v>
      </c>
      <c r="F118" s="15">
        <v>26.72</v>
      </c>
      <c r="G118" s="15">
        <v>33.770000000000003</v>
      </c>
    </row>
    <row r="119" spans="1:7">
      <c r="A119" s="5" t="s">
        <v>357</v>
      </c>
      <c r="B119" s="15">
        <v>20.193999999999999</v>
      </c>
      <c r="C119" s="15">
        <v>33.26</v>
      </c>
      <c r="D119" s="15">
        <v>39.881</v>
      </c>
      <c r="E119" s="15">
        <v>49.386000000000003</v>
      </c>
      <c r="F119" s="15">
        <v>60.148000000000003</v>
      </c>
      <c r="G119" s="15">
        <v>68.274000000000001</v>
      </c>
    </row>
    <row r="120" spans="1:7" ht="12">
      <c r="A120" s="5" t="s">
        <v>358</v>
      </c>
      <c r="B120" s="15" t="s">
        <v>39</v>
      </c>
      <c r="C120" s="15" t="s">
        <v>39</v>
      </c>
      <c r="D120" s="15" t="s">
        <v>39</v>
      </c>
      <c r="E120" s="15">
        <v>0.89900000000000002</v>
      </c>
      <c r="F120" s="15" t="s">
        <v>39</v>
      </c>
      <c r="G120" s="15">
        <v>0.25700000000000001</v>
      </c>
    </row>
    <row r="121" spans="1:7">
      <c r="A121" s="14" t="s">
        <v>359</v>
      </c>
      <c r="B121" s="17">
        <v>82.292000000000002</v>
      </c>
      <c r="C121" s="17">
        <v>138.786</v>
      </c>
      <c r="D121" s="17">
        <v>155.83600000000001</v>
      </c>
      <c r="E121" s="17">
        <v>217.78</v>
      </c>
      <c r="F121" s="17">
        <v>297.863</v>
      </c>
      <c r="G121" s="17">
        <v>364.012</v>
      </c>
    </row>
    <row r="122" spans="1:7">
      <c r="A122" s="5"/>
      <c r="B122" s="5"/>
      <c r="C122" s="5"/>
      <c r="D122" s="5"/>
      <c r="E122" s="5"/>
      <c r="F122" s="5"/>
      <c r="G122" s="5"/>
    </row>
    <row r="123" spans="1:7">
      <c r="A123" s="24" t="s">
        <v>360</v>
      </c>
      <c r="B123" s="25"/>
      <c r="C123" s="25"/>
      <c r="D123" s="25"/>
      <c r="E123" s="25"/>
      <c r="F123" s="25"/>
      <c r="G123" s="25"/>
    </row>
    <row r="124" spans="1:7">
      <c r="A124" s="32" t="s">
        <v>361</v>
      </c>
      <c r="B124" s="32"/>
      <c r="C124" s="32"/>
      <c r="D124" s="32"/>
      <c r="E124" s="32"/>
      <c r="F124" s="32"/>
      <c r="G124" s="32"/>
    </row>
    <row r="125" spans="1:7">
      <c r="A125" s="26" t="s">
        <v>362</v>
      </c>
      <c r="B125" s="32"/>
      <c r="C125" s="32"/>
      <c r="D125" s="32"/>
      <c r="E125" s="32"/>
      <c r="F125" s="32"/>
      <c r="G125" s="32"/>
    </row>
  </sheetData>
  <phoneticPr fontId="35" type="noConversion"/>
  <pageMargins left="0.2" right="0.2" top="0.5" bottom="0.5" header="0.5" footer="0.5"/>
  <pageSetup scale="72" fitToWidth="0" fitToHeight="0" orientation="landscape" horizontalDpi="0" verticalDpi="0"/>
  <headerFooter alignWithMargins="0"/>
  <rowBreaks count="1" manualBreakCount="1">
    <brk id="67" max="7" man="1"/>
  </rowBreaks>
  <colBreaks count="1" manualBreakCount="1">
    <brk id="8" max="1048575" man="1"/>
  </colBreaks>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E1E61-E8AC-AA49-B2B9-075C971992D8}">
  <sheetPr>
    <tabColor rgb="FF6985AA"/>
    <outlinePr summaryBelow="0" summaryRight="0"/>
    <pageSetUpPr autoPageBreaks="0"/>
  </sheetPr>
  <dimension ref="A5:IU92"/>
  <sheetViews>
    <sheetView view="pageBreakPreview" zoomScale="60" zoomScaleNormal="100" workbookViewId="0">
      <selection activeCell="A78" sqref="A78"/>
    </sheetView>
  </sheetViews>
  <sheetFormatPr baseColWidth="10" defaultColWidth="11.5" defaultRowHeight="11"/>
  <cols>
    <col min="1" max="1" width="45.83203125" style="2" customWidth="1"/>
    <col min="2" max="7" width="14.83203125" style="2" customWidth="1"/>
    <col min="8" max="256" width="8.83203125" style="2" customWidth="1"/>
    <col min="257" max="257" width="45.83203125" style="2" customWidth="1"/>
    <col min="258" max="263" width="14.83203125" style="2" customWidth="1"/>
    <col min="264" max="512" width="8.83203125" style="2" customWidth="1"/>
    <col min="513" max="513" width="45.83203125" style="2" customWidth="1"/>
    <col min="514" max="519" width="14.83203125" style="2" customWidth="1"/>
    <col min="520" max="768" width="8.83203125" style="2" customWidth="1"/>
    <col min="769" max="769" width="45.83203125" style="2" customWidth="1"/>
    <col min="770" max="775" width="14.83203125" style="2" customWidth="1"/>
    <col min="776" max="1024" width="8.83203125" style="2" customWidth="1"/>
    <col min="1025" max="1025" width="45.83203125" style="2" customWidth="1"/>
    <col min="1026" max="1031" width="14.83203125" style="2" customWidth="1"/>
    <col min="1032" max="1280" width="8.83203125" style="2" customWidth="1"/>
    <col min="1281" max="1281" width="45.83203125" style="2" customWidth="1"/>
    <col min="1282" max="1287" width="14.83203125" style="2" customWidth="1"/>
    <col min="1288" max="1536" width="8.83203125" style="2" customWidth="1"/>
    <col min="1537" max="1537" width="45.83203125" style="2" customWidth="1"/>
    <col min="1538" max="1543" width="14.83203125" style="2" customWidth="1"/>
    <col min="1544" max="1792" width="8.83203125" style="2" customWidth="1"/>
    <col min="1793" max="1793" width="45.83203125" style="2" customWidth="1"/>
    <col min="1794" max="1799" width="14.83203125" style="2" customWidth="1"/>
    <col min="1800" max="2048" width="8.83203125" style="2" customWidth="1"/>
    <col min="2049" max="2049" width="45.83203125" style="2" customWidth="1"/>
    <col min="2050" max="2055" width="14.83203125" style="2" customWidth="1"/>
    <col min="2056" max="2304" width="8.83203125" style="2" customWidth="1"/>
    <col min="2305" max="2305" width="45.83203125" style="2" customWidth="1"/>
    <col min="2306" max="2311" width="14.83203125" style="2" customWidth="1"/>
    <col min="2312" max="2560" width="8.83203125" style="2" customWidth="1"/>
    <col min="2561" max="2561" width="45.83203125" style="2" customWidth="1"/>
    <col min="2562" max="2567" width="14.83203125" style="2" customWidth="1"/>
    <col min="2568" max="2816" width="8.83203125" style="2" customWidth="1"/>
    <col min="2817" max="2817" width="45.83203125" style="2" customWidth="1"/>
    <col min="2818" max="2823" width="14.83203125" style="2" customWidth="1"/>
    <col min="2824" max="3072" width="8.83203125" style="2" customWidth="1"/>
    <col min="3073" max="3073" width="45.83203125" style="2" customWidth="1"/>
    <col min="3074" max="3079" width="14.83203125" style="2" customWidth="1"/>
    <col min="3080" max="3328" width="8.83203125" style="2" customWidth="1"/>
    <col min="3329" max="3329" width="45.83203125" style="2" customWidth="1"/>
    <col min="3330" max="3335" width="14.83203125" style="2" customWidth="1"/>
    <col min="3336" max="3584" width="8.83203125" style="2" customWidth="1"/>
    <col min="3585" max="3585" width="45.83203125" style="2" customWidth="1"/>
    <col min="3586" max="3591" width="14.83203125" style="2" customWidth="1"/>
    <col min="3592" max="3840" width="8.83203125" style="2" customWidth="1"/>
    <col min="3841" max="3841" width="45.83203125" style="2" customWidth="1"/>
    <col min="3842" max="3847" width="14.83203125" style="2" customWidth="1"/>
    <col min="3848" max="4096" width="8.83203125" style="2" customWidth="1"/>
    <col min="4097" max="4097" width="45.83203125" style="2" customWidth="1"/>
    <col min="4098" max="4103" width="14.83203125" style="2" customWidth="1"/>
    <col min="4104" max="4352" width="8.83203125" style="2" customWidth="1"/>
    <col min="4353" max="4353" width="45.83203125" style="2" customWidth="1"/>
    <col min="4354" max="4359" width="14.83203125" style="2" customWidth="1"/>
    <col min="4360" max="4608" width="8.83203125" style="2" customWidth="1"/>
    <col min="4609" max="4609" width="45.83203125" style="2" customWidth="1"/>
    <col min="4610" max="4615" width="14.83203125" style="2" customWidth="1"/>
    <col min="4616" max="4864" width="8.83203125" style="2" customWidth="1"/>
    <col min="4865" max="4865" width="45.83203125" style="2" customWidth="1"/>
    <col min="4866" max="4871" width="14.83203125" style="2" customWidth="1"/>
    <col min="4872" max="5120" width="8.83203125" style="2" customWidth="1"/>
    <col min="5121" max="5121" width="45.83203125" style="2" customWidth="1"/>
    <col min="5122" max="5127" width="14.83203125" style="2" customWidth="1"/>
    <col min="5128" max="5376" width="8.83203125" style="2" customWidth="1"/>
    <col min="5377" max="5377" width="45.83203125" style="2" customWidth="1"/>
    <col min="5378" max="5383" width="14.83203125" style="2" customWidth="1"/>
    <col min="5384" max="5632" width="8.83203125" style="2" customWidth="1"/>
    <col min="5633" max="5633" width="45.83203125" style="2" customWidth="1"/>
    <col min="5634" max="5639" width="14.83203125" style="2" customWidth="1"/>
    <col min="5640" max="5888" width="8.83203125" style="2" customWidth="1"/>
    <col min="5889" max="5889" width="45.83203125" style="2" customWidth="1"/>
    <col min="5890" max="5895" width="14.83203125" style="2" customWidth="1"/>
    <col min="5896" max="6144" width="8.83203125" style="2" customWidth="1"/>
    <col min="6145" max="6145" width="45.83203125" style="2" customWidth="1"/>
    <col min="6146" max="6151" width="14.83203125" style="2" customWidth="1"/>
    <col min="6152" max="6400" width="8.83203125" style="2" customWidth="1"/>
    <col min="6401" max="6401" width="45.83203125" style="2" customWidth="1"/>
    <col min="6402" max="6407" width="14.83203125" style="2" customWidth="1"/>
    <col min="6408" max="6656" width="8.83203125" style="2" customWidth="1"/>
    <col min="6657" max="6657" width="45.83203125" style="2" customWidth="1"/>
    <col min="6658" max="6663" width="14.83203125" style="2" customWidth="1"/>
    <col min="6664" max="6912" width="8.83203125" style="2" customWidth="1"/>
    <col min="6913" max="6913" width="45.83203125" style="2" customWidth="1"/>
    <col min="6914" max="6919" width="14.83203125" style="2" customWidth="1"/>
    <col min="6920" max="7168" width="8.83203125" style="2" customWidth="1"/>
    <col min="7169" max="7169" width="45.83203125" style="2" customWidth="1"/>
    <col min="7170" max="7175" width="14.83203125" style="2" customWidth="1"/>
    <col min="7176" max="7424" width="8.83203125" style="2" customWidth="1"/>
    <col min="7425" max="7425" width="45.83203125" style="2" customWidth="1"/>
    <col min="7426" max="7431" width="14.83203125" style="2" customWidth="1"/>
    <col min="7432" max="7680" width="8.83203125" style="2" customWidth="1"/>
    <col min="7681" max="7681" width="45.83203125" style="2" customWidth="1"/>
    <col min="7682" max="7687" width="14.83203125" style="2" customWidth="1"/>
    <col min="7688" max="7936" width="8.83203125" style="2" customWidth="1"/>
    <col min="7937" max="7937" width="45.83203125" style="2" customWidth="1"/>
    <col min="7938" max="7943" width="14.83203125" style="2" customWidth="1"/>
    <col min="7944" max="8192" width="8.83203125" style="2" customWidth="1"/>
    <col min="8193" max="8193" width="45.83203125" style="2" customWidth="1"/>
    <col min="8194" max="8199" width="14.83203125" style="2" customWidth="1"/>
    <col min="8200" max="8448" width="8.83203125" style="2" customWidth="1"/>
    <col min="8449" max="8449" width="45.83203125" style="2" customWidth="1"/>
    <col min="8450" max="8455" width="14.83203125" style="2" customWidth="1"/>
    <col min="8456" max="8704" width="8.83203125" style="2" customWidth="1"/>
    <col min="8705" max="8705" width="45.83203125" style="2" customWidth="1"/>
    <col min="8706" max="8711" width="14.83203125" style="2" customWidth="1"/>
    <col min="8712" max="8960" width="8.83203125" style="2" customWidth="1"/>
    <col min="8961" max="8961" width="45.83203125" style="2" customWidth="1"/>
    <col min="8962" max="8967" width="14.83203125" style="2" customWidth="1"/>
    <col min="8968" max="9216" width="8.83203125" style="2" customWidth="1"/>
    <col min="9217" max="9217" width="45.83203125" style="2" customWidth="1"/>
    <col min="9218" max="9223" width="14.83203125" style="2" customWidth="1"/>
    <col min="9224" max="9472" width="8.83203125" style="2" customWidth="1"/>
    <col min="9473" max="9473" width="45.83203125" style="2" customWidth="1"/>
    <col min="9474" max="9479" width="14.83203125" style="2" customWidth="1"/>
    <col min="9480" max="9728" width="8.83203125" style="2" customWidth="1"/>
    <col min="9729" max="9729" width="45.83203125" style="2" customWidth="1"/>
    <col min="9730" max="9735" width="14.83203125" style="2" customWidth="1"/>
    <col min="9736" max="9984" width="8.83203125" style="2" customWidth="1"/>
    <col min="9985" max="9985" width="45.83203125" style="2" customWidth="1"/>
    <col min="9986" max="9991" width="14.83203125" style="2" customWidth="1"/>
    <col min="9992" max="10240" width="8.83203125" style="2" customWidth="1"/>
    <col min="10241" max="10241" width="45.83203125" style="2" customWidth="1"/>
    <col min="10242" max="10247" width="14.83203125" style="2" customWidth="1"/>
    <col min="10248" max="10496" width="8.83203125" style="2" customWidth="1"/>
    <col min="10497" max="10497" width="45.83203125" style="2" customWidth="1"/>
    <col min="10498" max="10503" width="14.83203125" style="2" customWidth="1"/>
    <col min="10504" max="10752" width="8.83203125" style="2" customWidth="1"/>
    <col min="10753" max="10753" width="45.83203125" style="2" customWidth="1"/>
    <col min="10754" max="10759" width="14.83203125" style="2" customWidth="1"/>
    <col min="10760" max="11008" width="8.83203125" style="2" customWidth="1"/>
    <col min="11009" max="11009" width="45.83203125" style="2" customWidth="1"/>
    <col min="11010" max="11015" width="14.83203125" style="2" customWidth="1"/>
    <col min="11016" max="11264" width="8.83203125" style="2" customWidth="1"/>
    <col min="11265" max="11265" width="45.83203125" style="2" customWidth="1"/>
    <col min="11266" max="11271" width="14.83203125" style="2" customWidth="1"/>
    <col min="11272" max="11520" width="8.83203125" style="2" customWidth="1"/>
    <col min="11521" max="11521" width="45.83203125" style="2" customWidth="1"/>
    <col min="11522" max="11527" width="14.83203125" style="2" customWidth="1"/>
    <col min="11528" max="11776" width="8.83203125" style="2" customWidth="1"/>
    <col min="11777" max="11777" width="45.83203125" style="2" customWidth="1"/>
    <col min="11778" max="11783" width="14.83203125" style="2" customWidth="1"/>
    <col min="11784" max="12032" width="8.83203125" style="2" customWidth="1"/>
    <col min="12033" max="12033" width="45.83203125" style="2" customWidth="1"/>
    <col min="12034" max="12039" width="14.83203125" style="2" customWidth="1"/>
    <col min="12040" max="12288" width="8.83203125" style="2" customWidth="1"/>
    <col min="12289" max="12289" width="45.83203125" style="2" customWidth="1"/>
    <col min="12290" max="12295" width="14.83203125" style="2" customWidth="1"/>
    <col min="12296" max="12544" width="8.83203125" style="2" customWidth="1"/>
    <col min="12545" max="12545" width="45.83203125" style="2" customWidth="1"/>
    <col min="12546" max="12551" width="14.83203125" style="2" customWidth="1"/>
    <col min="12552" max="12800" width="8.83203125" style="2" customWidth="1"/>
    <col min="12801" max="12801" width="45.83203125" style="2" customWidth="1"/>
    <col min="12802" max="12807" width="14.83203125" style="2" customWidth="1"/>
    <col min="12808" max="13056" width="8.83203125" style="2" customWidth="1"/>
    <col min="13057" max="13057" width="45.83203125" style="2" customWidth="1"/>
    <col min="13058" max="13063" width="14.83203125" style="2" customWidth="1"/>
    <col min="13064" max="13312" width="8.83203125" style="2" customWidth="1"/>
    <col min="13313" max="13313" width="45.83203125" style="2" customWidth="1"/>
    <col min="13314" max="13319" width="14.83203125" style="2" customWidth="1"/>
    <col min="13320" max="13568" width="8.83203125" style="2" customWidth="1"/>
    <col min="13569" max="13569" width="45.83203125" style="2" customWidth="1"/>
    <col min="13570" max="13575" width="14.83203125" style="2" customWidth="1"/>
    <col min="13576" max="13824" width="8.83203125" style="2" customWidth="1"/>
    <col min="13825" max="13825" width="45.83203125" style="2" customWidth="1"/>
    <col min="13826" max="13831" width="14.83203125" style="2" customWidth="1"/>
    <col min="13832" max="14080" width="8.83203125" style="2" customWidth="1"/>
    <col min="14081" max="14081" width="45.83203125" style="2" customWidth="1"/>
    <col min="14082" max="14087" width="14.83203125" style="2" customWidth="1"/>
    <col min="14088" max="14336" width="8.83203125" style="2" customWidth="1"/>
    <col min="14337" max="14337" width="45.83203125" style="2" customWidth="1"/>
    <col min="14338" max="14343" width="14.83203125" style="2" customWidth="1"/>
    <col min="14344" max="14592" width="8.83203125" style="2" customWidth="1"/>
    <col min="14593" max="14593" width="45.83203125" style="2" customWidth="1"/>
    <col min="14594" max="14599" width="14.83203125" style="2" customWidth="1"/>
    <col min="14600" max="14848" width="8.83203125" style="2" customWidth="1"/>
    <col min="14849" max="14849" width="45.83203125" style="2" customWidth="1"/>
    <col min="14850" max="14855" width="14.83203125" style="2" customWidth="1"/>
    <col min="14856" max="15104" width="8.83203125" style="2" customWidth="1"/>
    <col min="15105" max="15105" width="45.83203125" style="2" customWidth="1"/>
    <col min="15106" max="15111" width="14.83203125" style="2" customWidth="1"/>
    <col min="15112" max="15360" width="8.83203125" style="2" customWidth="1"/>
    <col min="15361" max="15361" width="45.83203125" style="2" customWidth="1"/>
    <col min="15362" max="15367" width="14.83203125" style="2" customWidth="1"/>
    <col min="15368" max="15616" width="8.83203125" style="2" customWidth="1"/>
    <col min="15617" max="15617" width="45.83203125" style="2" customWidth="1"/>
    <col min="15618" max="15623" width="14.83203125" style="2" customWidth="1"/>
    <col min="15624" max="15872" width="8.83203125" style="2" customWidth="1"/>
    <col min="15873" max="15873" width="45.83203125" style="2" customWidth="1"/>
    <col min="15874" max="15879" width="14.83203125" style="2" customWidth="1"/>
    <col min="15880" max="16128" width="8.83203125" style="2" customWidth="1"/>
    <col min="16129" max="16129" width="45.83203125" style="2" customWidth="1"/>
    <col min="16130" max="16135" width="14.83203125" style="2" customWidth="1"/>
    <col min="16136" max="16384" width="8.83203125" style="2" customWidth="1"/>
  </cols>
  <sheetData>
    <row r="5" spans="1:255" ht="17">
      <c r="A5" s="1" t="s">
        <v>363</v>
      </c>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32"/>
    </row>
    <row r="7" spans="1:255" ht="12">
      <c r="A7" s="3" t="s">
        <v>245</v>
      </c>
      <c r="B7" s="4" t="s">
        <v>246</v>
      </c>
      <c r="C7" s="32" t="s">
        <v>247</v>
      </c>
      <c r="D7" s="5" t="s">
        <v>248</v>
      </c>
      <c r="E7" s="4" t="s">
        <v>249</v>
      </c>
      <c r="F7" s="32" t="s">
        <v>250</v>
      </c>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32"/>
    </row>
    <row r="8" spans="1:255">
      <c r="A8" s="5"/>
      <c r="B8" s="4" t="s">
        <v>251</v>
      </c>
      <c r="C8" s="32" t="s">
        <v>252</v>
      </c>
      <c r="D8" s="5" t="s">
        <v>248</v>
      </c>
      <c r="E8" s="4" t="s">
        <v>253</v>
      </c>
      <c r="F8" s="32" t="s">
        <v>254</v>
      </c>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32"/>
    </row>
    <row r="9" spans="1:255">
      <c r="A9" s="5"/>
      <c r="B9" s="4" t="s">
        <v>255</v>
      </c>
      <c r="C9" s="32" t="s">
        <v>256</v>
      </c>
      <c r="D9" s="5" t="s">
        <v>248</v>
      </c>
      <c r="E9" s="4" t="s">
        <v>257</v>
      </c>
      <c r="F9" s="32" t="s">
        <v>258</v>
      </c>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32"/>
    </row>
    <row r="10" spans="1:255">
      <c r="A10" s="5"/>
      <c r="B10" s="4" t="s">
        <v>259</v>
      </c>
      <c r="C10" s="32" t="s">
        <v>260</v>
      </c>
      <c r="D10" s="5" t="s">
        <v>248</v>
      </c>
      <c r="E10" s="4" t="s">
        <v>261</v>
      </c>
      <c r="F10" s="6" t="s">
        <v>262</v>
      </c>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32"/>
    </row>
    <row r="11" spans="1:255">
      <c r="A11" s="5"/>
      <c r="B11" s="4" t="s">
        <v>263</v>
      </c>
      <c r="C11" s="32" t="s">
        <v>264</v>
      </c>
      <c r="D11" s="5" t="s">
        <v>248</v>
      </c>
      <c r="E11" s="7"/>
      <c r="F11" s="7"/>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32"/>
    </row>
    <row r="14" spans="1:255">
      <c r="A14" s="8" t="s">
        <v>364</v>
      </c>
      <c r="B14" s="8"/>
      <c r="C14" s="8"/>
      <c r="D14" s="8"/>
      <c r="E14" s="8"/>
      <c r="F14" s="8"/>
      <c r="G14" s="8"/>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9"/>
      <c r="IS14" s="9"/>
      <c r="IT14" s="9"/>
      <c r="IU14" s="9"/>
    </row>
    <row r="15" spans="1:255" ht="24">
      <c r="A15" s="10" t="s">
        <v>365</v>
      </c>
      <c r="B15" s="27">
        <v>42369</v>
      </c>
      <c r="C15" s="27">
        <v>42735</v>
      </c>
      <c r="D15" s="27">
        <v>43100</v>
      </c>
      <c r="E15" s="27">
        <v>43465</v>
      </c>
      <c r="F15" s="27">
        <v>43830</v>
      </c>
      <c r="G15" s="27">
        <v>44104</v>
      </c>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32"/>
    </row>
    <row r="16" spans="1:255" ht="12">
      <c r="A16" s="12" t="s">
        <v>273</v>
      </c>
      <c r="B16" s="13" t="s">
        <v>274</v>
      </c>
      <c r="C16" s="13" t="s">
        <v>274</v>
      </c>
      <c r="D16" s="13" t="s">
        <v>274</v>
      </c>
      <c r="E16" s="13" t="s">
        <v>274</v>
      </c>
      <c r="F16" s="13" t="s">
        <v>274</v>
      </c>
      <c r="G16" s="13" t="s">
        <v>274</v>
      </c>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32"/>
    </row>
    <row r="17" spans="1:7">
      <c r="A17" s="14" t="s">
        <v>366</v>
      </c>
      <c r="B17" s="5"/>
      <c r="C17" s="5"/>
      <c r="D17" s="5"/>
      <c r="E17" s="5"/>
      <c r="F17" s="5"/>
      <c r="G17" s="5"/>
    </row>
    <row r="18" spans="1:7">
      <c r="A18" s="5" t="s">
        <v>367</v>
      </c>
      <c r="B18" s="15">
        <v>461.32900000000001</v>
      </c>
      <c r="C18" s="15">
        <v>452.03</v>
      </c>
      <c r="D18" s="15">
        <v>696.47400000000005</v>
      </c>
      <c r="E18" s="15">
        <v>583.173</v>
      </c>
      <c r="F18" s="15">
        <v>1047.1179999999999</v>
      </c>
      <c r="G18" s="15">
        <v>2118.808</v>
      </c>
    </row>
    <row r="19" spans="1:7">
      <c r="A19" s="5" t="s">
        <v>368</v>
      </c>
      <c r="B19" s="15">
        <v>0</v>
      </c>
      <c r="C19" s="15">
        <v>59.901000000000003</v>
      </c>
      <c r="D19" s="15">
        <v>169.57599999999999</v>
      </c>
      <c r="E19" s="15">
        <v>540.99099999999999</v>
      </c>
      <c r="F19" s="15">
        <v>492.45600000000002</v>
      </c>
      <c r="G19" s="15">
        <v>762.43399999999997</v>
      </c>
    </row>
    <row r="20" spans="1:7">
      <c r="A20" s="14" t="s">
        <v>369</v>
      </c>
      <c r="B20" s="16">
        <v>461.32900000000001</v>
      </c>
      <c r="C20" s="16">
        <v>511.93099999999998</v>
      </c>
      <c r="D20" s="16">
        <v>866.05</v>
      </c>
      <c r="E20" s="16">
        <v>1124.164</v>
      </c>
      <c r="F20" s="16">
        <v>1539.5740000000001</v>
      </c>
      <c r="G20" s="16">
        <v>2881.2420000000002</v>
      </c>
    </row>
    <row r="21" spans="1:7">
      <c r="A21" s="5"/>
      <c r="B21" s="5"/>
      <c r="C21" s="5"/>
      <c r="D21" s="5"/>
      <c r="E21" s="5"/>
      <c r="F21" s="5"/>
      <c r="G21" s="5"/>
    </row>
    <row r="22" spans="1:7">
      <c r="A22" s="5" t="s">
        <v>370</v>
      </c>
      <c r="B22" s="15">
        <v>147.535</v>
      </c>
      <c r="C22" s="15">
        <v>327.29300000000001</v>
      </c>
      <c r="D22" s="15">
        <v>629.12900000000002</v>
      </c>
      <c r="E22" s="15">
        <v>387.339</v>
      </c>
      <c r="F22" s="15">
        <v>622.55499999999995</v>
      </c>
      <c r="G22" s="15">
        <v>886.39800000000002</v>
      </c>
    </row>
    <row r="23" spans="1:7">
      <c r="A23" s="5" t="s">
        <v>187</v>
      </c>
      <c r="B23" s="15">
        <v>9.6349999999999998</v>
      </c>
      <c r="C23" s="15">
        <v>10.048999999999999</v>
      </c>
      <c r="D23" s="15">
        <v>21.082999999999998</v>
      </c>
      <c r="E23" s="15">
        <v>46.101999999999997</v>
      </c>
      <c r="F23" s="15">
        <v>67.281000000000006</v>
      </c>
      <c r="G23" s="15">
        <v>147.02099999999999</v>
      </c>
    </row>
    <row r="24" spans="1:7">
      <c r="A24" s="14" t="s">
        <v>371</v>
      </c>
      <c r="B24" s="16">
        <v>157.16999999999999</v>
      </c>
      <c r="C24" s="16">
        <v>337.34199999999998</v>
      </c>
      <c r="D24" s="16">
        <v>650.21199999999999</v>
      </c>
      <c r="E24" s="16">
        <v>433.44099999999997</v>
      </c>
      <c r="F24" s="16">
        <v>689.83600000000001</v>
      </c>
      <c r="G24" s="16">
        <v>1033.4190000000001</v>
      </c>
    </row>
    <row r="25" spans="1:7">
      <c r="A25" s="5"/>
      <c r="B25" s="5"/>
      <c r="C25" s="5"/>
      <c r="D25" s="5"/>
      <c r="E25" s="5"/>
      <c r="F25" s="5"/>
      <c r="G25" s="5"/>
    </row>
    <row r="26" spans="1:7">
      <c r="A26" s="5" t="s">
        <v>188</v>
      </c>
      <c r="B26" s="15">
        <v>11.864000000000001</v>
      </c>
      <c r="C26" s="15">
        <v>13.724</v>
      </c>
      <c r="D26" s="15">
        <v>16.777000000000001</v>
      </c>
      <c r="E26" s="15">
        <v>28.626999999999999</v>
      </c>
      <c r="F26" s="15">
        <v>47.683</v>
      </c>
      <c r="G26" s="15">
        <v>70.421999999999997</v>
      </c>
    </row>
    <row r="27" spans="1:7">
      <c r="A27" s="5" t="s">
        <v>372</v>
      </c>
      <c r="B27" s="15">
        <v>7.101</v>
      </c>
      <c r="C27" s="15">
        <v>7.3650000000000002</v>
      </c>
      <c r="D27" s="15">
        <v>14.473000000000001</v>
      </c>
      <c r="E27" s="15">
        <v>21.782</v>
      </c>
      <c r="F27" s="15">
        <v>22.757999999999999</v>
      </c>
      <c r="G27" s="15">
        <v>25.43</v>
      </c>
    </row>
    <row r="28" spans="1:7">
      <c r="A28" s="5" t="s">
        <v>192</v>
      </c>
      <c r="B28" s="15">
        <v>0.60399999999999998</v>
      </c>
      <c r="C28" s="15">
        <v>42.143999999999998</v>
      </c>
      <c r="D28" s="15">
        <v>73.42</v>
      </c>
      <c r="E28" s="15">
        <v>89.974000000000004</v>
      </c>
      <c r="F28" s="15">
        <v>164.834</v>
      </c>
      <c r="G28" s="15">
        <v>524.173</v>
      </c>
    </row>
    <row r="29" spans="1:7">
      <c r="A29" s="5" t="s">
        <v>193</v>
      </c>
      <c r="B29" s="15">
        <v>13.537000000000001</v>
      </c>
      <c r="C29" s="15">
        <v>22.131</v>
      </c>
      <c r="D29" s="15">
        <v>28.805</v>
      </c>
      <c r="E29" s="15">
        <v>33.838000000000001</v>
      </c>
      <c r="F29" s="15">
        <v>38.872999999999998</v>
      </c>
      <c r="G29" s="15">
        <v>27.556000000000001</v>
      </c>
    </row>
    <row r="30" spans="1:7">
      <c r="A30" s="5" t="s">
        <v>195</v>
      </c>
      <c r="B30" s="15">
        <v>53.957999999999998</v>
      </c>
      <c r="C30" s="15">
        <v>66.787999999999997</v>
      </c>
      <c r="D30" s="15">
        <v>128.55699999999999</v>
      </c>
      <c r="E30" s="15">
        <v>380.07900000000001</v>
      </c>
      <c r="F30" s="15">
        <v>716.24300000000005</v>
      </c>
      <c r="G30" s="15">
        <v>1929.028</v>
      </c>
    </row>
    <row r="31" spans="1:7">
      <c r="A31" s="14" t="s">
        <v>373</v>
      </c>
      <c r="B31" s="16">
        <v>705.56299999999999</v>
      </c>
      <c r="C31" s="16">
        <v>1001.425</v>
      </c>
      <c r="D31" s="16">
        <v>1778.2940000000001</v>
      </c>
      <c r="E31" s="16">
        <v>2111.9050000000002</v>
      </c>
      <c r="F31" s="16">
        <v>3219.8009999999999</v>
      </c>
      <c r="G31" s="16">
        <v>6491.27</v>
      </c>
    </row>
    <row r="32" spans="1:7">
      <c r="A32" s="5"/>
      <c r="B32" s="5"/>
      <c r="C32" s="5"/>
      <c r="D32" s="5"/>
      <c r="E32" s="5"/>
      <c r="F32" s="5"/>
      <c r="G32" s="5"/>
    </row>
    <row r="33" spans="1:7">
      <c r="A33" s="5" t="s">
        <v>374</v>
      </c>
      <c r="B33" s="15">
        <v>133.191</v>
      </c>
      <c r="C33" s="15">
        <v>161.66</v>
      </c>
      <c r="D33" s="15">
        <v>192.81200000000001</v>
      </c>
      <c r="E33" s="15">
        <v>416.31099999999998</v>
      </c>
      <c r="F33" s="15">
        <v>440.87099999999998</v>
      </c>
      <c r="G33" s="15">
        <v>862.29700000000003</v>
      </c>
    </row>
    <row r="34" spans="1:7">
      <c r="A34" s="5" t="s">
        <v>375</v>
      </c>
      <c r="B34" s="15">
        <v>46</v>
      </c>
      <c r="C34" s="15">
        <v>73.3</v>
      </c>
      <c r="D34" s="15">
        <v>101.3</v>
      </c>
      <c r="E34" s="15">
        <v>124.9</v>
      </c>
      <c r="F34" s="15">
        <v>178.5</v>
      </c>
      <c r="G34" s="15">
        <v>216.2</v>
      </c>
    </row>
    <row r="35" spans="1:7">
      <c r="A35" s="14" t="s">
        <v>376</v>
      </c>
      <c r="B35" s="16">
        <v>87.221999999999994</v>
      </c>
      <c r="C35" s="16">
        <v>88.328000000000003</v>
      </c>
      <c r="D35" s="16">
        <v>91.495999999999995</v>
      </c>
      <c r="E35" s="16">
        <v>291.40199999999999</v>
      </c>
      <c r="F35" s="16">
        <v>262.34199999999998</v>
      </c>
      <c r="G35" s="16">
        <v>646.12</v>
      </c>
    </row>
    <row r="36" spans="1:7">
      <c r="A36" s="5"/>
      <c r="B36" s="5"/>
      <c r="C36" s="5"/>
      <c r="D36" s="5"/>
      <c r="E36" s="5"/>
      <c r="F36" s="5"/>
      <c r="G36" s="5"/>
    </row>
    <row r="37" spans="1:7">
      <c r="A37" s="5" t="s">
        <v>377</v>
      </c>
      <c r="B37" s="15">
        <v>0</v>
      </c>
      <c r="C37" s="15">
        <v>27.366</v>
      </c>
      <c r="D37" s="15">
        <v>228.667</v>
      </c>
      <c r="E37" s="15">
        <v>510.02199999999999</v>
      </c>
      <c r="F37" s="15">
        <v>647.303</v>
      </c>
      <c r="G37" s="15">
        <v>530.12099999999998</v>
      </c>
    </row>
    <row r="38" spans="1:7">
      <c r="A38" s="5" t="s">
        <v>378</v>
      </c>
      <c r="B38" s="15">
        <v>56.698999999999998</v>
      </c>
      <c r="C38" s="15">
        <v>57.173000000000002</v>
      </c>
      <c r="D38" s="15">
        <v>58.326999999999998</v>
      </c>
      <c r="E38" s="15">
        <v>261.70499999999998</v>
      </c>
      <c r="F38" s="15">
        <v>266.34500000000003</v>
      </c>
      <c r="G38" s="15">
        <v>300.62</v>
      </c>
    </row>
    <row r="39" spans="1:7">
      <c r="A39" s="5" t="s">
        <v>379</v>
      </c>
      <c r="B39" s="15">
        <v>26.776</v>
      </c>
      <c r="C39" s="15">
        <v>19.292000000000002</v>
      </c>
      <c r="D39" s="15">
        <v>14.334</v>
      </c>
      <c r="E39" s="15">
        <v>77.102000000000004</v>
      </c>
      <c r="F39" s="15">
        <v>69.078999999999994</v>
      </c>
      <c r="G39" s="15">
        <v>107.562</v>
      </c>
    </row>
    <row r="40" spans="1:7">
      <c r="A40" s="5" t="s">
        <v>380</v>
      </c>
      <c r="B40" s="15">
        <v>0.188</v>
      </c>
      <c r="C40" s="15">
        <v>0.30599999999999999</v>
      </c>
      <c r="D40" s="15">
        <v>0</v>
      </c>
      <c r="E40" s="15">
        <v>0</v>
      </c>
      <c r="F40" s="15">
        <v>0</v>
      </c>
      <c r="G40" s="15">
        <v>0</v>
      </c>
    </row>
    <row r="41" spans="1:7">
      <c r="A41" s="5" t="s">
        <v>381</v>
      </c>
      <c r="B41" s="15">
        <v>0</v>
      </c>
      <c r="C41" s="15">
        <v>1.0629999999999999</v>
      </c>
      <c r="D41" s="15">
        <v>0</v>
      </c>
      <c r="E41" s="15">
        <v>0</v>
      </c>
      <c r="F41" s="15">
        <v>0</v>
      </c>
      <c r="G41" s="15">
        <v>0</v>
      </c>
    </row>
    <row r="42" spans="1:7">
      <c r="A42" s="5" t="s">
        <v>382</v>
      </c>
      <c r="B42" s="15">
        <v>18.324000000000002</v>
      </c>
      <c r="C42" s="15">
        <v>16.408999999999999</v>
      </c>
      <c r="D42" s="15">
        <v>16.152000000000001</v>
      </c>
      <c r="E42" s="15">
        <v>28.887</v>
      </c>
      <c r="F42" s="15">
        <v>86.388000000000005</v>
      </c>
      <c r="G42" s="15">
        <v>38.582999999999998</v>
      </c>
    </row>
    <row r="43" spans="1:7">
      <c r="A43" s="14" t="s">
        <v>383</v>
      </c>
      <c r="B43" s="18">
        <v>894.77200000000005</v>
      </c>
      <c r="C43" s="18">
        <v>1211.3620000000001</v>
      </c>
      <c r="D43" s="18">
        <v>2187.27</v>
      </c>
      <c r="E43" s="18">
        <v>3281.0230000000001</v>
      </c>
      <c r="F43" s="18">
        <v>4551.2579999999998</v>
      </c>
      <c r="G43" s="18">
        <v>8114.2759999999998</v>
      </c>
    </row>
    <row r="44" spans="1:7">
      <c r="A44" s="5"/>
      <c r="B44" s="5"/>
      <c r="C44" s="5"/>
      <c r="D44" s="5"/>
      <c r="E44" s="5"/>
      <c r="F44" s="5"/>
      <c r="G44" s="5"/>
    </row>
    <row r="45" spans="1:7">
      <c r="A45" s="14" t="s">
        <v>384</v>
      </c>
      <c r="B45" s="5"/>
      <c r="C45" s="5"/>
      <c r="D45" s="5"/>
      <c r="E45" s="5"/>
      <c r="F45" s="5"/>
      <c r="G45" s="5"/>
    </row>
    <row r="46" spans="1:7">
      <c r="A46" s="5" t="s">
        <v>197</v>
      </c>
      <c r="B46" s="15">
        <v>18.869</v>
      </c>
      <c r="C46" s="15">
        <v>12.602</v>
      </c>
      <c r="D46" s="15">
        <v>16.763000000000002</v>
      </c>
      <c r="E46" s="15">
        <v>36.415999999999997</v>
      </c>
      <c r="F46" s="15">
        <v>42.116</v>
      </c>
      <c r="G46" s="15">
        <v>36.384</v>
      </c>
    </row>
    <row r="47" spans="1:7">
      <c r="A47" s="5" t="s">
        <v>385</v>
      </c>
      <c r="B47" s="15">
        <v>46.542000000000002</v>
      </c>
      <c r="C47" s="15">
        <v>39.542999999999999</v>
      </c>
      <c r="D47" s="15">
        <v>52.28</v>
      </c>
      <c r="E47" s="15">
        <v>82.353999999999999</v>
      </c>
      <c r="F47" s="15">
        <v>128.387</v>
      </c>
      <c r="G47" s="15">
        <v>146.48500000000001</v>
      </c>
    </row>
    <row r="48" spans="1:7" s="341" customFormat="1">
      <c r="A48" s="342" t="s">
        <v>386</v>
      </c>
      <c r="B48" s="340">
        <v>0</v>
      </c>
      <c r="C48" s="340">
        <v>0</v>
      </c>
      <c r="D48" s="340">
        <v>0</v>
      </c>
      <c r="E48" s="340">
        <v>0</v>
      </c>
      <c r="F48" s="340">
        <v>0</v>
      </c>
      <c r="G48" s="340">
        <v>473.49599999999998</v>
      </c>
    </row>
    <row r="49" spans="1:7" s="341" customFormat="1">
      <c r="A49" s="342" t="s">
        <v>387</v>
      </c>
      <c r="B49" s="340">
        <v>0</v>
      </c>
      <c r="C49" s="340">
        <v>0</v>
      </c>
      <c r="D49" s="340">
        <v>0</v>
      </c>
      <c r="E49" s="340">
        <v>0</v>
      </c>
      <c r="F49" s="340">
        <v>29.721</v>
      </c>
      <c r="G49" s="340">
        <v>51.283000000000001</v>
      </c>
    </row>
    <row r="50" spans="1:7">
      <c r="A50" s="5" t="s">
        <v>388</v>
      </c>
      <c r="B50" s="15">
        <v>6.6230000000000002</v>
      </c>
      <c r="C50" s="15">
        <v>5.407</v>
      </c>
      <c r="D50" s="15">
        <v>5.8929999999999998</v>
      </c>
      <c r="E50" s="15">
        <v>31.474</v>
      </c>
      <c r="F50" s="15">
        <v>38.103999999999999</v>
      </c>
      <c r="G50" s="15">
        <v>46.097999999999999</v>
      </c>
    </row>
    <row r="51" spans="1:7">
      <c r="A51" s="5" t="s">
        <v>200</v>
      </c>
      <c r="B51" s="15">
        <v>262.16800000000001</v>
      </c>
      <c r="C51" s="15">
        <v>519.91200000000003</v>
      </c>
      <c r="D51" s="15">
        <v>897.89099999999996</v>
      </c>
      <c r="E51" s="15">
        <v>868.29700000000003</v>
      </c>
      <c r="F51" s="15">
        <v>1455.7570000000001</v>
      </c>
      <c r="G51" s="15">
        <v>3071.9650000000001</v>
      </c>
    </row>
    <row r="52" spans="1:7">
      <c r="A52" s="14" t="s">
        <v>389</v>
      </c>
      <c r="B52" s="16">
        <v>334.202</v>
      </c>
      <c r="C52" s="16">
        <v>577.46400000000006</v>
      </c>
      <c r="D52" s="16">
        <v>972.827</v>
      </c>
      <c r="E52" s="16">
        <v>1018.5410000000001</v>
      </c>
      <c r="F52" s="16">
        <v>1694.085</v>
      </c>
      <c r="G52" s="16">
        <v>3825.7109999999998</v>
      </c>
    </row>
    <row r="53" spans="1:7">
      <c r="A53" s="5"/>
      <c r="B53" s="5"/>
      <c r="C53" s="5"/>
      <c r="D53" s="5"/>
      <c r="E53" s="5"/>
      <c r="F53" s="5"/>
      <c r="G53" s="5"/>
    </row>
    <row r="54" spans="1:7" s="341" customFormat="1">
      <c r="A54" s="342" t="s">
        <v>390</v>
      </c>
      <c r="B54" s="340">
        <v>0</v>
      </c>
      <c r="C54" s="340">
        <v>0</v>
      </c>
      <c r="D54" s="340">
        <v>358.572</v>
      </c>
      <c r="E54" s="340">
        <v>899.69500000000005</v>
      </c>
      <c r="F54" s="340">
        <v>938.83199999999999</v>
      </c>
      <c r="G54" s="340">
        <v>1758.6110000000001</v>
      </c>
    </row>
    <row r="55" spans="1:7" s="341" customFormat="1">
      <c r="A55" s="342" t="s">
        <v>391</v>
      </c>
      <c r="B55" s="340">
        <v>0</v>
      </c>
      <c r="C55" s="340">
        <v>0</v>
      </c>
      <c r="D55" s="340">
        <v>0</v>
      </c>
      <c r="E55" s="340">
        <v>0</v>
      </c>
      <c r="F55" s="340">
        <v>108.83</v>
      </c>
      <c r="G55" s="340">
        <v>384.983</v>
      </c>
    </row>
    <row r="56" spans="1:7">
      <c r="A56" s="5" t="s">
        <v>392</v>
      </c>
      <c r="B56" s="15">
        <v>0</v>
      </c>
      <c r="C56" s="15">
        <v>0</v>
      </c>
      <c r="D56" s="15">
        <v>0.432</v>
      </c>
      <c r="E56" s="15">
        <v>4.9770000000000003</v>
      </c>
      <c r="F56" s="15">
        <v>6.2270000000000003</v>
      </c>
      <c r="G56" s="15">
        <v>7.0679999999999996</v>
      </c>
    </row>
    <row r="57" spans="1:7">
      <c r="A57" s="5" t="s">
        <v>393</v>
      </c>
      <c r="B57" s="15">
        <v>0.29899999999999999</v>
      </c>
      <c r="C57" s="15">
        <v>0.47599999999999998</v>
      </c>
      <c r="D57" s="15">
        <v>0</v>
      </c>
      <c r="E57" s="15">
        <v>0</v>
      </c>
      <c r="F57" s="15">
        <v>0</v>
      </c>
      <c r="G57" s="15">
        <v>0</v>
      </c>
    </row>
    <row r="58" spans="1:7">
      <c r="A58" s="5" t="s">
        <v>394</v>
      </c>
      <c r="B58" s="15">
        <v>52.222999999999999</v>
      </c>
      <c r="C58" s="15">
        <v>57.268999999999998</v>
      </c>
      <c r="D58" s="15">
        <v>69.105999999999995</v>
      </c>
      <c r="E58" s="15">
        <v>237.309</v>
      </c>
      <c r="F58" s="15">
        <v>88.233999999999995</v>
      </c>
      <c r="G58" s="15">
        <v>75.067999999999998</v>
      </c>
    </row>
    <row r="59" spans="1:7">
      <c r="A59" s="14" t="s">
        <v>395</v>
      </c>
      <c r="B59" s="16">
        <v>386.72399999999999</v>
      </c>
      <c r="C59" s="16">
        <v>635.20899999999995</v>
      </c>
      <c r="D59" s="16">
        <v>1400.9369999999999</v>
      </c>
      <c r="E59" s="16">
        <v>2160.5219999999999</v>
      </c>
      <c r="F59" s="16">
        <v>2836.2080000000001</v>
      </c>
      <c r="G59" s="16">
        <v>6051.4409999999998</v>
      </c>
    </row>
    <row r="60" spans="1:7">
      <c r="A60" s="5"/>
      <c r="B60" s="5"/>
      <c r="C60" s="5"/>
      <c r="D60" s="5"/>
      <c r="E60" s="5"/>
      <c r="F60" s="5"/>
      <c r="G60" s="5"/>
    </row>
    <row r="61" spans="1:7">
      <c r="A61" s="5" t="s">
        <v>396</v>
      </c>
      <c r="B61" s="15">
        <v>0</v>
      </c>
      <c r="C61" s="15">
        <v>0</v>
      </c>
      <c r="D61" s="15">
        <v>0</v>
      </c>
      <c r="E61" s="15">
        <v>0</v>
      </c>
      <c r="F61" s="15">
        <v>0</v>
      </c>
      <c r="G61" s="15">
        <v>0</v>
      </c>
    </row>
    <row r="62" spans="1:7">
      <c r="A62" s="5" t="s">
        <v>397</v>
      </c>
      <c r="B62" s="15">
        <v>1116.8820000000001</v>
      </c>
      <c r="C62" s="15">
        <v>1357.3810000000001</v>
      </c>
      <c r="D62" s="15">
        <v>1630.386</v>
      </c>
      <c r="E62" s="15">
        <v>2012.328</v>
      </c>
      <c r="F62" s="15">
        <v>2223.7489999999998</v>
      </c>
      <c r="G62" s="15">
        <v>2642.107</v>
      </c>
    </row>
    <row r="63" spans="1:7">
      <c r="A63" s="5" t="s">
        <v>398</v>
      </c>
      <c r="B63" s="15">
        <v>607.6</v>
      </c>
      <c r="C63" s="15">
        <v>779.2</v>
      </c>
      <c r="D63" s="15">
        <v>842.7</v>
      </c>
      <c r="E63" s="15">
        <v>885.8</v>
      </c>
      <c r="F63" s="15">
        <v>510.3</v>
      </c>
      <c r="G63" s="15">
        <v>591.20000000000005</v>
      </c>
    </row>
    <row r="64" spans="1:7">
      <c r="A64" s="5" t="s">
        <v>399</v>
      </c>
      <c r="B64" s="15">
        <v>0</v>
      </c>
      <c r="C64" s="15">
        <v>0</v>
      </c>
      <c r="D64" s="15">
        <v>0</v>
      </c>
      <c r="E64" s="15">
        <v>0</v>
      </c>
      <c r="F64" s="15">
        <v>0</v>
      </c>
      <c r="G64" s="15">
        <v>0</v>
      </c>
    </row>
    <row r="65" spans="1:7">
      <c r="A65" s="5" t="s">
        <v>400</v>
      </c>
      <c r="B65" s="15">
        <v>1.2</v>
      </c>
      <c r="C65" s="15">
        <v>2</v>
      </c>
      <c r="D65" s="15">
        <v>1.3</v>
      </c>
      <c r="E65" s="15">
        <v>6.1</v>
      </c>
      <c r="F65" s="15">
        <v>1.629</v>
      </c>
      <c r="G65" s="15">
        <v>11.91</v>
      </c>
    </row>
    <row r="66" spans="1:7">
      <c r="A66" s="14" t="s">
        <v>401</v>
      </c>
      <c r="B66" s="16">
        <v>508.048</v>
      </c>
      <c r="C66" s="16">
        <v>576.15300000000002</v>
      </c>
      <c r="D66" s="16">
        <v>786.33299999999997</v>
      </c>
      <c r="E66" s="16">
        <v>1120.501</v>
      </c>
      <c r="F66" s="16">
        <v>1715.05</v>
      </c>
      <c r="G66" s="16">
        <v>2062.835</v>
      </c>
    </row>
    <row r="67" spans="1:7">
      <c r="A67" s="5"/>
      <c r="B67" s="5"/>
      <c r="C67" s="5"/>
      <c r="D67" s="5"/>
      <c r="E67" s="5"/>
      <c r="F67" s="5"/>
      <c r="G67" s="5"/>
    </row>
    <row r="68" spans="1:7">
      <c r="A68" s="14" t="s">
        <v>402</v>
      </c>
      <c r="B68" s="28">
        <v>508.048</v>
      </c>
      <c r="C68" s="28">
        <v>576.15300000000002</v>
      </c>
      <c r="D68" s="28">
        <v>786.33299999999997</v>
      </c>
      <c r="E68" s="28">
        <v>1120.501</v>
      </c>
      <c r="F68" s="28">
        <v>1715.05</v>
      </c>
      <c r="G68" s="28">
        <v>2062.835</v>
      </c>
    </row>
    <row r="69" spans="1:7">
      <c r="A69" s="5"/>
      <c r="B69" s="5"/>
      <c r="C69" s="5"/>
      <c r="D69" s="5"/>
      <c r="E69" s="5"/>
      <c r="F69" s="5"/>
      <c r="G69" s="5"/>
    </row>
    <row r="70" spans="1:7">
      <c r="A70" s="14" t="s">
        <v>403</v>
      </c>
      <c r="B70" s="29">
        <v>894.77200000000005</v>
      </c>
      <c r="C70" s="29">
        <v>1211.3620000000001</v>
      </c>
      <c r="D70" s="29">
        <v>2187.27</v>
      </c>
      <c r="E70" s="29">
        <v>3281.0230000000001</v>
      </c>
      <c r="F70" s="29">
        <v>4551.2579999999998</v>
      </c>
      <c r="G70" s="29">
        <v>8114.2759999999998</v>
      </c>
    </row>
    <row r="71" spans="1:7">
      <c r="A71" s="5"/>
      <c r="B71" s="5"/>
      <c r="C71" s="5"/>
      <c r="D71" s="5"/>
      <c r="E71" s="5"/>
      <c r="F71" s="5"/>
      <c r="G71" s="5"/>
    </row>
    <row r="72" spans="1:7">
      <c r="A72" s="14" t="s">
        <v>325</v>
      </c>
      <c r="B72" s="5"/>
      <c r="C72" s="5"/>
      <c r="D72" s="5"/>
      <c r="E72" s="5"/>
      <c r="F72" s="5"/>
      <c r="G72" s="5"/>
    </row>
    <row r="73" spans="1:7">
      <c r="A73" s="5" t="s">
        <v>404</v>
      </c>
      <c r="B73" s="15">
        <v>335.26207499999998</v>
      </c>
      <c r="C73" s="15">
        <v>367.19107600000001</v>
      </c>
      <c r="D73" s="15">
        <v>396.35628600000001</v>
      </c>
      <c r="E73" s="15">
        <v>419.69440700000001</v>
      </c>
      <c r="F73" s="15">
        <v>435.23471999999998</v>
      </c>
      <c r="G73" s="15">
        <v>450.93680000000001</v>
      </c>
    </row>
    <row r="74" spans="1:7">
      <c r="A74" s="5" t="s">
        <v>405</v>
      </c>
      <c r="B74" s="15">
        <v>334.94944500000003</v>
      </c>
      <c r="C74" s="15">
        <v>364.54737599999999</v>
      </c>
      <c r="D74" s="15">
        <v>395.194075</v>
      </c>
      <c r="E74" s="15">
        <v>417.04800599999999</v>
      </c>
      <c r="F74" s="15">
        <v>432.79671999999999</v>
      </c>
      <c r="G74" s="15">
        <v>447.69519700000001</v>
      </c>
    </row>
    <row r="75" spans="1:7">
      <c r="A75" s="5" t="s">
        <v>406</v>
      </c>
      <c r="B75" s="19">
        <v>1.52</v>
      </c>
      <c r="C75" s="19">
        <v>1.58</v>
      </c>
      <c r="D75" s="19">
        <v>1.99</v>
      </c>
      <c r="E75" s="19">
        <v>2.69</v>
      </c>
      <c r="F75" s="19">
        <v>3.96</v>
      </c>
      <c r="G75" s="19">
        <v>4.6100000000000003</v>
      </c>
    </row>
    <row r="76" spans="1:7">
      <c r="A76" s="5" t="s">
        <v>407</v>
      </c>
      <c r="B76" s="15">
        <v>424.57299999999998</v>
      </c>
      <c r="C76" s="15">
        <v>499.68799999999999</v>
      </c>
      <c r="D76" s="15">
        <v>713.67200000000003</v>
      </c>
      <c r="E76" s="15">
        <v>781.69399999999996</v>
      </c>
      <c r="F76" s="15">
        <v>1379.626</v>
      </c>
      <c r="G76" s="15">
        <v>1654.653</v>
      </c>
    </row>
    <row r="77" spans="1:7">
      <c r="A77" s="5" t="s">
        <v>408</v>
      </c>
      <c r="B77" s="19">
        <v>1.27</v>
      </c>
      <c r="C77" s="19">
        <v>1.37</v>
      </c>
      <c r="D77" s="19">
        <v>1.81</v>
      </c>
      <c r="E77" s="19">
        <v>1.87</v>
      </c>
      <c r="F77" s="19">
        <v>3.19</v>
      </c>
      <c r="G77" s="19">
        <v>3.7</v>
      </c>
    </row>
    <row r="78" spans="1:7">
      <c r="A78" s="5" t="s">
        <v>409</v>
      </c>
      <c r="B78" s="15">
        <v>0</v>
      </c>
      <c r="C78" s="15">
        <v>0</v>
      </c>
      <c r="D78" s="15">
        <v>358.572</v>
      </c>
      <c r="E78" s="15">
        <v>899.69500000000005</v>
      </c>
      <c r="F78" s="15">
        <v>1077.383</v>
      </c>
      <c r="G78" s="15">
        <v>2668.373</v>
      </c>
    </row>
    <row r="79" spans="1:7">
      <c r="A79" s="5" t="s">
        <v>410</v>
      </c>
      <c r="B79" s="15">
        <v>461.3</v>
      </c>
      <c r="C79" s="15">
        <v>511.9</v>
      </c>
      <c r="D79" s="15">
        <v>507.5</v>
      </c>
      <c r="E79" s="15">
        <v>269.8</v>
      </c>
      <c r="F79" s="15">
        <v>462.2</v>
      </c>
      <c r="G79" s="15">
        <v>212.9</v>
      </c>
    </row>
    <row r="80" spans="1:7" ht="12">
      <c r="A80" s="5" t="s">
        <v>411</v>
      </c>
      <c r="B80" s="15">
        <v>102.4</v>
      </c>
      <c r="C80" s="15">
        <v>90.4</v>
      </c>
      <c r="D80" s="15">
        <v>103.2</v>
      </c>
      <c r="E80" s="15">
        <v>186.4</v>
      </c>
      <c r="F80" s="15">
        <v>274.32</v>
      </c>
      <c r="G80" s="15" t="s">
        <v>242</v>
      </c>
    </row>
    <row r="81" spans="1:7" ht="12">
      <c r="A81" s="5" t="s">
        <v>412</v>
      </c>
      <c r="B81" s="23" t="s">
        <v>242</v>
      </c>
      <c r="C81" s="23" t="s">
        <v>413</v>
      </c>
      <c r="D81" s="23" t="s">
        <v>413</v>
      </c>
      <c r="E81" s="23" t="s">
        <v>413</v>
      </c>
      <c r="F81" s="23" t="s">
        <v>413</v>
      </c>
      <c r="G81" s="23" t="s">
        <v>242</v>
      </c>
    </row>
    <row r="82" spans="1:7">
      <c r="A82" s="5" t="s">
        <v>414</v>
      </c>
      <c r="B82" s="15">
        <v>52.87</v>
      </c>
      <c r="C82" s="15">
        <v>63.652000000000001</v>
      </c>
      <c r="D82" s="15">
        <v>80.676000000000002</v>
      </c>
      <c r="E82" s="15">
        <v>100.792</v>
      </c>
      <c r="F82" s="15">
        <v>133.797</v>
      </c>
      <c r="G82" s="15">
        <v>150.98400000000001</v>
      </c>
    </row>
    <row r="83" spans="1:7">
      <c r="A83" s="5" t="s">
        <v>415</v>
      </c>
      <c r="B83" s="15">
        <v>0.49</v>
      </c>
      <c r="C83" s="15">
        <v>0</v>
      </c>
      <c r="D83" s="15">
        <v>0</v>
      </c>
      <c r="E83" s="15">
        <v>149</v>
      </c>
      <c r="F83" s="15">
        <v>0</v>
      </c>
      <c r="G83" s="15">
        <v>0</v>
      </c>
    </row>
    <row r="84" spans="1:7">
      <c r="A84" s="5" t="s">
        <v>416</v>
      </c>
      <c r="B84" s="15">
        <v>65.298000000000002</v>
      </c>
      <c r="C84" s="15">
        <v>73.366</v>
      </c>
      <c r="D84" s="15">
        <v>77.072999999999993</v>
      </c>
      <c r="E84" s="15">
        <v>107.611</v>
      </c>
      <c r="F84" s="15">
        <v>111.94199999999999</v>
      </c>
      <c r="G84" s="15">
        <v>152.917</v>
      </c>
    </row>
    <row r="85" spans="1:7" ht="12">
      <c r="A85" s="5" t="s">
        <v>417</v>
      </c>
      <c r="B85" s="30">
        <v>1449</v>
      </c>
      <c r="C85" s="30">
        <v>1853</v>
      </c>
      <c r="D85" s="30">
        <v>2338</v>
      </c>
      <c r="E85" s="30">
        <v>3349</v>
      </c>
      <c r="F85" s="30">
        <v>3835</v>
      </c>
      <c r="G85" s="30" t="s">
        <v>242</v>
      </c>
    </row>
    <row r="86" spans="1:7">
      <c r="A86" s="5" t="s">
        <v>338</v>
      </c>
      <c r="B86" s="22">
        <v>43158</v>
      </c>
      <c r="C86" s="22">
        <v>43523</v>
      </c>
      <c r="D86" s="22">
        <v>43887</v>
      </c>
      <c r="E86" s="22">
        <v>43887</v>
      </c>
      <c r="F86" s="22">
        <v>43887</v>
      </c>
      <c r="G86" s="22">
        <v>44140</v>
      </c>
    </row>
    <row r="87" spans="1:7" ht="12">
      <c r="A87" s="5" t="s">
        <v>339</v>
      </c>
      <c r="B87" s="23" t="s">
        <v>341</v>
      </c>
      <c r="C87" s="23" t="s">
        <v>341</v>
      </c>
      <c r="D87" s="23" t="s">
        <v>341</v>
      </c>
      <c r="E87" s="23" t="s">
        <v>341</v>
      </c>
      <c r="F87" s="23" t="s">
        <v>342</v>
      </c>
      <c r="G87" s="23" t="s">
        <v>342</v>
      </c>
    </row>
    <row r="88" spans="1:7" ht="12">
      <c r="A88" s="5" t="s">
        <v>343</v>
      </c>
      <c r="B88" s="23" t="s">
        <v>418</v>
      </c>
      <c r="C88" s="23" t="s">
        <v>418</v>
      </c>
      <c r="D88" s="23" t="s">
        <v>418</v>
      </c>
      <c r="E88" s="23" t="s">
        <v>344</v>
      </c>
      <c r="F88" s="23" t="s">
        <v>344</v>
      </c>
      <c r="G88" s="23" t="s">
        <v>344</v>
      </c>
    </row>
    <row r="89" spans="1:7">
      <c r="A89" s="5"/>
      <c r="B89" s="5"/>
      <c r="C89" s="5"/>
      <c r="D89" s="5"/>
      <c r="E89" s="5"/>
      <c r="F89" s="5"/>
      <c r="G89" s="5"/>
    </row>
    <row r="90" spans="1:7">
      <c r="A90" s="25"/>
      <c r="B90" s="25"/>
      <c r="C90" s="25"/>
      <c r="D90" s="25"/>
      <c r="E90" s="25"/>
      <c r="F90" s="25"/>
      <c r="G90" s="25"/>
    </row>
    <row r="91" spans="1:7">
      <c r="A91" s="32" t="s">
        <v>419</v>
      </c>
      <c r="B91" s="32"/>
      <c r="C91" s="32"/>
      <c r="D91" s="32"/>
      <c r="E91" s="32"/>
      <c r="F91" s="32"/>
      <c r="G91" s="32"/>
    </row>
    <row r="92" spans="1:7">
      <c r="A92" s="26" t="s">
        <v>362</v>
      </c>
      <c r="B92" s="32"/>
      <c r="C92" s="32"/>
      <c r="D92" s="32"/>
      <c r="E92" s="32"/>
      <c r="F92" s="32"/>
      <c r="G92" s="32"/>
    </row>
  </sheetData>
  <phoneticPr fontId="35" type="noConversion"/>
  <pageMargins left="0.2" right="0.2" top="0.5" bottom="0.5" header="0.5" footer="0.5"/>
  <pageSetup scale="54" fitToWidth="0" fitToHeight="0" orientation="landscape" horizontalDpi="0" verticalDpi="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A7D04-4A14-B744-AD65-8584D6D3F72E}">
  <sheetPr>
    <tabColor rgb="FF6985AA"/>
    <outlinePr summaryBelow="0" summaryRight="0"/>
    <pageSetUpPr autoPageBreaks="0"/>
  </sheetPr>
  <dimension ref="A5:IU74"/>
  <sheetViews>
    <sheetView view="pageBreakPreview" zoomScale="60" zoomScaleNormal="100" workbookViewId="0"/>
  </sheetViews>
  <sheetFormatPr baseColWidth="10" defaultColWidth="11.5" defaultRowHeight="11"/>
  <cols>
    <col min="1" max="1" width="45.83203125" style="2" customWidth="1"/>
    <col min="2" max="7" width="14.83203125" style="2" customWidth="1"/>
    <col min="8" max="256" width="8.83203125" style="2" customWidth="1"/>
    <col min="257" max="257" width="45.83203125" style="2" customWidth="1"/>
    <col min="258" max="263" width="14.83203125" style="2" customWidth="1"/>
    <col min="264" max="512" width="8.83203125" style="2" customWidth="1"/>
    <col min="513" max="513" width="45.83203125" style="2" customWidth="1"/>
    <col min="514" max="519" width="14.83203125" style="2" customWidth="1"/>
    <col min="520" max="768" width="8.83203125" style="2" customWidth="1"/>
    <col min="769" max="769" width="45.83203125" style="2" customWidth="1"/>
    <col min="770" max="775" width="14.83203125" style="2" customWidth="1"/>
    <col min="776" max="1024" width="8.83203125" style="2" customWidth="1"/>
    <col min="1025" max="1025" width="45.83203125" style="2" customWidth="1"/>
    <col min="1026" max="1031" width="14.83203125" style="2" customWidth="1"/>
    <col min="1032" max="1280" width="8.83203125" style="2" customWidth="1"/>
    <col min="1281" max="1281" width="45.83203125" style="2" customWidth="1"/>
    <col min="1282" max="1287" width="14.83203125" style="2" customWidth="1"/>
    <col min="1288" max="1536" width="8.83203125" style="2" customWidth="1"/>
    <col min="1537" max="1537" width="45.83203125" style="2" customWidth="1"/>
    <col min="1538" max="1543" width="14.83203125" style="2" customWidth="1"/>
    <col min="1544" max="1792" width="8.83203125" style="2" customWidth="1"/>
    <col min="1793" max="1793" width="45.83203125" style="2" customWidth="1"/>
    <col min="1794" max="1799" width="14.83203125" style="2" customWidth="1"/>
    <col min="1800" max="2048" width="8.83203125" style="2" customWidth="1"/>
    <col min="2049" max="2049" width="45.83203125" style="2" customWidth="1"/>
    <col min="2050" max="2055" width="14.83203125" style="2" customWidth="1"/>
    <col min="2056" max="2304" width="8.83203125" style="2" customWidth="1"/>
    <col min="2305" max="2305" width="45.83203125" style="2" customWidth="1"/>
    <col min="2306" max="2311" width="14.83203125" style="2" customWidth="1"/>
    <col min="2312" max="2560" width="8.83203125" style="2" customWidth="1"/>
    <col min="2561" max="2561" width="45.83203125" style="2" customWidth="1"/>
    <col min="2562" max="2567" width="14.83203125" style="2" customWidth="1"/>
    <col min="2568" max="2816" width="8.83203125" style="2" customWidth="1"/>
    <col min="2817" max="2817" width="45.83203125" style="2" customWidth="1"/>
    <col min="2818" max="2823" width="14.83203125" style="2" customWidth="1"/>
    <col min="2824" max="3072" width="8.83203125" style="2" customWidth="1"/>
    <col min="3073" max="3073" width="45.83203125" style="2" customWidth="1"/>
    <col min="3074" max="3079" width="14.83203125" style="2" customWidth="1"/>
    <col min="3080" max="3328" width="8.83203125" style="2" customWidth="1"/>
    <col min="3329" max="3329" width="45.83203125" style="2" customWidth="1"/>
    <col min="3330" max="3335" width="14.83203125" style="2" customWidth="1"/>
    <col min="3336" max="3584" width="8.83203125" style="2" customWidth="1"/>
    <col min="3585" max="3585" width="45.83203125" style="2" customWidth="1"/>
    <col min="3586" max="3591" width="14.83203125" style="2" customWidth="1"/>
    <col min="3592" max="3840" width="8.83203125" style="2" customWidth="1"/>
    <col min="3841" max="3841" width="45.83203125" style="2" customWidth="1"/>
    <col min="3842" max="3847" width="14.83203125" style="2" customWidth="1"/>
    <col min="3848" max="4096" width="8.83203125" style="2" customWidth="1"/>
    <col min="4097" max="4097" width="45.83203125" style="2" customWidth="1"/>
    <col min="4098" max="4103" width="14.83203125" style="2" customWidth="1"/>
    <col min="4104" max="4352" width="8.83203125" style="2" customWidth="1"/>
    <col min="4353" max="4353" width="45.83203125" style="2" customWidth="1"/>
    <col min="4354" max="4359" width="14.83203125" style="2" customWidth="1"/>
    <col min="4360" max="4608" width="8.83203125" style="2" customWidth="1"/>
    <col min="4609" max="4609" width="45.83203125" style="2" customWidth="1"/>
    <col min="4610" max="4615" width="14.83203125" style="2" customWidth="1"/>
    <col min="4616" max="4864" width="8.83203125" style="2" customWidth="1"/>
    <col min="4865" max="4865" width="45.83203125" style="2" customWidth="1"/>
    <col min="4866" max="4871" width="14.83203125" style="2" customWidth="1"/>
    <col min="4872" max="5120" width="8.83203125" style="2" customWidth="1"/>
    <col min="5121" max="5121" width="45.83203125" style="2" customWidth="1"/>
    <col min="5122" max="5127" width="14.83203125" style="2" customWidth="1"/>
    <col min="5128" max="5376" width="8.83203125" style="2" customWidth="1"/>
    <col min="5377" max="5377" width="45.83203125" style="2" customWidth="1"/>
    <col min="5378" max="5383" width="14.83203125" style="2" customWidth="1"/>
    <col min="5384" max="5632" width="8.83203125" style="2" customWidth="1"/>
    <col min="5633" max="5633" width="45.83203125" style="2" customWidth="1"/>
    <col min="5634" max="5639" width="14.83203125" style="2" customWidth="1"/>
    <col min="5640" max="5888" width="8.83203125" style="2" customWidth="1"/>
    <col min="5889" max="5889" width="45.83203125" style="2" customWidth="1"/>
    <col min="5890" max="5895" width="14.83203125" style="2" customWidth="1"/>
    <col min="5896" max="6144" width="8.83203125" style="2" customWidth="1"/>
    <col min="6145" max="6145" width="45.83203125" style="2" customWidth="1"/>
    <col min="6146" max="6151" width="14.83203125" style="2" customWidth="1"/>
    <col min="6152" max="6400" width="8.83203125" style="2" customWidth="1"/>
    <col min="6401" max="6401" width="45.83203125" style="2" customWidth="1"/>
    <col min="6402" max="6407" width="14.83203125" style="2" customWidth="1"/>
    <col min="6408" max="6656" width="8.83203125" style="2" customWidth="1"/>
    <col min="6657" max="6657" width="45.83203125" style="2" customWidth="1"/>
    <col min="6658" max="6663" width="14.83203125" style="2" customWidth="1"/>
    <col min="6664" max="6912" width="8.83203125" style="2" customWidth="1"/>
    <col min="6913" max="6913" width="45.83203125" style="2" customWidth="1"/>
    <col min="6914" max="6919" width="14.83203125" style="2" customWidth="1"/>
    <col min="6920" max="7168" width="8.83203125" style="2" customWidth="1"/>
    <col min="7169" max="7169" width="45.83203125" style="2" customWidth="1"/>
    <col min="7170" max="7175" width="14.83203125" style="2" customWidth="1"/>
    <col min="7176" max="7424" width="8.83203125" style="2" customWidth="1"/>
    <col min="7425" max="7425" width="45.83203125" style="2" customWidth="1"/>
    <col min="7426" max="7431" width="14.83203125" style="2" customWidth="1"/>
    <col min="7432" max="7680" width="8.83203125" style="2" customWidth="1"/>
    <col min="7681" max="7681" width="45.83203125" style="2" customWidth="1"/>
    <col min="7682" max="7687" width="14.83203125" style="2" customWidth="1"/>
    <col min="7688" max="7936" width="8.83203125" style="2" customWidth="1"/>
    <col min="7937" max="7937" width="45.83203125" style="2" customWidth="1"/>
    <col min="7938" max="7943" width="14.83203125" style="2" customWidth="1"/>
    <col min="7944" max="8192" width="8.83203125" style="2" customWidth="1"/>
    <col min="8193" max="8193" width="45.83203125" style="2" customWidth="1"/>
    <col min="8194" max="8199" width="14.83203125" style="2" customWidth="1"/>
    <col min="8200" max="8448" width="8.83203125" style="2" customWidth="1"/>
    <col min="8449" max="8449" width="45.83203125" style="2" customWidth="1"/>
    <col min="8450" max="8455" width="14.83203125" style="2" customWidth="1"/>
    <col min="8456" max="8704" width="8.83203125" style="2" customWidth="1"/>
    <col min="8705" max="8705" width="45.83203125" style="2" customWidth="1"/>
    <col min="8706" max="8711" width="14.83203125" style="2" customWidth="1"/>
    <col min="8712" max="8960" width="8.83203125" style="2" customWidth="1"/>
    <col min="8961" max="8961" width="45.83203125" style="2" customWidth="1"/>
    <col min="8962" max="8967" width="14.83203125" style="2" customWidth="1"/>
    <col min="8968" max="9216" width="8.83203125" style="2" customWidth="1"/>
    <col min="9217" max="9217" width="45.83203125" style="2" customWidth="1"/>
    <col min="9218" max="9223" width="14.83203125" style="2" customWidth="1"/>
    <col min="9224" max="9472" width="8.83203125" style="2" customWidth="1"/>
    <col min="9473" max="9473" width="45.83203125" style="2" customWidth="1"/>
    <col min="9474" max="9479" width="14.83203125" style="2" customWidth="1"/>
    <col min="9480" max="9728" width="8.83203125" style="2" customWidth="1"/>
    <col min="9729" max="9729" width="45.83203125" style="2" customWidth="1"/>
    <col min="9730" max="9735" width="14.83203125" style="2" customWidth="1"/>
    <col min="9736" max="9984" width="8.83203125" style="2" customWidth="1"/>
    <col min="9985" max="9985" width="45.83203125" style="2" customWidth="1"/>
    <col min="9986" max="9991" width="14.83203125" style="2" customWidth="1"/>
    <col min="9992" max="10240" width="8.83203125" style="2" customWidth="1"/>
    <col min="10241" max="10241" width="45.83203125" style="2" customWidth="1"/>
    <col min="10242" max="10247" width="14.83203125" style="2" customWidth="1"/>
    <col min="10248" max="10496" width="8.83203125" style="2" customWidth="1"/>
    <col min="10497" max="10497" width="45.83203125" style="2" customWidth="1"/>
    <col min="10498" max="10503" width="14.83203125" style="2" customWidth="1"/>
    <col min="10504" max="10752" width="8.83203125" style="2" customWidth="1"/>
    <col min="10753" max="10753" width="45.83203125" style="2" customWidth="1"/>
    <col min="10754" max="10759" width="14.83203125" style="2" customWidth="1"/>
    <col min="10760" max="11008" width="8.83203125" style="2" customWidth="1"/>
    <col min="11009" max="11009" width="45.83203125" style="2" customWidth="1"/>
    <col min="11010" max="11015" width="14.83203125" style="2" customWidth="1"/>
    <col min="11016" max="11264" width="8.83203125" style="2" customWidth="1"/>
    <col min="11265" max="11265" width="45.83203125" style="2" customWidth="1"/>
    <col min="11266" max="11271" width="14.83203125" style="2" customWidth="1"/>
    <col min="11272" max="11520" width="8.83203125" style="2" customWidth="1"/>
    <col min="11521" max="11521" width="45.83203125" style="2" customWidth="1"/>
    <col min="11522" max="11527" width="14.83203125" style="2" customWidth="1"/>
    <col min="11528" max="11776" width="8.83203125" style="2" customWidth="1"/>
    <col min="11777" max="11777" width="45.83203125" style="2" customWidth="1"/>
    <col min="11778" max="11783" width="14.83203125" style="2" customWidth="1"/>
    <col min="11784" max="12032" width="8.83203125" style="2" customWidth="1"/>
    <col min="12033" max="12033" width="45.83203125" style="2" customWidth="1"/>
    <col min="12034" max="12039" width="14.83203125" style="2" customWidth="1"/>
    <col min="12040" max="12288" width="8.83203125" style="2" customWidth="1"/>
    <col min="12289" max="12289" width="45.83203125" style="2" customWidth="1"/>
    <col min="12290" max="12295" width="14.83203125" style="2" customWidth="1"/>
    <col min="12296" max="12544" width="8.83203125" style="2" customWidth="1"/>
    <col min="12545" max="12545" width="45.83203125" style="2" customWidth="1"/>
    <col min="12546" max="12551" width="14.83203125" style="2" customWidth="1"/>
    <col min="12552" max="12800" width="8.83203125" style="2" customWidth="1"/>
    <col min="12801" max="12801" width="45.83203125" style="2" customWidth="1"/>
    <col min="12802" max="12807" width="14.83203125" style="2" customWidth="1"/>
    <col min="12808" max="13056" width="8.83203125" style="2" customWidth="1"/>
    <col min="13057" max="13057" width="45.83203125" style="2" customWidth="1"/>
    <col min="13058" max="13063" width="14.83203125" style="2" customWidth="1"/>
    <col min="13064" max="13312" width="8.83203125" style="2" customWidth="1"/>
    <col min="13313" max="13313" width="45.83203125" style="2" customWidth="1"/>
    <col min="13314" max="13319" width="14.83203125" style="2" customWidth="1"/>
    <col min="13320" max="13568" width="8.83203125" style="2" customWidth="1"/>
    <col min="13569" max="13569" width="45.83203125" style="2" customWidth="1"/>
    <col min="13570" max="13575" width="14.83203125" style="2" customWidth="1"/>
    <col min="13576" max="13824" width="8.83203125" style="2" customWidth="1"/>
    <col min="13825" max="13825" width="45.83203125" style="2" customWidth="1"/>
    <col min="13826" max="13831" width="14.83203125" style="2" customWidth="1"/>
    <col min="13832" max="14080" width="8.83203125" style="2" customWidth="1"/>
    <col min="14081" max="14081" width="45.83203125" style="2" customWidth="1"/>
    <col min="14082" max="14087" width="14.83203125" style="2" customWidth="1"/>
    <col min="14088" max="14336" width="8.83203125" style="2" customWidth="1"/>
    <col min="14337" max="14337" width="45.83203125" style="2" customWidth="1"/>
    <col min="14338" max="14343" width="14.83203125" style="2" customWidth="1"/>
    <col min="14344" max="14592" width="8.83203125" style="2" customWidth="1"/>
    <col min="14593" max="14593" width="45.83203125" style="2" customWidth="1"/>
    <col min="14594" max="14599" width="14.83203125" style="2" customWidth="1"/>
    <col min="14600" max="14848" width="8.83203125" style="2" customWidth="1"/>
    <col min="14849" max="14849" width="45.83203125" style="2" customWidth="1"/>
    <col min="14850" max="14855" width="14.83203125" style="2" customWidth="1"/>
    <col min="14856" max="15104" width="8.83203125" style="2" customWidth="1"/>
    <col min="15105" max="15105" width="45.83203125" style="2" customWidth="1"/>
    <col min="15106" max="15111" width="14.83203125" style="2" customWidth="1"/>
    <col min="15112" max="15360" width="8.83203125" style="2" customWidth="1"/>
    <col min="15361" max="15361" width="45.83203125" style="2" customWidth="1"/>
    <col min="15362" max="15367" width="14.83203125" style="2" customWidth="1"/>
    <col min="15368" max="15616" width="8.83203125" style="2" customWidth="1"/>
    <col min="15617" max="15617" width="45.83203125" style="2" customWidth="1"/>
    <col min="15618" max="15623" width="14.83203125" style="2" customWidth="1"/>
    <col min="15624" max="15872" width="8.83203125" style="2" customWidth="1"/>
    <col min="15873" max="15873" width="45.83203125" style="2" customWidth="1"/>
    <col min="15874" max="15879" width="14.83203125" style="2" customWidth="1"/>
    <col min="15880" max="16128" width="8.83203125" style="2" customWidth="1"/>
    <col min="16129" max="16129" width="45.83203125" style="2" customWidth="1"/>
    <col min="16130" max="16135" width="14.83203125" style="2" customWidth="1"/>
    <col min="16136" max="16384" width="8.83203125" style="2" customWidth="1"/>
  </cols>
  <sheetData>
    <row r="5" spans="1:255" ht="17">
      <c r="A5" s="1" t="s">
        <v>420</v>
      </c>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32"/>
    </row>
    <row r="7" spans="1:255" ht="12">
      <c r="A7" s="3" t="s">
        <v>245</v>
      </c>
      <c r="B7" s="4" t="s">
        <v>246</v>
      </c>
      <c r="C7" s="32" t="s">
        <v>247</v>
      </c>
      <c r="D7" s="5" t="s">
        <v>248</v>
      </c>
      <c r="E7" s="4" t="s">
        <v>249</v>
      </c>
      <c r="F7" s="32" t="s">
        <v>250</v>
      </c>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32"/>
    </row>
    <row r="8" spans="1:255">
      <c r="A8" s="5"/>
      <c r="B8" s="4" t="s">
        <v>251</v>
      </c>
      <c r="C8" s="32" t="s">
        <v>252</v>
      </c>
      <c r="D8" s="5" t="s">
        <v>248</v>
      </c>
      <c r="E8" s="4" t="s">
        <v>253</v>
      </c>
      <c r="F8" s="32" t="s">
        <v>254</v>
      </c>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32"/>
    </row>
    <row r="9" spans="1:255">
      <c r="A9" s="5"/>
      <c r="B9" s="4" t="s">
        <v>255</v>
      </c>
      <c r="C9" s="32" t="s">
        <v>256</v>
      </c>
      <c r="D9" s="5" t="s">
        <v>248</v>
      </c>
      <c r="E9" s="4" t="s">
        <v>257</v>
      </c>
      <c r="F9" s="32" t="s">
        <v>258</v>
      </c>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32"/>
    </row>
    <row r="10" spans="1:255">
      <c r="A10" s="5"/>
      <c r="B10" s="4" t="s">
        <v>259</v>
      </c>
      <c r="C10" s="32" t="s">
        <v>260</v>
      </c>
      <c r="D10" s="5" t="s">
        <v>248</v>
      </c>
      <c r="E10" s="4" t="s">
        <v>261</v>
      </c>
      <c r="F10" s="6" t="s">
        <v>262</v>
      </c>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32"/>
    </row>
    <row r="11" spans="1:255">
      <c r="A11" s="5"/>
      <c r="B11" s="4" t="s">
        <v>263</v>
      </c>
      <c r="C11" s="32" t="s">
        <v>264</v>
      </c>
      <c r="D11" s="5" t="s">
        <v>248</v>
      </c>
      <c r="E11" s="7"/>
      <c r="F11" s="7"/>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32"/>
    </row>
    <row r="14" spans="1:255">
      <c r="A14" s="8" t="s">
        <v>421</v>
      </c>
      <c r="B14" s="8"/>
      <c r="C14" s="8"/>
      <c r="D14" s="8"/>
      <c r="E14" s="8"/>
      <c r="F14" s="8"/>
      <c r="G14" s="8"/>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9"/>
      <c r="IS14" s="9"/>
      <c r="IT14" s="9"/>
      <c r="IU14" s="9"/>
    </row>
    <row r="15" spans="1:255" ht="36">
      <c r="A15" s="10" t="s">
        <v>266</v>
      </c>
      <c r="B15" s="11" t="s">
        <v>422</v>
      </c>
      <c r="C15" s="11" t="s">
        <v>423</v>
      </c>
      <c r="D15" s="11" t="s">
        <v>269</v>
      </c>
      <c r="E15" s="11" t="s">
        <v>424</v>
      </c>
      <c r="F15" s="11" t="s">
        <v>271</v>
      </c>
      <c r="G15" s="11" t="s">
        <v>272</v>
      </c>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32"/>
    </row>
    <row r="16" spans="1:255" ht="12">
      <c r="A16" s="12" t="s">
        <v>273</v>
      </c>
      <c r="B16" s="13" t="s">
        <v>274</v>
      </c>
      <c r="C16" s="13" t="s">
        <v>274</v>
      </c>
      <c r="D16" s="13" t="s">
        <v>274</v>
      </c>
      <c r="E16" s="13" t="s">
        <v>274</v>
      </c>
      <c r="F16" s="13" t="s">
        <v>274</v>
      </c>
      <c r="G16" s="13" t="s">
        <v>274</v>
      </c>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32"/>
    </row>
    <row r="17" spans="1:7">
      <c r="A17" s="14" t="s">
        <v>275</v>
      </c>
      <c r="B17" s="5"/>
      <c r="C17" s="5"/>
      <c r="D17" s="5"/>
      <c r="E17" s="5"/>
      <c r="F17" s="5"/>
      <c r="G17" s="5"/>
    </row>
    <row r="18" spans="1:7">
      <c r="A18" s="14" t="s">
        <v>425</v>
      </c>
      <c r="B18" s="17">
        <v>-179.8</v>
      </c>
      <c r="C18" s="17">
        <v>-171.6</v>
      </c>
      <c r="D18" s="17">
        <v>-62.8</v>
      </c>
      <c r="E18" s="17">
        <v>-38.5</v>
      </c>
      <c r="F18" s="17">
        <v>375.44600000000003</v>
      </c>
      <c r="G18" s="17">
        <v>310.08600000000001</v>
      </c>
    </row>
    <row r="19" spans="1:7">
      <c r="A19" s="5" t="s">
        <v>288</v>
      </c>
      <c r="B19" s="15">
        <v>16.922999999999998</v>
      </c>
      <c r="C19" s="15">
        <v>21.632000000000001</v>
      </c>
      <c r="D19" s="15">
        <v>23.064</v>
      </c>
      <c r="E19" s="15">
        <v>37.258000000000003</v>
      </c>
      <c r="F19" s="15">
        <v>41.698</v>
      </c>
      <c r="G19" s="15">
        <v>22.373999999999999</v>
      </c>
    </row>
    <row r="20" spans="1:7">
      <c r="A20" s="5" t="s">
        <v>289</v>
      </c>
      <c r="B20" s="15">
        <v>7.5030000000000001</v>
      </c>
      <c r="C20" s="15">
        <v>9.0129999999999999</v>
      </c>
      <c r="D20" s="15">
        <v>7.6150000000000002</v>
      </c>
      <c r="E20" s="15">
        <v>13.103</v>
      </c>
      <c r="F20" s="15">
        <v>15</v>
      </c>
      <c r="G20" s="15">
        <v>17.236000000000001</v>
      </c>
    </row>
    <row r="21" spans="1:7">
      <c r="A21" s="14" t="s">
        <v>426</v>
      </c>
      <c r="B21" s="16">
        <v>24.425999999999998</v>
      </c>
      <c r="C21" s="16">
        <v>30.645</v>
      </c>
      <c r="D21" s="16">
        <v>30.678999999999998</v>
      </c>
      <c r="E21" s="16">
        <v>50.360999999999997</v>
      </c>
      <c r="F21" s="16">
        <v>56.698</v>
      </c>
      <c r="G21" s="16">
        <v>39.61</v>
      </c>
    </row>
    <row r="22" spans="1:7">
      <c r="A22" s="5"/>
      <c r="B22" s="5"/>
      <c r="C22" s="5"/>
      <c r="D22" s="5"/>
      <c r="E22" s="5"/>
      <c r="F22" s="5"/>
      <c r="G22" s="5"/>
    </row>
    <row r="23" spans="1:7">
      <c r="A23" s="5" t="s">
        <v>427</v>
      </c>
      <c r="B23" s="15">
        <v>3.2</v>
      </c>
      <c r="C23" s="15">
        <v>7.1</v>
      </c>
      <c r="D23" s="15">
        <v>6.6</v>
      </c>
      <c r="E23" s="15">
        <v>10.6</v>
      </c>
      <c r="F23" s="15">
        <v>18.899999999999999</v>
      </c>
      <c r="G23" s="15">
        <v>18.899999999999999</v>
      </c>
    </row>
    <row r="24" spans="1:7" ht="12">
      <c r="A24" s="5" t="s">
        <v>428</v>
      </c>
      <c r="B24" s="15" t="s">
        <v>39</v>
      </c>
      <c r="C24" s="15" t="s">
        <v>39</v>
      </c>
      <c r="D24" s="15" t="s">
        <v>39</v>
      </c>
      <c r="E24" s="15" t="s">
        <v>39</v>
      </c>
      <c r="F24" s="15">
        <v>-373.4</v>
      </c>
      <c r="G24" s="15">
        <v>-373.4</v>
      </c>
    </row>
    <row r="25" spans="1:7" ht="12">
      <c r="A25" s="5" t="s">
        <v>429</v>
      </c>
      <c r="B25" s="15" t="s">
        <v>39</v>
      </c>
      <c r="C25" s="15" t="s">
        <v>39</v>
      </c>
      <c r="D25" s="15" t="s">
        <v>39</v>
      </c>
      <c r="E25" s="15">
        <v>-20.3</v>
      </c>
      <c r="F25" s="15">
        <v>12.326000000000001</v>
      </c>
      <c r="G25" s="15">
        <v>-25.1</v>
      </c>
    </row>
    <row r="26" spans="1:7">
      <c r="A26" s="5" t="s">
        <v>430</v>
      </c>
      <c r="B26" s="15">
        <v>82.292000000000002</v>
      </c>
      <c r="C26" s="15">
        <v>138.786</v>
      </c>
      <c r="D26" s="15">
        <v>155.83600000000001</v>
      </c>
      <c r="E26" s="15">
        <v>217.78</v>
      </c>
      <c r="F26" s="15">
        <v>297.863</v>
      </c>
      <c r="G26" s="15">
        <v>364.012</v>
      </c>
    </row>
    <row r="27" spans="1:7" ht="12">
      <c r="A27" s="5" t="s">
        <v>431</v>
      </c>
      <c r="B27" s="15">
        <v>-1.1000000000000001</v>
      </c>
      <c r="C27" s="15" t="s">
        <v>39</v>
      </c>
      <c r="D27" s="15" t="s">
        <v>39</v>
      </c>
      <c r="E27" s="15" t="s">
        <v>39</v>
      </c>
      <c r="F27" s="15" t="s">
        <v>39</v>
      </c>
      <c r="G27" s="15" t="s">
        <v>39</v>
      </c>
    </row>
    <row r="28" spans="1:7">
      <c r="A28" s="5" t="s">
        <v>432</v>
      </c>
      <c r="B28" s="15">
        <v>54.305</v>
      </c>
      <c r="C28" s="15">
        <v>51.244</v>
      </c>
      <c r="D28" s="15">
        <v>80.054000000000002</v>
      </c>
      <c r="E28" s="15">
        <v>120.99</v>
      </c>
      <c r="F28" s="15">
        <v>188.75700000000001</v>
      </c>
      <c r="G28" s="15">
        <v>334.15499999999997</v>
      </c>
    </row>
    <row r="29" spans="1:7" ht="12">
      <c r="A29" s="5" t="s">
        <v>433</v>
      </c>
      <c r="B29" s="15">
        <v>7.8310000000000004</v>
      </c>
      <c r="C29" s="15" t="s">
        <v>39</v>
      </c>
      <c r="D29" s="15" t="s">
        <v>39</v>
      </c>
      <c r="E29" s="15" t="s">
        <v>39</v>
      </c>
      <c r="F29" s="15" t="s">
        <v>39</v>
      </c>
      <c r="G29" s="15" t="s">
        <v>39</v>
      </c>
    </row>
    <row r="30" spans="1:7">
      <c r="A30" s="5" t="s">
        <v>434</v>
      </c>
      <c r="B30" s="15">
        <v>29.986999999999998</v>
      </c>
      <c r="C30" s="15">
        <v>-33.1</v>
      </c>
      <c r="D30" s="15">
        <v>-82.6</v>
      </c>
      <c r="E30" s="15">
        <v>-45.9</v>
      </c>
      <c r="F30" s="15">
        <v>-110.8</v>
      </c>
      <c r="G30" s="15">
        <v>-346.2</v>
      </c>
    </row>
    <row r="31" spans="1:7">
      <c r="A31" s="14" t="s">
        <v>435</v>
      </c>
      <c r="B31" s="16">
        <v>21.123000000000001</v>
      </c>
      <c r="C31" s="16">
        <v>23.131</v>
      </c>
      <c r="D31" s="16">
        <v>127.711</v>
      </c>
      <c r="E31" s="16">
        <v>295.08</v>
      </c>
      <c r="F31" s="16">
        <v>465.69900000000001</v>
      </c>
      <c r="G31" s="16">
        <v>321.99299999999999</v>
      </c>
    </row>
    <row r="32" spans="1:7">
      <c r="A32" s="5"/>
      <c r="B32" s="5"/>
      <c r="C32" s="5"/>
      <c r="D32" s="5"/>
      <c r="E32" s="5"/>
      <c r="F32" s="5"/>
      <c r="G32" s="5"/>
    </row>
    <row r="33" spans="1:7">
      <c r="A33" s="5" t="s">
        <v>436</v>
      </c>
      <c r="B33" s="15">
        <v>-37.4</v>
      </c>
      <c r="C33" s="15">
        <v>-25.4</v>
      </c>
      <c r="D33" s="15">
        <v>-26.1</v>
      </c>
      <c r="E33" s="15">
        <v>-61.2</v>
      </c>
      <c r="F33" s="15">
        <v>-62.5</v>
      </c>
      <c r="G33" s="15">
        <v>-103</v>
      </c>
    </row>
    <row r="34" spans="1:7" ht="12">
      <c r="A34" s="5" t="s">
        <v>437</v>
      </c>
      <c r="B34" s="15" t="s">
        <v>39</v>
      </c>
      <c r="C34" s="15">
        <v>0.29599999999999999</v>
      </c>
      <c r="D34" s="15" t="s">
        <v>39</v>
      </c>
      <c r="E34" s="15" t="s">
        <v>39</v>
      </c>
      <c r="F34" s="15" t="s">
        <v>39</v>
      </c>
      <c r="G34" s="15" t="s">
        <v>39</v>
      </c>
    </row>
    <row r="35" spans="1:7">
      <c r="A35" s="5" t="s">
        <v>438</v>
      </c>
      <c r="B35" s="15">
        <v>-4.5</v>
      </c>
      <c r="C35" s="15">
        <v>-1.4</v>
      </c>
      <c r="D35" s="15">
        <v>-1.9</v>
      </c>
      <c r="E35" s="15">
        <v>-112.4</v>
      </c>
      <c r="F35" s="15">
        <v>-20.399999999999999</v>
      </c>
      <c r="G35" s="15">
        <v>-29.2</v>
      </c>
    </row>
    <row r="36" spans="1:7" ht="12">
      <c r="A36" s="5" t="s">
        <v>439</v>
      </c>
      <c r="B36" s="15" t="s">
        <v>39</v>
      </c>
      <c r="C36" s="15" t="s">
        <v>39</v>
      </c>
      <c r="D36" s="15" t="s">
        <v>39</v>
      </c>
      <c r="E36" s="15" t="s">
        <v>39</v>
      </c>
      <c r="F36" s="15">
        <v>309.32400000000001</v>
      </c>
      <c r="G36" s="15">
        <v>309.32400000000001</v>
      </c>
    </row>
    <row r="37" spans="1:7" ht="12">
      <c r="A37" s="5" t="s">
        <v>440</v>
      </c>
      <c r="B37" s="15">
        <v>-1.3</v>
      </c>
      <c r="C37" s="15">
        <v>-0.4</v>
      </c>
      <c r="D37" s="15" t="s">
        <v>39</v>
      </c>
      <c r="E37" s="15">
        <v>-1.6</v>
      </c>
      <c r="F37" s="15" t="s">
        <v>39</v>
      </c>
      <c r="G37" s="15" t="s">
        <v>39</v>
      </c>
    </row>
    <row r="38" spans="1:7" ht="12">
      <c r="A38" s="5" t="s">
        <v>441</v>
      </c>
      <c r="B38" s="15" t="s">
        <v>39</v>
      </c>
      <c r="C38" s="15">
        <v>-87.3</v>
      </c>
      <c r="D38" s="15">
        <v>-312.60000000000002</v>
      </c>
      <c r="E38" s="15">
        <v>-730.7</v>
      </c>
      <c r="F38" s="15">
        <v>-131.30000000000001</v>
      </c>
      <c r="G38" s="15">
        <v>-316.89999999999998</v>
      </c>
    </row>
    <row r="39" spans="1:7" ht="12">
      <c r="A39" s="5" t="s">
        <v>442</v>
      </c>
      <c r="B39" s="15" t="s">
        <v>39</v>
      </c>
      <c r="C39" s="15" t="s">
        <v>39</v>
      </c>
      <c r="D39" s="15" t="s">
        <v>39</v>
      </c>
      <c r="E39" s="15" t="s">
        <v>39</v>
      </c>
      <c r="F39" s="15" t="s">
        <v>39</v>
      </c>
      <c r="G39" s="15" t="s">
        <v>39</v>
      </c>
    </row>
    <row r="40" spans="1:7" ht="12">
      <c r="A40" s="5" t="s">
        <v>443</v>
      </c>
      <c r="B40" s="15" t="s">
        <v>39</v>
      </c>
      <c r="C40" s="15" t="s">
        <v>39</v>
      </c>
      <c r="D40" s="15" t="s">
        <v>39</v>
      </c>
      <c r="E40" s="15" t="s">
        <v>39</v>
      </c>
      <c r="F40" s="15" t="s">
        <v>39</v>
      </c>
      <c r="G40" s="15" t="s">
        <v>39</v>
      </c>
    </row>
    <row r="41" spans="1:7">
      <c r="A41" s="14" t="s">
        <v>444</v>
      </c>
      <c r="B41" s="16">
        <v>-43.2</v>
      </c>
      <c r="C41" s="16">
        <v>-114.2</v>
      </c>
      <c r="D41" s="16">
        <v>-340.6</v>
      </c>
      <c r="E41" s="16">
        <v>-905.8</v>
      </c>
      <c r="F41" s="16">
        <v>95.192999999999998</v>
      </c>
      <c r="G41" s="16">
        <v>-139.80000000000001</v>
      </c>
    </row>
    <row r="42" spans="1:7">
      <c r="A42" s="5"/>
      <c r="B42" s="5"/>
      <c r="C42" s="5"/>
      <c r="D42" s="5"/>
      <c r="E42" s="5"/>
      <c r="F42" s="5"/>
      <c r="G42" s="5"/>
    </row>
    <row r="43" spans="1:7" ht="12">
      <c r="A43" s="5" t="s">
        <v>445</v>
      </c>
      <c r="B43" s="15" t="s">
        <v>39</v>
      </c>
      <c r="C43" s="15" t="s">
        <v>39</v>
      </c>
      <c r="D43" s="15" t="s">
        <v>39</v>
      </c>
      <c r="E43" s="15" t="s">
        <v>39</v>
      </c>
      <c r="F43" s="15" t="s">
        <v>39</v>
      </c>
      <c r="G43" s="15" t="s">
        <v>39</v>
      </c>
    </row>
    <row r="44" spans="1:7" ht="12">
      <c r="A44" s="5" t="s">
        <v>446</v>
      </c>
      <c r="B44" s="15" t="s">
        <v>39</v>
      </c>
      <c r="C44" s="15" t="s">
        <v>39</v>
      </c>
      <c r="D44" s="15">
        <v>428.25</v>
      </c>
      <c r="E44" s="15">
        <v>855.66300000000001</v>
      </c>
      <c r="F44" s="15" t="s">
        <v>39</v>
      </c>
      <c r="G44" s="15" t="s">
        <v>39</v>
      </c>
    </row>
    <row r="45" spans="1:7" ht="12">
      <c r="A45" s="14" t="s">
        <v>447</v>
      </c>
      <c r="B45" s="16" t="s">
        <v>39</v>
      </c>
      <c r="C45" s="16" t="s">
        <v>39</v>
      </c>
      <c r="D45" s="16">
        <v>428.25</v>
      </c>
      <c r="E45" s="16">
        <v>855.66300000000001</v>
      </c>
      <c r="F45" s="16" t="s">
        <v>39</v>
      </c>
      <c r="G45" s="16">
        <v>1459.7370000000001</v>
      </c>
    </row>
    <row r="46" spans="1:7" ht="12">
      <c r="A46" s="5" t="s">
        <v>448</v>
      </c>
      <c r="B46" s="15" t="s">
        <v>39</v>
      </c>
      <c r="C46" s="15" t="s">
        <v>39</v>
      </c>
      <c r="D46" s="15" t="s">
        <v>39</v>
      </c>
      <c r="E46" s="15" t="s">
        <v>39</v>
      </c>
      <c r="F46" s="15" t="s">
        <v>39</v>
      </c>
      <c r="G46" s="15" t="s">
        <v>39</v>
      </c>
    </row>
    <row r="47" spans="1:7" ht="12">
      <c r="A47" s="5" t="s">
        <v>449</v>
      </c>
      <c r="B47" s="15">
        <v>-30</v>
      </c>
      <c r="C47" s="15">
        <v>-0.2</v>
      </c>
      <c r="D47" s="15" t="s">
        <v>39</v>
      </c>
      <c r="E47" s="15">
        <v>-219.4</v>
      </c>
      <c r="F47" s="15" t="s">
        <v>39</v>
      </c>
      <c r="G47" s="15" t="s">
        <v>39</v>
      </c>
    </row>
    <row r="48" spans="1:7" ht="12">
      <c r="A48" s="14" t="s">
        <v>450</v>
      </c>
      <c r="B48" s="16">
        <v>-30</v>
      </c>
      <c r="C48" s="16">
        <v>-0.2</v>
      </c>
      <c r="D48" s="16" t="s">
        <v>39</v>
      </c>
      <c r="E48" s="16">
        <v>-219.4</v>
      </c>
      <c r="F48" s="16" t="s">
        <v>39</v>
      </c>
      <c r="G48" s="16" t="s">
        <v>39</v>
      </c>
    </row>
    <row r="49" spans="1:7">
      <c r="A49" s="5"/>
      <c r="B49" s="5"/>
      <c r="C49" s="5"/>
      <c r="D49" s="5"/>
      <c r="E49" s="5"/>
      <c r="F49" s="5"/>
      <c r="G49" s="5"/>
    </row>
    <row r="50" spans="1:7">
      <c r="A50" s="5" t="s">
        <v>451</v>
      </c>
      <c r="B50" s="15">
        <v>265.09699999999998</v>
      </c>
      <c r="C50" s="15">
        <v>96.438999999999993</v>
      </c>
      <c r="D50" s="15">
        <v>162.50399999999999</v>
      </c>
      <c r="E50" s="15">
        <v>133.85</v>
      </c>
      <c r="F50" s="15">
        <v>118.514</v>
      </c>
      <c r="G50" s="15">
        <v>143.333</v>
      </c>
    </row>
    <row r="51" spans="1:7" ht="12">
      <c r="A51" s="5" t="s">
        <v>452</v>
      </c>
      <c r="B51" s="15" t="s">
        <v>39</v>
      </c>
      <c r="C51" s="15" t="s">
        <v>39</v>
      </c>
      <c r="D51" s="15">
        <v>-44.7</v>
      </c>
      <c r="E51" s="15">
        <v>-189.1</v>
      </c>
      <c r="F51" s="15">
        <v>-212.3</v>
      </c>
      <c r="G51" s="15">
        <v>-230.8</v>
      </c>
    </row>
    <row r="52" spans="1:7" ht="12">
      <c r="A52" s="5" t="s">
        <v>453</v>
      </c>
      <c r="B52" s="15">
        <v>29.952000000000002</v>
      </c>
      <c r="C52" s="15" t="s">
        <v>39</v>
      </c>
      <c r="D52" s="15" t="s">
        <v>39</v>
      </c>
      <c r="E52" s="15" t="s">
        <v>39</v>
      </c>
      <c r="F52" s="15" t="s">
        <v>39</v>
      </c>
      <c r="G52" s="15" t="s">
        <v>39</v>
      </c>
    </row>
    <row r="53" spans="1:7">
      <c r="A53" s="5"/>
      <c r="B53" s="5"/>
      <c r="C53" s="5"/>
      <c r="D53" s="5"/>
      <c r="E53" s="5"/>
      <c r="F53" s="5"/>
      <c r="G53" s="5"/>
    </row>
    <row r="54" spans="1:7" ht="12">
      <c r="A54" s="14" t="s">
        <v>454</v>
      </c>
      <c r="B54" s="16" t="s">
        <v>39</v>
      </c>
      <c r="C54" s="16" t="s">
        <v>39</v>
      </c>
      <c r="D54" s="16" t="s">
        <v>39</v>
      </c>
      <c r="E54" s="16" t="s">
        <v>39</v>
      </c>
      <c r="F54" s="16" t="s">
        <v>39</v>
      </c>
      <c r="G54" s="16" t="s">
        <v>39</v>
      </c>
    </row>
    <row r="55" spans="1:7">
      <c r="A55" s="5"/>
      <c r="B55" s="5"/>
      <c r="C55" s="5"/>
      <c r="D55" s="5"/>
      <c r="E55" s="5"/>
      <c r="F55" s="5"/>
      <c r="G55" s="5"/>
    </row>
    <row r="56" spans="1:7" ht="12">
      <c r="A56" s="5" t="s">
        <v>455</v>
      </c>
      <c r="B56" s="15" t="s">
        <v>39</v>
      </c>
      <c r="C56" s="15" t="s">
        <v>39</v>
      </c>
      <c r="D56" s="15" t="s">
        <v>39</v>
      </c>
      <c r="E56" s="15" t="s">
        <v>39</v>
      </c>
      <c r="F56" s="15" t="s">
        <v>39</v>
      </c>
      <c r="G56" s="15" t="s">
        <v>39</v>
      </c>
    </row>
    <row r="57" spans="1:7">
      <c r="A57" s="5" t="s">
        <v>456</v>
      </c>
      <c r="B57" s="15">
        <v>-0.3</v>
      </c>
      <c r="C57" s="15">
        <v>-5.5</v>
      </c>
      <c r="D57" s="15">
        <v>-91.1</v>
      </c>
      <c r="E57" s="15">
        <v>-65.3</v>
      </c>
      <c r="F57" s="15">
        <v>-5.0999999999999996</v>
      </c>
      <c r="G57" s="15">
        <v>-53.5</v>
      </c>
    </row>
    <row r="58" spans="1:7">
      <c r="A58" s="14" t="s">
        <v>457</v>
      </c>
      <c r="B58" s="16">
        <v>264.76299999999998</v>
      </c>
      <c r="C58" s="16">
        <v>90.741</v>
      </c>
      <c r="D58" s="16">
        <v>454.93299999999999</v>
      </c>
      <c r="E58" s="16">
        <v>515.755</v>
      </c>
      <c r="F58" s="16">
        <v>-98.9</v>
      </c>
      <c r="G58" s="16">
        <v>1318.759</v>
      </c>
    </row>
    <row r="59" spans="1:7">
      <c r="A59" s="5"/>
      <c r="B59" s="5"/>
      <c r="C59" s="5"/>
      <c r="D59" s="5"/>
      <c r="E59" s="5"/>
      <c r="F59" s="5"/>
      <c r="G59" s="5"/>
    </row>
    <row r="60" spans="1:7">
      <c r="A60" s="5" t="s">
        <v>458</v>
      </c>
      <c r="B60" s="15">
        <v>-1.8</v>
      </c>
      <c r="C60" s="15">
        <v>-0.4</v>
      </c>
      <c r="D60" s="15">
        <v>4.3029999999999999</v>
      </c>
      <c r="E60" s="15">
        <v>-7.2</v>
      </c>
      <c r="F60" s="15">
        <v>3.8410000000000002</v>
      </c>
      <c r="G60" s="15">
        <v>5.2859999999999996</v>
      </c>
    </row>
    <row r="61" spans="1:7">
      <c r="A61" s="14" t="s">
        <v>459</v>
      </c>
      <c r="B61" s="18">
        <v>240.893</v>
      </c>
      <c r="C61" s="18">
        <v>-0.8</v>
      </c>
      <c r="D61" s="18">
        <v>246.33600000000001</v>
      </c>
      <c r="E61" s="18">
        <v>-102.2</v>
      </c>
      <c r="F61" s="18">
        <v>465.85899999999998</v>
      </c>
      <c r="G61" s="18">
        <v>1506.1959999999999</v>
      </c>
    </row>
    <row r="62" spans="1:7">
      <c r="A62" s="5"/>
      <c r="B62" s="5"/>
      <c r="C62" s="5"/>
      <c r="D62" s="5"/>
      <c r="E62" s="5"/>
      <c r="F62" s="5"/>
      <c r="G62" s="5"/>
    </row>
    <row r="63" spans="1:7">
      <c r="A63" s="14" t="s">
        <v>325</v>
      </c>
      <c r="B63" s="5"/>
      <c r="C63" s="5"/>
      <c r="D63" s="5"/>
      <c r="E63" s="5"/>
      <c r="F63" s="5"/>
      <c r="G63" s="5"/>
    </row>
    <row r="64" spans="1:7">
      <c r="A64" s="5" t="s">
        <v>460</v>
      </c>
      <c r="B64" s="15">
        <v>0.98099999999999998</v>
      </c>
      <c r="C64" s="15">
        <v>0.56999999999999995</v>
      </c>
      <c r="D64" s="15">
        <v>1.3740000000000001</v>
      </c>
      <c r="E64" s="15">
        <v>4.125</v>
      </c>
      <c r="F64" s="15">
        <v>5.6769999999999996</v>
      </c>
      <c r="G64" s="15">
        <v>5.9649999999999999</v>
      </c>
    </row>
    <row r="65" spans="1:7">
      <c r="A65" s="5" t="s">
        <v>461</v>
      </c>
      <c r="B65" s="15">
        <v>1.9159999999999999</v>
      </c>
      <c r="C65" s="15">
        <v>0.39500000000000002</v>
      </c>
      <c r="D65" s="15">
        <v>1.254</v>
      </c>
      <c r="E65" s="15">
        <v>1.6220000000000001</v>
      </c>
      <c r="F65" s="15">
        <v>2.7440000000000002</v>
      </c>
      <c r="G65" s="15">
        <v>4.93</v>
      </c>
    </row>
    <row r="66" spans="1:7">
      <c r="A66" s="5" t="s">
        <v>462</v>
      </c>
      <c r="B66" s="15">
        <v>47.334625000000003</v>
      </c>
      <c r="C66" s="15">
        <v>72.166875000000005</v>
      </c>
      <c r="D66" s="15">
        <v>96.018500000000003</v>
      </c>
      <c r="E66" s="15">
        <v>140.23849999999999</v>
      </c>
      <c r="F66" s="15">
        <v>253.24375000000001</v>
      </c>
      <c r="G66" s="15">
        <v>-87.2</v>
      </c>
    </row>
    <row r="67" spans="1:7">
      <c r="A67" s="5" t="s">
        <v>463</v>
      </c>
      <c r="B67" s="15">
        <v>48.342750000000002</v>
      </c>
      <c r="C67" s="15">
        <v>72.166875000000005</v>
      </c>
      <c r="D67" s="15">
        <v>105.75225</v>
      </c>
      <c r="E67" s="15">
        <v>163.28725</v>
      </c>
      <c r="F67" s="15">
        <v>280.89812499999999</v>
      </c>
      <c r="G67" s="15">
        <v>-47.6</v>
      </c>
    </row>
    <row r="68" spans="1:7">
      <c r="A68" s="5" t="s">
        <v>202</v>
      </c>
      <c r="B68" s="15">
        <v>-83.4</v>
      </c>
      <c r="C68" s="15">
        <v>1.998</v>
      </c>
      <c r="D68" s="15">
        <v>27.387</v>
      </c>
      <c r="E68" s="15">
        <v>29.783000000000001</v>
      </c>
      <c r="F68" s="15">
        <v>46.662999999999997</v>
      </c>
      <c r="G68" s="15">
        <v>337.97800000000001</v>
      </c>
    </row>
    <row r="69" spans="1:7" ht="12">
      <c r="A69" s="5" t="s">
        <v>464</v>
      </c>
      <c r="B69" s="15">
        <v>-30</v>
      </c>
      <c r="C69" s="15">
        <v>-0.2</v>
      </c>
      <c r="D69" s="15">
        <v>428.25</v>
      </c>
      <c r="E69" s="15">
        <v>636.279</v>
      </c>
      <c r="F69" s="15" t="s">
        <v>242</v>
      </c>
      <c r="G69" s="15">
        <v>1459.7370000000001</v>
      </c>
    </row>
    <row r="70" spans="1:7">
      <c r="A70" s="5" t="s">
        <v>338</v>
      </c>
      <c r="B70" s="22">
        <v>43158</v>
      </c>
      <c r="C70" s="22">
        <v>43523</v>
      </c>
      <c r="D70" s="22">
        <v>43887</v>
      </c>
      <c r="E70" s="22">
        <v>43887</v>
      </c>
      <c r="F70" s="22">
        <v>43887</v>
      </c>
      <c r="G70" s="22">
        <v>44140</v>
      </c>
    </row>
    <row r="71" spans="1:7" ht="12">
      <c r="A71" s="5" t="s">
        <v>339</v>
      </c>
      <c r="B71" s="23" t="s">
        <v>465</v>
      </c>
      <c r="C71" s="23" t="s">
        <v>465</v>
      </c>
      <c r="D71" s="23" t="s">
        <v>341</v>
      </c>
      <c r="E71" s="23" t="s">
        <v>341</v>
      </c>
      <c r="F71" s="23" t="s">
        <v>342</v>
      </c>
      <c r="G71" s="23" t="s">
        <v>342</v>
      </c>
    </row>
    <row r="72" spans="1:7" ht="12">
      <c r="A72" s="5" t="s">
        <v>343</v>
      </c>
      <c r="B72" s="23" t="s">
        <v>344</v>
      </c>
      <c r="C72" s="23" t="s">
        <v>344</v>
      </c>
      <c r="D72" s="23" t="s">
        <v>344</v>
      </c>
      <c r="E72" s="23" t="s">
        <v>344</v>
      </c>
      <c r="F72" s="23" t="s">
        <v>344</v>
      </c>
      <c r="G72" s="23" t="s">
        <v>345</v>
      </c>
    </row>
    <row r="73" spans="1:7">
      <c r="A73" s="5"/>
      <c r="B73" s="5"/>
      <c r="C73" s="5"/>
      <c r="D73" s="5"/>
      <c r="E73" s="5"/>
      <c r="F73" s="5"/>
      <c r="G73" s="5"/>
    </row>
    <row r="74" spans="1:7" ht="72">
      <c r="A74" s="31" t="s">
        <v>362</v>
      </c>
      <c r="B74" s="25"/>
      <c r="C74" s="25"/>
      <c r="D74" s="25"/>
      <c r="E74" s="25"/>
      <c r="F74" s="25"/>
      <c r="G74" s="25"/>
    </row>
  </sheetData>
  <phoneticPr fontId="35" type="noConversion"/>
  <pageMargins left="0.2" right="0.2" top="0.5" bottom="0.5" header="0.5" footer="0.5"/>
  <pageSetup scale="66" fitToWidth="0" fitToHeight="0" orientation="landscape" horizontalDpi="0" verticalDpi="0"/>
  <headerFooter alignWithMargins="0"/>
  <colBreaks count="1" manualBreakCount="1">
    <brk id="8" max="73" man="1"/>
  </colBreaks>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C10C0-E20B-EC4A-AD40-5D0BC18A72A8}">
  <sheetPr>
    <tabColor rgb="FF6985AA"/>
    <outlinePr summaryBelow="0" summaryRight="0"/>
    <pageSetUpPr autoPageBreaks="0"/>
  </sheetPr>
  <dimension ref="A5:IV29"/>
  <sheetViews>
    <sheetView view="pageBreakPreview" zoomScale="60" zoomScaleNormal="100" workbookViewId="0"/>
  </sheetViews>
  <sheetFormatPr baseColWidth="10" defaultColWidth="11.5" defaultRowHeight="11"/>
  <cols>
    <col min="1" max="1" width="20.83203125" style="2" customWidth="1"/>
    <col min="2" max="2" width="22.83203125" style="2" customWidth="1"/>
    <col min="3" max="4" width="15.83203125" style="2" customWidth="1"/>
    <col min="5" max="5" width="12.83203125" style="2" customWidth="1"/>
    <col min="6" max="6" width="19.83203125" style="2" customWidth="1"/>
    <col min="7" max="8" width="15.83203125" style="2" customWidth="1"/>
    <col min="9" max="9" width="10.83203125" style="2" customWidth="1"/>
    <col min="10" max="10" width="16.83203125" style="2" customWidth="1"/>
    <col min="11" max="11" width="7.83203125" style="2" customWidth="1"/>
    <col min="12" max="257" width="8.83203125" style="2" customWidth="1"/>
    <col min="258" max="258" width="20.83203125" style="2" customWidth="1"/>
    <col min="259" max="259" width="22.83203125" style="2" customWidth="1"/>
    <col min="260" max="260" width="15.83203125" style="2" customWidth="1"/>
    <col min="261" max="261" width="12.83203125" style="2" customWidth="1"/>
    <col min="262" max="262" width="19.83203125" style="2" customWidth="1"/>
    <col min="263" max="264" width="15.83203125" style="2" customWidth="1"/>
    <col min="265" max="265" width="10.83203125" style="2"/>
    <col min="266" max="266" width="16.83203125" style="2" customWidth="1"/>
    <col min="267" max="267" width="7.83203125" style="2" customWidth="1"/>
    <col min="268" max="513" width="8.83203125" style="2" customWidth="1"/>
    <col min="514" max="514" width="20.83203125" style="2" customWidth="1"/>
    <col min="515" max="515" width="22.83203125" style="2" customWidth="1"/>
    <col min="516" max="516" width="15.83203125" style="2" customWidth="1"/>
    <col min="517" max="517" width="12.83203125" style="2" customWidth="1"/>
    <col min="518" max="518" width="19.83203125" style="2" customWidth="1"/>
    <col min="519" max="520" width="15.83203125" style="2" customWidth="1"/>
    <col min="521" max="521" width="10.83203125" style="2"/>
    <col min="522" max="522" width="16.83203125" style="2" customWidth="1"/>
    <col min="523" max="523" width="7.83203125" style="2" customWidth="1"/>
    <col min="524" max="769" width="8.83203125" style="2" customWidth="1"/>
    <col min="770" max="770" width="20.83203125" style="2" customWidth="1"/>
    <col min="771" max="771" width="22.83203125" style="2" customWidth="1"/>
    <col min="772" max="772" width="15.83203125" style="2" customWidth="1"/>
    <col min="773" max="773" width="12.83203125" style="2" customWidth="1"/>
    <col min="774" max="774" width="19.83203125" style="2" customWidth="1"/>
    <col min="775" max="776" width="15.83203125" style="2" customWidth="1"/>
    <col min="777" max="777" width="10.83203125" style="2"/>
    <col min="778" max="778" width="16.83203125" style="2" customWidth="1"/>
    <col min="779" max="779" width="7.83203125" style="2" customWidth="1"/>
    <col min="780" max="1025" width="8.83203125" style="2" customWidth="1"/>
    <col min="1026" max="1026" width="20.83203125" style="2" customWidth="1"/>
    <col min="1027" max="1027" width="22.83203125" style="2" customWidth="1"/>
    <col min="1028" max="1028" width="15.83203125" style="2" customWidth="1"/>
    <col min="1029" max="1029" width="12.83203125" style="2" customWidth="1"/>
    <col min="1030" max="1030" width="19.83203125" style="2" customWidth="1"/>
    <col min="1031" max="1032" width="15.83203125" style="2" customWidth="1"/>
    <col min="1033" max="1033" width="10.83203125" style="2"/>
    <col min="1034" max="1034" width="16.83203125" style="2" customWidth="1"/>
    <col min="1035" max="1035" width="7.83203125" style="2" customWidth="1"/>
    <col min="1036" max="1281" width="8.83203125" style="2" customWidth="1"/>
    <col min="1282" max="1282" width="20.83203125" style="2" customWidth="1"/>
    <col min="1283" max="1283" width="22.83203125" style="2" customWidth="1"/>
    <col min="1284" max="1284" width="15.83203125" style="2" customWidth="1"/>
    <col min="1285" max="1285" width="12.83203125" style="2" customWidth="1"/>
    <col min="1286" max="1286" width="19.83203125" style="2" customWidth="1"/>
    <col min="1287" max="1288" width="15.83203125" style="2" customWidth="1"/>
    <col min="1289" max="1289" width="10.83203125" style="2"/>
    <col min="1290" max="1290" width="16.83203125" style="2" customWidth="1"/>
    <col min="1291" max="1291" width="7.83203125" style="2" customWidth="1"/>
    <col min="1292" max="1537" width="8.83203125" style="2" customWidth="1"/>
    <col min="1538" max="1538" width="20.83203125" style="2" customWidth="1"/>
    <col min="1539" max="1539" width="22.83203125" style="2" customWidth="1"/>
    <col min="1540" max="1540" width="15.83203125" style="2" customWidth="1"/>
    <col min="1541" max="1541" width="12.83203125" style="2" customWidth="1"/>
    <col min="1542" max="1542" width="19.83203125" style="2" customWidth="1"/>
    <col min="1543" max="1544" width="15.83203125" style="2" customWidth="1"/>
    <col min="1545" max="1545" width="10.83203125" style="2"/>
    <col min="1546" max="1546" width="16.83203125" style="2" customWidth="1"/>
    <col min="1547" max="1547" width="7.83203125" style="2" customWidth="1"/>
    <col min="1548" max="1793" width="8.83203125" style="2" customWidth="1"/>
    <col min="1794" max="1794" width="20.83203125" style="2" customWidth="1"/>
    <col min="1795" max="1795" width="22.83203125" style="2" customWidth="1"/>
    <col min="1796" max="1796" width="15.83203125" style="2" customWidth="1"/>
    <col min="1797" max="1797" width="12.83203125" style="2" customWidth="1"/>
    <col min="1798" max="1798" width="19.83203125" style="2" customWidth="1"/>
    <col min="1799" max="1800" width="15.83203125" style="2" customWidth="1"/>
    <col min="1801" max="1801" width="10.83203125" style="2"/>
    <col min="1802" max="1802" width="16.83203125" style="2" customWidth="1"/>
    <col min="1803" max="1803" width="7.83203125" style="2" customWidth="1"/>
    <col min="1804" max="2049" width="8.83203125" style="2" customWidth="1"/>
    <col min="2050" max="2050" width="20.83203125" style="2" customWidth="1"/>
    <col min="2051" max="2051" width="22.83203125" style="2" customWidth="1"/>
    <col min="2052" max="2052" width="15.83203125" style="2" customWidth="1"/>
    <col min="2053" max="2053" width="12.83203125" style="2" customWidth="1"/>
    <col min="2054" max="2054" width="19.83203125" style="2" customWidth="1"/>
    <col min="2055" max="2056" width="15.83203125" style="2" customWidth="1"/>
    <col min="2057" max="2057" width="10.83203125" style="2"/>
    <col min="2058" max="2058" width="16.83203125" style="2" customWidth="1"/>
    <col min="2059" max="2059" width="7.83203125" style="2" customWidth="1"/>
    <col min="2060" max="2305" width="8.83203125" style="2" customWidth="1"/>
    <col min="2306" max="2306" width="20.83203125" style="2" customWidth="1"/>
    <col min="2307" max="2307" width="22.83203125" style="2" customWidth="1"/>
    <col min="2308" max="2308" width="15.83203125" style="2" customWidth="1"/>
    <col min="2309" max="2309" width="12.83203125" style="2" customWidth="1"/>
    <col min="2310" max="2310" width="19.83203125" style="2" customWidth="1"/>
    <col min="2311" max="2312" width="15.83203125" style="2" customWidth="1"/>
    <col min="2313" max="2313" width="10.83203125" style="2"/>
    <col min="2314" max="2314" width="16.83203125" style="2" customWidth="1"/>
    <col min="2315" max="2315" width="7.83203125" style="2" customWidth="1"/>
    <col min="2316" max="2561" width="8.83203125" style="2" customWidth="1"/>
    <col min="2562" max="2562" width="20.83203125" style="2" customWidth="1"/>
    <col min="2563" max="2563" width="22.83203125" style="2" customWidth="1"/>
    <col min="2564" max="2564" width="15.83203125" style="2" customWidth="1"/>
    <col min="2565" max="2565" width="12.83203125" style="2" customWidth="1"/>
    <col min="2566" max="2566" width="19.83203125" style="2" customWidth="1"/>
    <col min="2567" max="2568" width="15.83203125" style="2" customWidth="1"/>
    <col min="2569" max="2569" width="10.83203125" style="2"/>
    <col min="2570" max="2570" width="16.83203125" style="2" customWidth="1"/>
    <col min="2571" max="2571" width="7.83203125" style="2" customWidth="1"/>
    <col min="2572" max="2817" width="8.83203125" style="2" customWidth="1"/>
    <col min="2818" max="2818" width="20.83203125" style="2" customWidth="1"/>
    <col min="2819" max="2819" width="22.83203125" style="2" customWidth="1"/>
    <col min="2820" max="2820" width="15.83203125" style="2" customWidth="1"/>
    <col min="2821" max="2821" width="12.83203125" style="2" customWidth="1"/>
    <col min="2822" max="2822" width="19.83203125" style="2" customWidth="1"/>
    <col min="2823" max="2824" width="15.83203125" style="2" customWidth="1"/>
    <col min="2825" max="2825" width="10.83203125" style="2"/>
    <col min="2826" max="2826" width="16.83203125" style="2" customWidth="1"/>
    <col min="2827" max="2827" width="7.83203125" style="2" customWidth="1"/>
    <col min="2828" max="3073" width="8.83203125" style="2" customWidth="1"/>
    <col min="3074" max="3074" width="20.83203125" style="2" customWidth="1"/>
    <col min="3075" max="3075" width="22.83203125" style="2" customWidth="1"/>
    <col min="3076" max="3076" width="15.83203125" style="2" customWidth="1"/>
    <col min="3077" max="3077" width="12.83203125" style="2" customWidth="1"/>
    <col min="3078" max="3078" width="19.83203125" style="2" customWidth="1"/>
    <col min="3079" max="3080" width="15.83203125" style="2" customWidth="1"/>
    <col min="3081" max="3081" width="10.83203125" style="2"/>
    <col min="3082" max="3082" width="16.83203125" style="2" customWidth="1"/>
    <col min="3083" max="3083" width="7.83203125" style="2" customWidth="1"/>
    <col min="3084" max="3329" width="8.83203125" style="2" customWidth="1"/>
    <col min="3330" max="3330" width="20.83203125" style="2" customWidth="1"/>
    <col min="3331" max="3331" width="22.83203125" style="2" customWidth="1"/>
    <col min="3332" max="3332" width="15.83203125" style="2" customWidth="1"/>
    <col min="3333" max="3333" width="12.83203125" style="2" customWidth="1"/>
    <col min="3334" max="3334" width="19.83203125" style="2" customWidth="1"/>
    <col min="3335" max="3336" width="15.83203125" style="2" customWidth="1"/>
    <col min="3337" max="3337" width="10.83203125" style="2"/>
    <col min="3338" max="3338" width="16.83203125" style="2" customWidth="1"/>
    <col min="3339" max="3339" width="7.83203125" style="2" customWidth="1"/>
    <col min="3340" max="3585" width="8.83203125" style="2" customWidth="1"/>
    <col min="3586" max="3586" width="20.83203125" style="2" customWidth="1"/>
    <col min="3587" max="3587" width="22.83203125" style="2" customWidth="1"/>
    <col min="3588" max="3588" width="15.83203125" style="2" customWidth="1"/>
    <col min="3589" max="3589" width="12.83203125" style="2" customWidth="1"/>
    <col min="3590" max="3590" width="19.83203125" style="2" customWidth="1"/>
    <col min="3591" max="3592" width="15.83203125" style="2" customWidth="1"/>
    <col min="3593" max="3593" width="10.83203125" style="2"/>
    <col min="3594" max="3594" width="16.83203125" style="2" customWidth="1"/>
    <col min="3595" max="3595" width="7.83203125" style="2" customWidth="1"/>
    <col min="3596" max="3841" width="8.83203125" style="2" customWidth="1"/>
    <col min="3842" max="3842" width="20.83203125" style="2" customWidth="1"/>
    <col min="3843" max="3843" width="22.83203125" style="2" customWidth="1"/>
    <col min="3844" max="3844" width="15.83203125" style="2" customWidth="1"/>
    <col min="3845" max="3845" width="12.83203125" style="2" customWidth="1"/>
    <col min="3846" max="3846" width="19.83203125" style="2" customWidth="1"/>
    <col min="3847" max="3848" width="15.83203125" style="2" customWidth="1"/>
    <col min="3849" max="3849" width="10.83203125" style="2"/>
    <col min="3850" max="3850" width="16.83203125" style="2" customWidth="1"/>
    <col min="3851" max="3851" width="7.83203125" style="2" customWidth="1"/>
    <col min="3852" max="4097" width="8.83203125" style="2" customWidth="1"/>
    <col min="4098" max="4098" width="20.83203125" style="2" customWidth="1"/>
    <col min="4099" max="4099" width="22.83203125" style="2" customWidth="1"/>
    <col min="4100" max="4100" width="15.83203125" style="2" customWidth="1"/>
    <col min="4101" max="4101" width="12.83203125" style="2" customWidth="1"/>
    <col min="4102" max="4102" width="19.83203125" style="2" customWidth="1"/>
    <col min="4103" max="4104" width="15.83203125" style="2" customWidth="1"/>
    <col min="4105" max="4105" width="10.83203125" style="2"/>
    <col min="4106" max="4106" width="16.83203125" style="2" customWidth="1"/>
    <col min="4107" max="4107" width="7.83203125" style="2" customWidth="1"/>
    <col min="4108" max="4353" width="8.83203125" style="2" customWidth="1"/>
    <col min="4354" max="4354" width="20.83203125" style="2" customWidth="1"/>
    <col min="4355" max="4355" width="22.83203125" style="2" customWidth="1"/>
    <col min="4356" max="4356" width="15.83203125" style="2" customWidth="1"/>
    <col min="4357" max="4357" width="12.83203125" style="2" customWidth="1"/>
    <col min="4358" max="4358" width="19.83203125" style="2" customWidth="1"/>
    <col min="4359" max="4360" width="15.83203125" style="2" customWidth="1"/>
    <col min="4361" max="4361" width="10.83203125" style="2"/>
    <col min="4362" max="4362" width="16.83203125" style="2" customWidth="1"/>
    <col min="4363" max="4363" width="7.83203125" style="2" customWidth="1"/>
    <col min="4364" max="4609" width="8.83203125" style="2" customWidth="1"/>
    <col min="4610" max="4610" width="20.83203125" style="2" customWidth="1"/>
    <col min="4611" max="4611" width="22.83203125" style="2" customWidth="1"/>
    <col min="4612" max="4612" width="15.83203125" style="2" customWidth="1"/>
    <col min="4613" max="4613" width="12.83203125" style="2" customWidth="1"/>
    <col min="4614" max="4614" width="19.83203125" style="2" customWidth="1"/>
    <col min="4615" max="4616" width="15.83203125" style="2" customWidth="1"/>
    <col min="4617" max="4617" width="10.83203125" style="2"/>
    <col min="4618" max="4618" width="16.83203125" style="2" customWidth="1"/>
    <col min="4619" max="4619" width="7.83203125" style="2" customWidth="1"/>
    <col min="4620" max="4865" width="8.83203125" style="2" customWidth="1"/>
    <col min="4866" max="4866" width="20.83203125" style="2" customWidth="1"/>
    <col min="4867" max="4867" width="22.83203125" style="2" customWidth="1"/>
    <col min="4868" max="4868" width="15.83203125" style="2" customWidth="1"/>
    <col min="4869" max="4869" width="12.83203125" style="2" customWidth="1"/>
    <col min="4870" max="4870" width="19.83203125" style="2" customWidth="1"/>
    <col min="4871" max="4872" width="15.83203125" style="2" customWidth="1"/>
    <col min="4873" max="4873" width="10.83203125" style="2"/>
    <col min="4874" max="4874" width="16.83203125" style="2" customWidth="1"/>
    <col min="4875" max="4875" width="7.83203125" style="2" customWidth="1"/>
    <col min="4876" max="5121" width="8.83203125" style="2" customWidth="1"/>
    <col min="5122" max="5122" width="20.83203125" style="2" customWidth="1"/>
    <col min="5123" max="5123" width="22.83203125" style="2" customWidth="1"/>
    <col min="5124" max="5124" width="15.83203125" style="2" customWidth="1"/>
    <col min="5125" max="5125" width="12.83203125" style="2" customWidth="1"/>
    <col min="5126" max="5126" width="19.83203125" style="2" customWidth="1"/>
    <col min="5127" max="5128" width="15.83203125" style="2" customWidth="1"/>
    <col min="5129" max="5129" width="10.83203125" style="2"/>
    <col min="5130" max="5130" width="16.83203125" style="2" customWidth="1"/>
    <col min="5131" max="5131" width="7.83203125" style="2" customWidth="1"/>
    <col min="5132" max="5377" width="8.83203125" style="2" customWidth="1"/>
    <col min="5378" max="5378" width="20.83203125" style="2" customWidth="1"/>
    <col min="5379" max="5379" width="22.83203125" style="2" customWidth="1"/>
    <col min="5380" max="5380" width="15.83203125" style="2" customWidth="1"/>
    <col min="5381" max="5381" width="12.83203125" style="2" customWidth="1"/>
    <col min="5382" max="5382" width="19.83203125" style="2" customWidth="1"/>
    <col min="5383" max="5384" width="15.83203125" style="2" customWidth="1"/>
    <col min="5385" max="5385" width="10.83203125" style="2"/>
    <col min="5386" max="5386" width="16.83203125" style="2" customWidth="1"/>
    <col min="5387" max="5387" width="7.83203125" style="2" customWidth="1"/>
    <col min="5388" max="5633" width="8.83203125" style="2" customWidth="1"/>
    <col min="5634" max="5634" width="20.83203125" style="2" customWidth="1"/>
    <col min="5635" max="5635" width="22.83203125" style="2" customWidth="1"/>
    <col min="5636" max="5636" width="15.83203125" style="2" customWidth="1"/>
    <col min="5637" max="5637" width="12.83203125" style="2" customWidth="1"/>
    <col min="5638" max="5638" width="19.83203125" style="2" customWidth="1"/>
    <col min="5639" max="5640" width="15.83203125" style="2" customWidth="1"/>
    <col min="5641" max="5641" width="10.83203125" style="2"/>
    <col min="5642" max="5642" width="16.83203125" style="2" customWidth="1"/>
    <col min="5643" max="5643" width="7.83203125" style="2" customWidth="1"/>
    <col min="5644" max="5889" width="8.83203125" style="2" customWidth="1"/>
    <col min="5890" max="5890" width="20.83203125" style="2" customWidth="1"/>
    <col min="5891" max="5891" width="22.83203125" style="2" customWidth="1"/>
    <col min="5892" max="5892" width="15.83203125" style="2" customWidth="1"/>
    <col min="5893" max="5893" width="12.83203125" style="2" customWidth="1"/>
    <col min="5894" max="5894" width="19.83203125" style="2" customWidth="1"/>
    <col min="5895" max="5896" width="15.83203125" style="2" customWidth="1"/>
    <col min="5897" max="5897" width="10.83203125" style="2"/>
    <col min="5898" max="5898" width="16.83203125" style="2" customWidth="1"/>
    <col min="5899" max="5899" width="7.83203125" style="2" customWidth="1"/>
    <col min="5900" max="6145" width="8.83203125" style="2" customWidth="1"/>
    <col min="6146" max="6146" width="20.83203125" style="2" customWidth="1"/>
    <col min="6147" max="6147" width="22.83203125" style="2" customWidth="1"/>
    <col min="6148" max="6148" width="15.83203125" style="2" customWidth="1"/>
    <col min="6149" max="6149" width="12.83203125" style="2" customWidth="1"/>
    <col min="6150" max="6150" width="19.83203125" style="2" customWidth="1"/>
    <col min="6151" max="6152" width="15.83203125" style="2" customWidth="1"/>
    <col min="6153" max="6153" width="10.83203125" style="2"/>
    <col min="6154" max="6154" width="16.83203125" style="2" customWidth="1"/>
    <col min="6155" max="6155" width="7.83203125" style="2" customWidth="1"/>
    <col min="6156" max="6401" width="8.83203125" style="2" customWidth="1"/>
    <col min="6402" max="6402" width="20.83203125" style="2" customWidth="1"/>
    <col min="6403" max="6403" width="22.83203125" style="2" customWidth="1"/>
    <col min="6404" max="6404" width="15.83203125" style="2" customWidth="1"/>
    <col min="6405" max="6405" width="12.83203125" style="2" customWidth="1"/>
    <col min="6406" max="6406" width="19.83203125" style="2" customWidth="1"/>
    <col min="6407" max="6408" width="15.83203125" style="2" customWidth="1"/>
    <col min="6409" max="6409" width="10.83203125" style="2"/>
    <col min="6410" max="6410" width="16.83203125" style="2" customWidth="1"/>
    <col min="6411" max="6411" width="7.83203125" style="2" customWidth="1"/>
    <col min="6412" max="6657" width="8.83203125" style="2" customWidth="1"/>
    <col min="6658" max="6658" width="20.83203125" style="2" customWidth="1"/>
    <col min="6659" max="6659" width="22.83203125" style="2" customWidth="1"/>
    <col min="6660" max="6660" width="15.83203125" style="2" customWidth="1"/>
    <col min="6661" max="6661" width="12.83203125" style="2" customWidth="1"/>
    <col min="6662" max="6662" width="19.83203125" style="2" customWidth="1"/>
    <col min="6663" max="6664" width="15.83203125" style="2" customWidth="1"/>
    <col min="6665" max="6665" width="10.83203125" style="2"/>
    <col min="6666" max="6666" width="16.83203125" style="2" customWidth="1"/>
    <col min="6667" max="6667" width="7.83203125" style="2" customWidth="1"/>
    <col min="6668" max="6913" width="8.83203125" style="2" customWidth="1"/>
    <col min="6914" max="6914" width="20.83203125" style="2" customWidth="1"/>
    <col min="6915" max="6915" width="22.83203125" style="2" customWidth="1"/>
    <col min="6916" max="6916" width="15.83203125" style="2" customWidth="1"/>
    <col min="6917" max="6917" width="12.83203125" style="2" customWidth="1"/>
    <col min="6918" max="6918" width="19.83203125" style="2" customWidth="1"/>
    <col min="6919" max="6920" width="15.83203125" style="2" customWidth="1"/>
    <col min="6921" max="6921" width="10.83203125" style="2"/>
    <col min="6922" max="6922" width="16.83203125" style="2" customWidth="1"/>
    <col min="6923" max="6923" width="7.83203125" style="2" customWidth="1"/>
    <col min="6924" max="7169" width="8.83203125" style="2" customWidth="1"/>
    <col min="7170" max="7170" width="20.83203125" style="2" customWidth="1"/>
    <col min="7171" max="7171" width="22.83203125" style="2" customWidth="1"/>
    <col min="7172" max="7172" width="15.83203125" style="2" customWidth="1"/>
    <col min="7173" max="7173" width="12.83203125" style="2" customWidth="1"/>
    <col min="7174" max="7174" width="19.83203125" style="2" customWidth="1"/>
    <col min="7175" max="7176" width="15.83203125" style="2" customWidth="1"/>
    <col min="7177" max="7177" width="10.83203125" style="2"/>
    <col min="7178" max="7178" width="16.83203125" style="2" customWidth="1"/>
    <col min="7179" max="7179" width="7.83203125" style="2" customWidth="1"/>
    <col min="7180" max="7425" width="8.83203125" style="2" customWidth="1"/>
    <col min="7426" max="7426" width="20.83203125" style="2" customWidth="1"/>
    <col min="7427" max="7427" width="22.83203125" style="2" customWidth="1"/>
    <col min="7428" max="7428" width="15.83203125" style="2" customWidth="1"/>
    <col min="7429" max="7429" width="12.83203125" style="2" customWidth="1"/>
    <col min="7430" max="7430" width="19.83203125" style="2" customWidth="1"/>
    <col min="7431" max="7432" width="15.83203125" style="2" customWidth="1"/>
    <col min="7433" max="7433" width="10.83203125" style="2"/>
    <col min="7434" max="7434" width="16.83203125" style="2" customWidth="1"/>
    <col min="7435" max="7435" width="7.83203125" style="2" customWidth="1"/>
    <col min="7436" max="7681" width="8.83203125" style="2" customWidth="1"/>
    <col min="7682" max="7682" width="20.83203125" style="2" customWidth="1"/>
    <col min="7683" max="7683" width="22.83203125" style="2" customWidth="1"/>
    <col min="7684" max="7684" width="15.83203125" style="2" customWidth="1"/>
    <col min="7685" max="7685" width="12.83203125" style="2" customWidth="1"/>
    <col min="7686" max="7686" width="19.83203125" style="2" customWidth="1"/>
    <col min="7687" max="7688" width="15.83203125" style="2" customWidth="1"/>
    <col min="7689" max="7689" width="10.83203125" style="2"/>
    <col min="7690" max="7690" width="16.83203125" style="2" customWidth="1"/>
    <col min="7691" max="7691" width="7.83203125" style="2" customWidth="1"/>
    <col min="7692" max="7937" width="8.83203125" style="2" customWidth="1"/>
    <col min="7938" max="7938" width="20.83203125" style="2" customWidth="1"/>
    <col min="7939" max="7939" width="22.83203125" style="2" customWidth="1"/>
    <col min="7940" max="7940" width="15.83203125" style="2" customWidth="1"/>
    <col min="7941" max="7941" width="12.83203125" style="2" customWidth="1"/>
    <col min="7942" max="7942" width="19.83203125" style="2" customWidth="1"/>
    <col min="7943" max="7944" width="15.83203125" style="2" customWidth="1"/>
    <col min="7945" max="7945" width="10.83203125" style="2"/>
    <col min="7946" max="7946" width="16.83203125" style="2" customWidth="1"/>
    <col min="7947" max="7947" width="7.83203125" style="2" customWidth="1"/>
    <col min="7948" max="8193" width="8.83203125" style="2" customWidth="1"/>
    <col min="8194" max="8194" width="20.83203125" style="2" customWidth="1"/>
    <col min="8195" max="8195" width="22.83203125" style="2" customWidth="1"/>
    <col min="8196" max="8196" width="15.83203125" style="2" customWidth="1"/>
    <col min="8197" max="8197" width="12.83203125" style="2" customWidth="1"/>
    <col min="8198" max="8198" width="19.83203125" style="2" customWidth="1"/>
    <col min="8199" max="8200" width="15.83203125" style="2" customWidth="1"/>
    <col min="8201" max="8201" width="10.83203125" style="2"/>
    <col min="8202" max="8202" width="16.83203125" style="2" customWidth="1"/>
    <col min="8203" max="8203" width="7.83203125" style="2" customWidth="1"/>
    <col min="8204" max="8449" width="8.83203125" style="2" customWidth="1"/>
    <col min="8450" max="8450" width="20.83203125" style="2" customWidth="1"/>
    <col min="8451" max="8451" width="22.83203125" style="2" customWidth="1"/>
    <col min="8452" max="8452" width="15.83203125" style="2" customWidth="1"/>
    <col min="8453" max="8453" width="12.83203125" style="2" customWidth="1"/>
    <col min="8454" max="8454" width="19.83203125" style="2" customWidth="1"/>
    <col min="8455" max="8456" width="15.83203125" style="2" customWidth="1"/>
    <col min="8457" max="8457" width="10.83203125" style="2"/>
    <col min="8458" max="8458" width="16.83203125" style="2" customWidth="1"/>
    <col min="8459" max="8459" width="7.83203125" style="2" customWidth="1"/>
    <col min="8460" max="8705" width="8.83203125" style="2" customWidth="1"/>
    <col min="8706" max="8706" width="20.83203125" style="2" customWidth="1"/>
    <col min="8707" max="8707" width="22.83203125" style="2" customWidth="1"/>
    <col min="8708" max="8708" width="15.83203125" style="2" customWidth="1"/>
    <col min="8709" max="8709" width="12.83203125" style="2" customWidth="1"/>
    <col min="8710" max="8710" width="19.83203125" style="2" customWidth="1"/>
    <col min="8711" max="8712" width="15.83203125" style="2" customWidth="1"/>
    <col min="8713" max="8713" width="10.83203125" style="2"/>
    <col min="8714" max="8714" width="16.83203125" style="2" customWidth="1"/>
    <col min="8715" max="8715" width="7.83203125" style="2" customWidth="1"/>
    <col min="8716" max="8961" width="8.83203125" style="2" customWidth="1"/>
    <col min="8962" max="8962" width="20.83203125" style="2" customWidth="1"/>
    <col min="8963" max="8963" width="22.83203125" style="2" customWidth="1"/>
    <col min="8964" max="8964" width="15.83203125" style="2" customWidth="1"/>
    <col min="8965" max="8965" width="12.83203125" style="2" customWidth="1"/>
    <col min="8966" max="8966" width="19.83203125" style="2" customWidth="1"/>
    <col min="8967" max="8968" width="15.83203125" style="2" customWidth="1"/>
    <col min="8969" max="8969" width="10.83203125" style="2"/>
    <col min="8970" max="8970" width="16.83203125" style="2" customWidth="1"/>
    <col min="8971" max="8971" width="7.83203125" style="2" customWidth="1"/>
    <col min="8972" max="9217" width="8.83203125" style="2" customWidth="1"/>
    <col min="9218" max="9218" width="20.83203125" style="2" customWidth="1"/>
    <col min="9219" max="9219" width="22.83203125" style="2" customWidth="1"/>
    <col min="9220" max="9220" width="15.83203125" style="2" customWidth="1"/>
    <col min="9221" max="9221" width="12.83203125" style="2" customWidth="1"/>
    <col min="9222" max="9222" width="19.83203125" style="2" customWidth="1"/>
    <col min="9223" max="9224" width="15.83203125" style="2" customWidth="1"/>
    <col min="9225" max="9225" width="10.83203125" style="2"/>
    <col min="9226" max="9226" width="16.83203125" style="2" customWidth="1"/>
    <col min="9227" max="9227" width="7.83203125" style="2" customWidth="1"/>
    <col min="9228" max="9473" width="8.83203125" style="2" customWidth="1"/>
    <col min="9474" max="9474" width="20.83203125" style="2" customWidth="1"/>
    <col min="9475" max="9475" width="22.83203125" style="2" customWidth="1"/>
    <col min="9476" max="9476" width="15.83203125" style="2" customWidth="1"/>
    <col min="9477" max="9477" width="12.83203125" style="2" customWidth="1"/>
    <col min="9478" max="9478" width="19.83203125" style="2" customWidth="1"/>
    <col min="9479" max="9480" width="15.83203125" style="2" customWidth="1"/>
    <col min="9481" max="9481" width="10.83203125" style="2"/>
    <col min="9482" max="9482" width="16.83203125" style="2" customWidth="1"/>
    <col min="9483" max="9483" width="7.83203125" style="2" customWidth="1"/>
    <col min="9484" max="9729" width="8.83203125" style="2" customWidth="1"/>
    <col min="9730" max="9730" width="20.83203125" style="2" customWidth="1"/>
    <col min="9731" max="9731" width="22.83203125" style="2" customWidth="1"/>
    <col min="9732" max="9732" width="15.83203125" style="2" customWidth="1"/>
    <col min="9733" max="9733" width="12.83203125" style="2" customWidth="1"/>
    <col min="9734" max="9734" width="19.83203125" style="2" customWidth="1"/>
    <col min="9735" max="9736" width="15.83203125" style="2" customWidth="1"/>
    <col min="9737" max="9737" width="10.83203125" style="2"/>
    <col min="9738" max="9738" width="16.83203125" style="2" customWidth="1"/>
    <col min="9739" max="9739" width="7.83203125" style="2" customWidth="1"/>
    <col min="9740" max="9985" width="8.83203125" style="2" customWidth="1"/>
    <col min="9986" max="9986" width="20.83203125" style="2" customWidth="1"/>
    <col min="9987" max="9987" width="22.83203125" style="2" customWidth="1"/>
    <col min="9988" max="9988" width="15.83203125" style="2" customWidth="1"/>
    <col min="9989" max="9989" width="12.83203125" style="2" customWidth="1"/>
    <col min="9990" max="9990" width="19.83203125" style="2" customWidth="1"/>
    <col min="9991" max="9992" width="15.83203125" style="2" customWidth="1"/>
    <col min="9993" max="9993" width="10.83203125" style="2"/>
    <col min="9994" max="9994" width="16.83203125" style="2" customWidth="1"/>
    <col min="9995" max="9995" width="7.83203125" style="2" customWidth="1"/>
    <col min="9996" max="10241" width="8.83203125" style="2" customWidth="1"/>
    <col min="10242" max="10242" width="20.83203125" style="2" customWidth="1"/>
    <col min="10243" max="10243" width="22.83203125" style="2" customWidth="1"/>
    <col min="10244" max="10244" width="15.83203125" style="2" customWidth="1"/>
    <col min="10245" max="10245" width="12.83203125" style="2" customWidth="1"/>
    <col min="10246" max="10246" width="19.83203125" style="2" customWidth="1"/>
    <col min="10247" max="10248" width="15.83203125" style="2" customWidth="1"/>
    <col min="10249" max="10249" width="10.83203125" style="2"/>
    <col min="10250" max="10250" width="16.83203125" style="2" customWidth="1"/>
    <col min="10251" max="10251" width="7.83203125" style="2" customWidth="1"/>
    <col min="10252" max="10497" width="8.83203125" style="2" customWidth="1"/>
    <col min="10498" max="10498" width="20.83203125" style="2" customWidth="1"/>
    <col min="10499" max="10499" width="22.83203125" style="2" customWidth="1"/>
    <col min="10500" max="10500" width="15.83203125" style="2" customWidth="1"/>
    <col min="10501" max="10501" width="12.83203125" style="2" customWidth="1"/>
    <col min="10502" max="10502" width="19.83203125" style="2" customWidth="1"/>
    <col min="10503" max="10504" width="15.83203125" style="2" customWidth="1"/>
    <col min="10505" max="10505" width="10.83203125" style="2"/>
    <col min="10506" max="10506" width="16.83203125" style="2" customWidth="1"/>
    <col min="10507" max="10507" width="7.83203125" style="2" customWidth="1"/>
    <col min="10508" max="10753" width="8.83203125" style="2" customWidth="1"/>
    <col min="10754" max="10754" width="20.83203125" style="2" customWidth="1"/>
    <col min="10755" max="10755" width="22.83203125" style="2" customWidth="1"/>
    <col min="10756" max="10756" width="15.83203125" style="2" customWidth="1"/>
    <col min="10757" max="10757" width="12.83203125" style="2" customWidth="1"/>
    <col min="10758" max="10758" width="19.83203125" style="2" customWidth="1"/>
    <col min="10759" max="10760" width="15.83203125" style="2" customWidth="1"/>
    <col min="10761" max="10761" width="10.83203125" style="2"/>
    <col min="10762" max="10762" width="16.83203125" style="2" customWidth="1"/>
    <col min="10763" max="10763" width="7.83203125" style="2" customWidth="1"/>
    <col min="10764" max="11009" width="8.83203125" style="2" customWidth="1"/>
    <col min="11010" max="11010" width="20.83203125" style="2" customWidth="1"/>
    <col min="11011" max="11011" width="22.83203125" style="2" customWidth="1"/>
    <col min="11012" max="11012" width="15.83203125" style="2" customWidth="1"/>
    <col min="11013" max="11013" width="12.83203125" style="2" customWidth="1"/>
    <col min="11014" max="11014" width="19.83203125" style="2" customWidth="1"/>
    <col min="11015" max="11016" width="15.83203125" style="2" customWidth="1"/>
    <col min="11017" max="11017" width="10.83203125" style="2"/>
    <col min="11018" max="11018" width="16.83203125" style="2" customWidth="1"/>
    <col min="11019" max="11019" width="7.83203125" style="2" customWidth="1"/>
    <col min="11020" max="11265" width="8.83203125" style="2" customWidth="1"/>
    <col min="11266" max="11266" width="20.83203125" style="2" customWidth="1"/>
    <col min="11267" max="11267" width="22.83203125" style="2" customWidth="1"/>
    <col min="11268" max="11268" width="15.83203125" style="2" customWidth="1"/>
    <col min="11269" max="11269" width="12.83203125" style="2" customWidth="1"/>
    <col min="11270" max="11270" width="19.83203125" style="2" customWidth="1"/>
    <col min="11271" max="11272" width="15.83203125" style="2" customWidth="1"/>
    <col min="11273" max="11273" width="10.83203125" style="2"/>
    <col min="11274" max="11274" width="16.83203125" style="2" customWidth="1"/>
    <col min="11275" max="11275" width="7.83203125" style="2" customWidth="1"/>
    <col min="11276" max="11521" width="8.83203125" style="2" customWidth="1"/>
    <col min="11522" max="11522" width="20.83203125" style="2" customWidth="1"/>
    <col min="11523" max="11523" width="22.83203125" style="2" customWidth="1"/>
    <col min="11524" max="11524" width="15.83203125" style="2" customWidth="1"/>
    <col min="11525" max="11525" width="12.83203125" style="2" customWidth="1"/>
    <col min="11526" max="11526" width="19.83203125" style="2" customWidth="1"/>
    <col min="11527" max="11528" width="15.83203125" style="2" customWidth="1"/>
    <col min="11529" max="11529" width="10.83203125" style="2"/>
    <col min="11530" max="11530" width="16.83203125" style="2" customWidth="1"/>
    <col min="11531" max="11531" width="7.83203125" style="2" customWidth="1"/>
    <col min="11532" max="11777" width="8.83203125" style="2" customWidth="1"/>
    <col min="11778" max="11778" width="20.83203125" style="2" customWidth="1"/>
    <col min="11779" max="11779" width="22.83203125" style="2" customWidth="1"/>
    <col min="11780" max="11780" width="15.83203125" style="2" customWidth="1"/>
    <col min="11781" max="11781" width="12.83203125" style="2" customWidth="1"/>
    <col min="11782" max="11782" width="19.83203125" style="2" customWidth="1"/>
    <col min="11783" max="11784" width="15.83203125" style="2" customWidth="1"/>
    <col min="11785" max="11785" width="10.83203125" style="2"/>
    <col min="11786" max="11786" width="16.83203125" style="2" customWidth="1"/>
    <col min="11787" max="11787" width="7.83203125" style="2" customWidth="1"/>
    <col min="11788" max="12033" width="8.83203125" style="2" customWidth="1"/>
    <col min="12034" max="12034" width="20.83203125" style="2" customWidth="1"/>
    <col min="12035" max="12035" width="22.83203125" style="2" customWidth="1"/>
    <col min="12036" max="12036" width="15.83203125" style="2" customWidth="1"/>
    <col min="12037" max="12037" width="12.83203125" style="2" customWidth="1"/>
    <col min="12038" max="12038" width="19.83203125" style="2" customWidth="1"/>
    <col min="12039" max="12040" width="15.83203125" style="2" customWidth="1"/>
    <col min="12041" max="12041" width="10.83203125" style="2"/>
    <col min="12042" max="12042" width="16.83203125" style="2" customWidth="1"/>
    <col min="12043" max="12043" width="7.83203125" style="2" customWidth="1"/>
    <col min="12044" max="12289" width="8.83203125" style="2" customWidth="1"/>
    <col min="12290" max="12290" width="20.83203125" style="2" customWidth="1"/>
    <col min="12291" max="12291" width="22.83203125" style="2" customWidth="1"/>
    <col min="12292" max="12292" width="15.83203125" style="2" customWidth="1"/>
    <col min="12293" max="12293" width="12.83203125" style="2" customWidth="1"/>
    <col min="12294" max="12294" width="19.83203125" style="2" customWidth="1"/>
    <col min="12295" max="12296" width="15.83203125" style="2" customWidth="1"/>
    <col min="12297" max="12297" width="10.83203125" style="2"/>
    <col min="12298" max="12298" width="16.83203125" style="2" customWidth="1"/>
    <col min="12299" max="12299" width="7.83203125" style="2" customWidth="1"/>
    <col min="12300" max="12545" width="8.83203125" style="2" customWidth="1"/>
    <col min="12546" max="12546" width="20.83203125" style="2" customWidth="1"/>
    <col min="12547" max="12547" width="22.83203125" style="2" customWidth="1"/>
    <col min="12548" max="12548" width="15.83203125" style="2" customWidth="1"/>
    <col min="12549" max="12549" width="12.83203125" style="2" customWidth="1"/>
    <col min="12550" max="12550" width="19.83203125" style="2" customWidth="1"/>
    <col min="12551" max="12552" width="15.83203125" style="2" customWidth="1"/>
    <col min="12553" max="12553" width="10.83203125" style="2"/>
    <col min="12554" max="12554" width="16.83203125" style="2" customWidth="1"/>
    <col min="12555" max="12555" width="7.83203125" style="2" customWidth="1"/>
    <col min="12556" max="12801" width="8.83203125" style="2" customWidth="1"/>
    <col min="12802" max="12802" width="20.83203125" style="2" customWidth="1"/>
    <col min="12803" max="12803" width="22.83203125" style="2" customWidth="1"/>
    <col min="12804" max="12804" width="15.83203125" style="2" customWidth="1"/>
    <col min="12805" max="12805" width="12.83203125" style="2" customWidth="1"/>
    <col min="12806" max="12806" width="19.83203125" style="2" customWidth="1"/>
    <col min="12807" max="12808" width="15.83203125" style="2" customWidth="1"/>
    <col min="12809" max="12809" width="10.83203125" style="2"/>
    <col min="12810" max="12810" width="16.83203125" style="2" customWidth="1"/>
    <col min="12811" max="12811" width="7.83203125" style="2" customWidth="1"/>
    <col min="12812" max="13057" width="8.83203125" style="2" customWidth="1"/>
    <col min="13058" max="13058" width="20.83203125" style="2" customWidth="1"/>
    <col min="13059" max="13059" width="22.83203125" style="2" customWidth="1"/>
    <col min="13060" max="13060" width="15.83203125" style="2" customWidth="1"/>
    <col min="13061" max="13061" width="12.83203125" style="2" customWidth="1"/>
    <col min="13062" max="13062" width="19.83203125" style="2" customWidth="1"/>
    <col min="13063" max="13064" width="15.83203125" style="2" customWidth="1"/>
    <col min="13065" max="13065" width="10.83203125" style="2"/>
    <col min="13066" max="13066" width="16.83203125" style="2" customWidth="1"/>
    <col min="13067" max="13067" width="7.83203125" style="2" customWidth="1"/>
    <col min="13068" max="13313" width="8.83203125" style="2" customWidth="1"/>
    <col min="13314" max="13314" width="20.83203125" style="2" customWidth="1"/>
    <col min="13315" max="13315" width="22.83203125" style="2" customWidth="1"/>
    <col min="13316" max="13316" width="15.83203125" style="2" customWidth="1"/>
    <col min="13317" max="13317" width="12.83203125" style="2" customWidth="1"/>
    <col min="13318" max="13318" width="19.83203125" style="2" customWidth="1"/>
    <col min="13319" max="13320" width="15.83203125" style="2" customWidth="1"/>
    <col min="13321" max="13321" width="10.83203125" style="2"/>
    <col min="13322" max="13322" width="16.83203125" style="2" customWidth="1"/>
    <col min="13323" max="13323" width="7.83203125" style="2" customWidth="1"/>
    <col min="13324" max="13569" width="8.83203125" style="2" customWidth="1"/>
    <col min="13570" max="13570" width="20.83203125" style="2" customWidth="1"/>
    <col min="13571" max="13571" width="22.83203125" style="2" customWidth="1"/>
    <col min="13572" max="13572" width="15.83203125" style="2" customWidth="1"/>
    <col min="13573" max="13573" width="12.83203125" style="2" customWidth="1"/>
    <col min="13574" max="13574" width="19.83203125" style="2" customWidth="1"/>
    <col min="13575" max="13576" width="15.83203125" style="2" customWidth="1"/>
    <col min="13577" max="13577" width="10.83203125" style="2"/>
    <col min="13578" max="13578" width="16.83203125" style="2" customWidth="1"/>
    <col min="13579" max="13579" width="7.83203125" style="2" customWidth="1"/>
    <col min="13580" max="13825" width="8.83203125" style="2" customWidth="1"/>
    <col min="13826" max="13826" width="20.83203125" style="2" customWidth="1"/>
    <col min="13827" max="13827" width="22.83203125" style="2" customWidth="1"/>
    <col min="13828" max="13828" width="15.83203125" style="2" customWidth="1"/>
    <col min="13829" max="13829" width="12.83203125" style="2" customWidth="1"/>
    <col min="13830" max="13830" width="19.83203125" style="2" customWidth="1"/>
    <col min="13831" max="13832" width="15.83203125" style="2" customWidth="1"/>
    <col min="13833" max="13833" width="10.83203125" style="2"/>
    <col min="13834" max="13834" width="16.83203125" style="2" customWidth="1"/>
    <col min="13835" max="13835" width="7.83203125" style="2" customWidth="1"/>
    <col min="13836" max="14081" width="8.83203125" style="2" customWidth="1"/>
    <col min="14082" max="14082" width="20.83203125" style="2" customWidth="1"/>
    <col min="14083" max="14083" width="22.83203125" style="2" customWidth="1"/>
    <col min="14084" max="14084" width="15.83203125" style="2" customWidth="1"/>
    <col min="14085" max="14085" width="12.83203125" style="2" customWidth="1"/>
    <col min="14086" max="14086" width="19.83203125" style="2" customWidth="1"/>
    <col min="14087" max="14088" width="15.83203125" style="2" customWidth="1"/>
    <col min="14089" max="14089" width="10.83203125" style="2"/>
    <col min="14090" max="14090" width="16.83203125" style="2" customWidth="1"/>
    <col min="14091" max="14091" width="7.83203125" style="2" customWidth="1"/>
    <col min="14092" max="14337" width="8.83203125" style="2" customWidth="1"/>
    <col min="14338" max="14338" width="20.83203125" style="2" customWidth="1"/>
    <col min="14339" max="14339" width="22.83203125" style="2" customWidth="1"/>
    <col min="14340" max="14340" width="15.83203125" style="2" customWidth="1"/>
    <col min="14341" max="14341" width="12.83203125" style="2" customWidth="1"/>
    <col min="14342" max="14342" width="19.83203125" style="2" customWidth="1"/>
    <col min="14343" max="14344" width="15.83203125" style="2" customWidth="1"/>
    <col min="14345" max="14345" width="10.83203125" style="2"/>
    <col min="14346" max="14346" width="16.83203125" style="2" customWidth="1"/>
    <col min="14347" max="14347" width="7.83203125" style="2" customWidth="1"/>
    <col min="14348" max="14593" width="8.83203125" style="2" customWidth="1"/>
    <col min="14594" max="14594" width="20.83203125" style="2" customWidth="1"/>
    <col min="14595" max="14595" width="22.83203125" style="2" customWidth="1"/>
    <col min="14596" max="14596" width="15.83203125" style="2" customWidth="1"/>
    <col min="14597" max="14597" width="12.83203125" style="2" customWidth="1"/>
    <col min="14598" max="14598" width="19.83203125" style="2" customWidth="1"/>
    <col min="14599" max="14600" width="15.83203125" style="2" customWidth="1"/>
    <col min="14601" max="14601" width="10.83203125" style="2"/>
    <col min="14602" max="14602" width="16.83203125" style="2" customWidth="1"/>
    <col min="14603" max="14603" width="7.83203125" style="2" customWidth="1"/>
    <col min="14604" max="14849" width="8.83203125" style="2" customWidth="1"/>
    <col min="14850" max="14850" width="20.83203125" style="2" customWidth="1"/>
    <col min="14851" max="14851" width="22.83203125" style="2" customWidth="1"/>
    <col min="14852" max="14852" width="15.83203125" style="2" customWidth="1"/>
    <col min="14853" max="14853" width="12.83203125" style="2" customWidth="1"/>
    <col min="14854" max="14854" width="19.83203125" style="2" customWidth="1"/>
    <col min="14855" max="14856" width="15.83203125" style="2" customWidth="1"/>
    <col min="14857" max="14857" width="10.83203125" style="2"/>
    <col min="14858" max="14858" width="16.83203125" style="2" customWidth="1"/>
    <col min="14859" max="14859" width="7.83203125" style="2" customWidth="1"/>
    <col min="14860" max="15105" width="8.83203125" style="2" customWidth="1"/>
    <col min="15106" max="15106" width="20.83203125" style="2" customWidth="1"/>
    <col min="15107" max="15107" width="22.83203125" style="2" customWidth="1"/>
    <col min="15108" max="15108" width="15.83203125" style="2" customWidth="1"/>
    <col min="15109" max="15109" width="12.83203125" style="2" customWidth="1"/>
    <col min="15110" max="15110" width="19.83203125" style="2" customWidth="1"/>
    <col min="15111" max="15112" width="15.83203125" style="2" customWidth="1"/>
    <col min="15113" max="15113" width="10.83203125" style="2"/>
    <col min="15114" max="15114" width="16.83203125" style="2" customWidth="1"/>
    <col min="15115" max="15115" width="7.83203125" style="2" customWidth="1"/>
    <col min="15116" max="15361" width="8.83203125" style="2" customWidth="1"/>
    <col min="15362" max="15362" width="20.83203125" style="2" customWidth="1"/>
    <col min="15363" max="15363" width="22.83203125" style="2" customWidth="1"/>
    <col min="15364" max="15364" width="15.83203125" style="2" customWidth="1"/>
    <col min="15365" max="15365" width="12.83203125" style="2" customWidth="1"/>
    <col min="15366" max="15366" width="19.83203125" style="2" customWidth="1"/>
    <col min="15367" max="15368" width="15.83203125" style="2" customWidth="1"/>
    <col min="15369" max="15369" width="10.83203125" style="2"/>
    <col min="15370" max="15370" width="16.83203125" style="2" customWidth="1"/>
    <col min="15371" max="15371" width="7.83203125" style="2" customWidth="1"/>
    <col min="15372" max="15617" width="8.83203125" style="2" customWidth="1"/>
    <col min="15618" max="15618" width="20.83203125" style="2" customWidth="1"/>
    <col min="15619" max="15619" width="22.83203125" style="2" customWidth="1"/>
    <col min="15620" max="15620" width="15.83203125" style="2" customWidth="1"/>
    <col min="15621" max="15621" width="12.83203125" style="2" customWidth="1"/>
    <col min="15622" max="15622" width="19.83203125" style="2" customWidth="1"/>
    <col min="15623" max="15624" width="15.83203125" style="2" customWidth="1"/>
    <col min="15625" max="15625" width="10.83203125" style="2"/>
    <col min="15626" max="15626" width="16.83203125" style="2" customWidth="1"/>
    <col min="15627" max="15627" width="7.83203125" style="2" customWidth="1"/>
    <col min="15628" max="15873" width="8.83203125" style="2" customWidth="1"/>
    <col min="15874" max="15874" width="20.83203125" style="2" customWidth="1"/>
    <col min="15875" max="15875" width="22.83203125" style="2" customWidth="1"/>
    <col min="15876" max="15876" width="15.83203125" style="2" customWidth="1"/>
    <col min="15877" max="15877" width="12.83203125" style="2" customWidth="1"/>
    <col min="15878" max="15878" width="19.83203125" style="2" customWidth="1"/>
    <col min="15879" max="15880" width="15.83203125" style="2" customWidth="1"/>
    <col min="15881" max="15881" width="10.83203125" style="2"/>
    <col min="15882" max="15882" width="16.83203125" style="2" customWidth="1"/>
    <col min="15883" max="15883" width="7.83203125" style="2" customWidth="1"/>
    <col min="15884" max="16129" width="8.83203125" style="2" customWidth="1"/>
    <col min="16130" max="16130" width="20.83203125" style="2" customWidth="1"/>
    <col min="16131" max="16131" width="22.83203125" style="2" customWidth="1"/>
    <col min="16132" max="16132" width="15.83203125" style="2" customWidth="1"/>
    <col min="16133" max="16133" width="12.83203125" style="2" customWidth="1"/>
    <col min="16134" max="16134" width="19.83203125" style="2" customWidth="1"/>
    <col min="16135" max="16136" width="15.83203125" style="2" customWidth="1"/>
    <col min="16137" max="16137" width="10.83203125" style="2"/>
    <col min="16138" max="16138" width="16.83203125" style="2" customWidth="1"/>
    <col min="16139" max="16139" width="7.83203125" style="2" customWidth="1"/>
    <col min="16140" max="16384" width="8.83203125" style="2" customWidth="1"/>
  </cols>
  <sheetData>
    <row r="5" spans="1:256" ht="17">
      <c r="A5" s="1" t="s">
        <v>466</v>
      </c>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32"/>
      <c r="IV5" s="32"/>
    </row>
    <row r="7" spans="1:256" ht="24">
      <c r="A7" s="3" t="s">
        <v>467</v>
      </c>
      <c r="B7" s="4" t="s">
        <v>251</v>
      </c>
      <c r="C7" s="32" t="s">
        <v>252</v>
      </c>
      <c r="D7" s="32"/>
      <c r="E7" s="4" t="s">
        <v>263</v>
      </c>
      <c r="F7" s="32" t="s">
        <v>468</v>
      </c>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32"/>
      <c r="IV7" s="32"/>
    </row>
    <row r="8" spans="1:256">
      <c r="A8" s="5"/>
      <c r="B8" s="4" t="s">
        <v>255</v>
      </c>
      <c r="C8" s="32" t="s">
        <v>256</v>
      </c>
      <c r="D8" s="32"/>
      <c r="E8" s="4" t="s">
        <v>257</v>
      </c>
      <c r="F8" s="32" t="s">
        <v>258</v>
      </c>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32"/>
      <c r="IV8" s="32"/>
    </row>
    <row r="9" spans="1:256">
      <c r="A9" s="5"/>
      <c r="B9" s="4" t="s">
        <v>259</v>
      </c>
      <c r="C9" s="32" t="s">
        <v>260</v>
      </c>
      <c r="D9" s="32"/>
      <c r="E9" s="4" t="s">
        <v>261</v>
      </c>
      <c r="F9" s="6" t="s">
        <v>262</v>
      </c>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32"/>
      <c r="IV9" s="32"/>
    </row>
    <row r="12" spans="1:256">
      <c r="A12" s="8" t="s">
        <v>469</v>
      </c>
      <c r="B12" s="8"/>
      <c r="C12" s="8"/>
      <c r="D12" s="8"/>
      <c r="E12" s="8"/>
      <c r="F12" s="8"/>
      <c r="G12" s="8"/>
      <c r="H12" s="8"/>
      <c r="I12" s="8"/>
      <c r="J12" s="8"/>
      <c r="K12" s="32"/>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9"/>
      <c r="IS12" s="9"/>
      <c r="IT12" s="9"/>
      <c r="IU12" s="9"/>
      <c r="IV12" s="9"/>
    </row>
    <row r="13" spans="1:256" ht="30">
      <c r="A13" s="34" t="s">
        <v>470</v>
      </c>
      <c r="B13" s="34" t="s">
        <v>471</v>
      </c>
      <c r="C13" s="35" t="s">
        <v>472</v>
      </c>
      <c r="D13" s="35" t="s">
        <v>473</v>
      </c>
      <c r="E13" s="35" t="s">
        <v>474</v>
      </c>
      <c r="F13" s="35" t="s">
        <v>475</v>
      </c>
      <c r="G13" s="35" t="s">
        <v>476</v>
      </c>
      <c r="H13" s="35" t="s">
        <v>477</v>
      </c>
      <c r="I13" s="35" t="s">
        <v>478</v>
      </c>
      <c r="J13" s="35" t="s">
        <v>479</v>
      </c>
      <c r="K13" s="35" t="s">
        <v>480</v>
      </c>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32"/>
      <c r="IV13" s="32"/>
    </row>
    <row r="14" spans="1:256" ht="24">
      <c r="A14" s="347" t="s">
        <v>481</v>
      </c>
      <c r="B14" s="347" t="s">
        <v>482</v>
      </c>
      <c r="C14" s="36">
        <v>211.7</v>
      </c>
      <c r="D14" s="36">
        <f>C14/$C$19</f>
        <v>0.17491531025365611</v>
      </c>
      <c r="E14" s="344">
        <f>0.375%</f>
        <v>3.7499999999999999E-3</v>
      </c>
      <c r="F14" s="37" t="s">
        <v>242</v>
      </c>
      <c r="G14" s="38">
        <v>44621</v>
      </c>
      <c r="H14" s="37" t="s">
        <v>483</v>
      </c>
      <c r="I14" s="37" t="s">
        <v>484</v>
      </c>
      <c r="J14" s="37" t="s">
        <v>479</v>
      </c>
      <c r="K14" s="37" t="s">
        <v>274</v>
      </c>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32"/>
      <c r="IV14" s="32"/>
    </row>
    <row r="15" spans="1:256" ht="24">
      <c r="A15" s="347" t="s">
        <v>485</v>
      </c>
      <c r="B15" s="347" t="s">
        <v>482</v>
      </c>
      <c r="C15" s="36">
        <v>862.5</v>
      </c>
      <c r="D15" s="36">
        <f t="shared" ref="D15:D16" si="0">C15/$C$19</f>
        <v>0.71263323143022395</v>
      </c>
      <c r="E15" s="344">
        <f>0.5%</f>
        <v>5.0000000000000001E-3</v>
      </c>
      <c r="F15" s="37" t="s">
        <v>242</v>
      </c>
      <c r="G15" s="38">
        <v>45061</v>
      </c>
      <c r="H15" s="37" t="s">
        <v>483</v>
      </c>
      <c r="I15" s="37" t="s">
        <v>484</v>
      </c>
      <c r="J15" s="37" t="s">
        <v>479</v>
      </c>
      <c r="K15" s="37" t="s">
        <v>274</v>
      </c>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32"/>
      <c r="IV15" s="32"/>
    </row>
    <row r="16" spans="1:256" ht="12">
      <c r="A16" s="347" t="s">
        <v>486</v>
      </c>
      <c r="B16" s="347" t="s">
        <v>487</v>
      </c>
      <c r="C16" s="36">
        <v>136.1</v>
      </c>
      <c r="D16" s="36">
        <f t="shared" si="0"/>
        <v>0.11245145831611997</v>
      </c>
      <c r="E16" s="344">
        <f>4%</f>
        <v>0.04</v>
      </c>
      <c r="F16" s="37" t="s">
        <v>242</v>
      </c>
      <c r="G16" s="37" t="s">
        <v>39</v>
      </c>
      <c r="H16" s="37" t="s">
        <v>483</v>
      </c>
      <c r="I16" s="37" t="s">
        <v>488</v>
      </c>
      <c r="J16" s="37" t="s">
        <v>484</v>
      </c>
      <c r="K16" s="37" t="s">
        <v>274</v>
      </c>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32"/>
      <c r="IV16" s="32"/>
    </row>
    <row r="17" spans="1:256" ht="12">
      <c r="A17" s="347" t="s">
        <v>489</v>
      </c>
      <c r="B17" s="347" t="s">
        <v>487</v>
      </c>
      <c r="C17" s="36">
        <v>2.4</v>
      </c>
      <c r="D17" s="36"/>
      <c r="E17" s="37" t="s">
        <v>242</v>
      </c>
      <c r="F17" s="37" t="s">
        <v>242</v>
      </c>
      <c r="G17" s="37">
        <v>2020</v>
      </c>
      <c r="H17" s="37" t="s">
        <v>483</v>
      </c>
      <c r="I17" s="37" t="s">
        <v>488</v>
      </c>
      <c r="J17" s="37" t="s">
        <v>484</v>
      </c>
      <c r="K17" s="37" t="s">
        <v>274</v>
      </c>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32"/>
      <c r="IV17" s="32"/>
    </row>
    <row r="18" spans="1:256" ht="12">
      <c r="A18" s="347" t="s">
        <v>490</v>
      </c>
      <c r="B18" s="347" t="s">
        <v>491</v>
      </c>
      <c r="C18" s="37" t="s">
        <v>39</v>
      </c>
      <c r="D18" s="37"/>
      <c r="E18" s="37" t="s">
        <v>242</v>
      </c>
      <c r="F18" s="37" t="s">
        <v>492</v>
      </c>
      <c r="G18" s="38">
        <v>43952</v>
      </c>
      <c r="H18" s="37" t="s">
        <v>483</v>
      </c>
      <c r="I18" s="37" t="s">
        <v>488</v>
      </c>
      <c r="J18" s="37" t="s">
        <v>484</v>
      </c>
      <c r="K18" s="37" t="s">
        <v>274</v>
      </c>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32"/>
      <c r="IV18" s="32"/>
    </row>
    <row r="19" spans="1:256" ht="12">
      <c r="A19" s="39"/>
      <c r="B19" s="39"/>
      <c r="C19" s="345">
        <f>SUM(C14:C16)</f>
        <v>1210.3</v>
      </c>
      <c r="D19" s="39" t="s">
        <v>493</v>
      </c>
      <c r="E19" s="343">
        <f>SUMPRODUCT(D14:D16,E14:E16)</f>
        <v>8.7171569032471301E-3</v>
      </c>
      <c r="F19" s="39"/>
      <c r="G19" s="39"/>
      <c r="H19" s="39"/>
      <c r="I19" s="39"/>
      <c r="J19" s="39"/>
      <c r="K19" s="39"/>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32"/>
      <c r="IV19" s="32"/>
    </row>
    <row r="23" spans="1:256">
      <c r="A23" s="8" t="s">
        <v>494</v>
      </c>
      <c r="B23" s="8"/>
      <c r="C23" s="8"/>
      <c r="D23" s="8"/>
      <c r="E23" s="8"/>
      <c r="F23" s="8"/>
      <c r="G23" s="8"/>
      <c r="H23" s="8"/>
      <c r="I23" s="8"/>
      <c r="J23" s="8"/>
      <c r="K23" s="32"/>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c r="IQ23" s="9"/>
      <c r="IR23" s="9"/>
      <c r="IS23" s="9"/>
      <c r="IT23" s="9"/>
      <c r="IU23" s="9"/>
      <c r="IV23" s="9"/>
    </row>
    <row r="24" spans="1:256" ht="30">
      <c r="A24" s="34" t="s">
        <v>470</v>
      </c>
      <c r="B24" s="34" t="s">
        <v>471</v>
      </c>
      <c r="C24" s="35" t="s">
        <v>472</v>
      </c>
      <c r="D24" s="35"/>
      <c r="E24" s="35" t="s">
        <v>474</v>
      </c>
      <c r="F24" s="35" t="s">
        <v>475</v>
      </c>
      <c r="G24" s="35" t="s">
        <v>476</v>
      </c>
      <c r="H24" s="35" t="s">
        <v>477</v>
      </c>
      <c r="I24" s="35" t="s">
        <v>478</v>
      </c>
      <c r="J24" s="35" t="s">
        <v>479</v>
      </c>
      <c r="K24" s="35" t="s">
        <v>480</v>
      </c>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32"/>
      <c r="IV24" s="32"/>
    </row>
    <row r="25" spans="1:256" ht="24">
      <c r="A25" s="347" t="s">
        <v>481</v>
      </c>
      <c r="B25" s="347" t="s">
        <v>482</v>
      </c>
      <c r="C25" s="36">
        <v>211.7</v>
      </c>
      <c r="D25" s="36"/>
      <c r="E25" s="37" t="s">
        <v>495</v>
      </c>
      <c r="F25" s="37" t="s">
        <v>242</v>
      </c>
      <c r="G25" s="38">
        <v>44621</v>
      </c>
      <c r="H25" s="37" t="s">
        <v>483</v>
      </c>
      <c r="I25" s="37" t="s">
        <v>484</v>
      </c>
      <c r="J25" s="37" t="s">
        <v>479</v>
      </c>
      <c r="K25" s="37" t="s">
        <v>274</v>
      </c>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32"/>
      <c r="IV25" s="32"/>
    </row>
    <row r="26" spans="1:256" ht="24">
      <c r="A26" s="347" t="s">
        <v>485</v>
      </c>
      <c r="B26" s="347" t="s">
        <v>482</v>
      </c>
      <c r="C26" s="36">
        <v>862.5</v>
      </c>
      <c r="D26" s="36"/>
      <c r="E26" s="37" t="s">
        <v>496</v>
      </c>
      <c r="F26" s="37" t="s">
        <v>242</v>
      </c>
      <c r="G26" s="38">
        <v>45061</v>
      </c>
      <c r="H26" s="37" t="s">
        <v>483</v>
      </c>
      <c r="I26" s="37" t="s">
        <v>484</v>
      </c>
      <c r="J26" s="37" t="s">
        <v>479</v>
      </c>
      <c r="K26" s="37" t="s">
        <v>274</v>
      </c>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32"/>
      <c r="IV26" s="32"/>
    </row>
    <row r="27" spans="1:256" ht="12">
      <c r="A27" s="347" t="s">
        <v>490</v>
      </c>
      <c r="B27" s="347" t="s">
        <v>491</v>
      </c>
      <c r="C27" s="37" t="s">
        <v>39</v>
      </c>
      <c r="D27" s="37"/>
      <c r="E27" s="37" t="s">
        <v>242</v>
      </c>
      <c r="F27" s="37" t="s">
        <v>492</v>
      </c>
      <c r="G27" s="38">
        <v>43952</v>
      </c>
      <c r="H27" s="37" t="s">
        <v>483</v>
      </c>
      <c r="I27" s="37" t="s">
        <v>488</v>
      </c>
      <c r="J27" s="37" t="s">
        <v>484</v>
      </c>
      <c r="K27" s="37" t="s">
        <v>274</v>
      </c>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32"/>
      <c r="IV27" s="32"/>
    </row>
    <row r="28" spans="1:256">
      <c r="A28" s="39"/>
      <c r="B28" s="39"/>
      <c r="C28" s="39"/>
      <c r="D28" s="39"/>
      <c r="E28" s="39"/>
      <c r="F28" s="39"/>
      <c r="G28" s="39"/>
      <c r="H28" s="39"/>
      <c r="I28" s="39"/>
      <c r="J28" s="39"/>
      <c r="K28" s="39"/>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32"/>
      <c r="IV28" s="32"/>
    </row>
    <row r="29" spans="1:256">
      <c r="A29" s="26" t="s">
        <v>362</v>
      </c>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32"/>
      <c r="IV29" s="32"/>
    </row>
  </sheetData>
  <phoneticPr fontId="35" type="noConversion"/>
  <pageMargins left="0.2" right="0.2" top="0.5" bottom="0.5" header="0.5" footer="0.5"/>
  <pageSetup scale="69" fitToWidth="0" fitToHeight="0" orientation="landscape" horizontalDpi="0" verticalDpi="0"/>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D62C6-7FB4-8F45-8702-15D9392E7986}">
  <sheetPr>
    <tabColor rgb="FF6985AA"/>
    <outlinePr summaryBelow="0" summaryRight="0"/>
    <pageSetUpPr autoPageBreaks="0"/>
  </sheetPr>
  <dimension ref="A6:IU457"/>
  <sheetViews>
    <sheetView zoomScale="60" zoomScaleNormal="60" workbookViewId="0">
      <selection activeCell="E135" sqref="E135"/>
    </sheetView>
  </sheetViews>
  <sheetFormatPr baseColWidth="10" defaultColWidth="11.5" defaultRowHeight="11"/>
  <cols>
    <col min="1" max="1" width="28.6640625" style="2" customWidth="1"/>
    <col min="2" max="81" width="20.83203125" style="2" customWidth="1"/>
    <col min="82" max="256" width="8.83203125" style="2" customWidth="1"/>
    <col min="257" max="257" width="28.6640625" style="2" customWidth="1"/>
    <col min="258" max="337" width="20.83203125" style="2" customWidth="1"/>
    <col min="338" max="512" width="8.83203125" style="2" customWidth="1"/>
    <col min="513" max="513" width="28.6640625" style="2" customWidth="1"/>
    <col min="514" max="593" width="20.83203125" style="2" customWidth="1"/>
    <col min="594" max="768" width="8.83203125" style="2" customWidth="1"/>
    <col min="769" max="769" width="28.6640625" style="2" customWidth="1"/>
    <col min="770" max="849" width="20.83203125" style="2" customWidth="1"/>
    <col min="850" max="1024" width="8.83203125" style="2" customWidth="1"/>
    <col min="1025" max="1025" width="28.6640625" style="2" customWidth="1"/>
    <col min="1026" max="1105" width="20.83203125" style="2" customWidth="1"/>
    <col min="1106" max="1280" width="8.83203125" style="2" customWidth="1"/>
    <col min="1281" max="1281" width="28.6640625" style="2" customWidth="1"/>
    <col min="1282" max="1361" width="20.83203125" style="2" customWidth="1"/>
    <col min="1362" max="1536" width="8.83203125" style="2" customWidth="1"/>
    <col min="1537" max="1537" width="28.6640625" style="2" customWidth="1"/>
    <col min="1538" max="1617" width="20.83203125" style="2" customWidth="1"/>
    <col min="1618" max="1792" width="8.83203125" style="2" customWidth="1"/>
    <col min="1793" max="1793" width="28.6640625" style="2" customWidth="1"/>
    <col min="1794" max="1873" width="20.83203125" style="2" customWidth="1"/>
    <col min="1874" max="2048" width="8.83203125" style="2" customWidth="1"/>
    <col min="2049" max="2049" width="28.6640625" style="2" customWidth="1"/>
    <col min="2050" max="2129" width="20.83203125" style="2" customWidth="1"/>
    <col min="2130" max="2304" width="8.83203125" style="2" customWidth="1"/>
    <col min="2305" max="2305" width="28.6640625" style="2" customWidth="1"/>
    <col min="2306" max="2385" width="20.83203125" style="2" customWidth="1"/>
    <col min="2386" max="2560" width="8.83203125" style="2" customWidth="1"/>
    <col min="2561" max="2561" width="28.6640625" style="2" customWidth="1"/>
    <col min="2562" max="2641" width="20.83203125" style="2" customWidth="1"/>
    <col min="2642" max="2816" width="8.83203125" style="2" customWidth="1"/>
    <col min="2817" max="2817" width="28.6640625" style="2" customWidth="1"/>
    <col min="2818" max="2897" width="20.83203125" style="2" customWidth="1"/>
    <col min="2898" max="3072" width="8.83203125" style="2" customWidth="1"/>
    <col min="3073" max="3073" width="28.6640625" style="2" customWidth="1"/>
    <col min="3074" max="3153" width="20.83203125" style="2" customWidth="1"/>
    <col min="3154" max="3328" width="8.83203125" style="2" customWidth="1"/>
    <col min="3329" max="3329" width="28.6640625" style="2" customWidth="1"/>
    <col min="3330" max="3409" width="20.83203125" style="2" customWidth="1"/>
    <col min="3410" max="3584" width="8.83203125" style="2" customWidth="1"/>
    <col min="3585" max="3585" width="28.6640625" style="2" customWidth="1"/>
    <col min="3586" max="3665" width="20.83203125" style="2" customWidth="1"/>
    <col min="3666" max="3840" width="8.83203125" style="2" customWidth="1"/>
    <col min="3841" max="3841" width="28.6640625" style="2" customWidth="1"/>
    <col min="3842" max="3921" width="20.83203125" style="2" customWidth="1"/>
    <col min="3922" max="4096" width="8.83203125" style="2" customWidth="1"/>
    <col min="4097" max="4097" width="28.6640625" style="2" customWidth="1"/>
    <col min="4098" max="4177" width="20.83203125" style="2" customWidth="1"/>
    <col min="4178" max="4352" width="8.83203125" style="2" customWidth="1"/>
    <col min="4353" max="4353" width="28.6640625" style="2" customWidth="1"/>
    <col min="4354" max="4433" width="20.83203125" style="2" customWidth="1"/>
    <col min="4434" max="4608" width="8.83203125" style="2" customWidth="1"/>
    <col min="4609" max="4609" width="28.6640625" style="2" customWidth="1"/>
    <col min="4610" max="4689" width="20.83203125" style="2" customWidth="1"/>
    <col min="4690" max="4864" width="8.83203125" style="2" customWidth="1"/>
    <col min="4865" max="4865" width="28.6640625" style="2" customWidth="1"/>
    <col min="4866" max="4945" width="20.83203125" style="2" customWidth="1"/>
    <col min="4946" max="5120" width="8.83203125" style="2" customWidth="1"/>
    <col min="5121" max="5121" width="28.6640625" style="2" customWidth="1"/>
    <col min="5122" max="5201" width="20.83203125" style="2" customWidth="1"/>
    <col min="5202" max="5376" width="8.83203125" style="2" customWidth="1"/>
    <col min="5377" max="5377" width="28.6640625" style="2" customWidth="1"/>
    <col min="5378" max="5457" width="20.83203125" style="2" customWidth="1"/>
    <col min="5458" max="5632" width="8.83203125" style="2" customWidth="1"/>
    <col min="5633" max="5633" width="28.6640625" style="2" customWidth="1"/>
    <col min="5634" max="5713" width="20.83203125" style="2" customWidth="1"/>
    <col min="5714" max="5888" width="8.83203125" style="2" customWidth="1"/>
    <col min="5889" max="5889" width="28.6640625" style="2" customWidth="1"/>
    <col min="5890" max="5969" width="20.83203125" style="2" customWidth="1"/>
    <col min="5970" max="6144" width="8.83203125" style="2" customWidth="1"/>
    <col min="6145" max="6145" width="28.6640625" style="2" customWidth="1"/>
    <col min="6146" max="6225" width="20.83203125" style="2" customWidth="1"/>
    <col min="6226" max="6400" width="8.83203125" style="2" customWidth="1"/>
    <col min="6401" max="6401" width="28.6640625" style="2" customWidth="1"/>
    <col min="6402" max="6481" width="20.83203125" style="2" customWidth="1"/>
    <col min="6482" max="6656" width="8.83203125" style="2" customWidth="1"/>
    <col min="6657" max="6657" width="28.6640625" style="2" customWidth="1"/>
    <col min="6658" max="6737" width="20.83203125" style="2" customWidth="1"/>
    <col min="6738" max="6912" width="8.83203125" style="2" customWidth="1"/>
    <col min="6913" max="6913" width="28.6640625" style="2" customWidth="1"/>
    <col min="6914" max="6993" width="20.83203125" style="2" customWidth="1"/>
    <col min="6994" max="7168" width="8.83203125" style="2" customWidth="1"/>
    <col min="7169" max="7169" width="28.6640625" style="2" customWidth="1"/>
    <col min="7170" max="7249" width="20.83203125" style="2" customWidth="1"/>
    <col min="7250" max="7424" width="8.83203125" style="2" customWidth="1"/>
    <col min="7425" max="7425" width="28.6640625" style="2" customWidth="1"/>
    <col min="7426" max="7505" width="20.83203125" style="2" customWidth="1"/>
    <col min="7506" max="7680" width="8.83203125" style="2" customWidth="1"/>
    <col min="7681" max="7681" width="28.6640625" style="2" customWidth="1"/>
    <col min="7682" max="7761" width="20.83203125" style="2" customWidth="1"/>
    <col min="7762" max="7936" width="8.83203125" style="2" customWidth="1"/>
    <col min="7937" max="7937" width="28.6640625" style="2" customWidth="1"/>
    <col min="7938" max="8017" width="20.83203125" style="2" customWidth="1"/>
    <col min="8018" max="8192" width="8.83203125" style="2" customWidth="1"/>
    <col min="8193" max="8193" width="28.6640625" style="2" customWidth="1"/>
    <col min="8194" max="8273" width="20.83203125" style="2" customWidth="1"/>
    <col min="8274" max="8448" width="8.83203125" style="2" customWidth="1"/>
    <col min="8449" max="8449" width="28.6640625" style="2" customWidth="1"/>
    <col min="8450" max="8529" width="20.83203125" style="2" customWidth="1"/>
    <col min="8530" max="8704" width="8.83203125" style="2" customWidth="1"/>
    <col min="8705" max="8705" width="28.6640625" style="2" customWidth="1"/>
    <col min="8706" max="8785" width="20.83203125" style="2" customWidth="1"/>
    <col min="8786" max="8960" width="8.83203125" style="2" customWidth="1"/>
    <col min="8961" max="8961" width="28.6640625" style="2" customWidth="1"/>
    <col min="8962" max="9041" width="20.83203125" style="2" customWidth="1"/>
    <col min="9042" max="9216" width="8.83203125" style="2" customWidth="1"/>
    <col min="9217" max="9217" width="28.6640625" style="2" customWidth="1"/>
    <col min="9218" max="9297" width="20.83203125" style="2" customWidth="1"/>
    <col min="9298" max="9472" width="8.83203125" style="2" customWidth="1"/>
    <col min="9473" max="9473" width="28.6640625" style="2" customWidth="1"/>
    <col min="9474" max="9553" width="20.83203125" style="2" customWidth="1"/>
    <col min="9554" max="9728" width="8.83203125" style="2" customWidth="1"/>
    <col min="9729" max="9729" width="28.6640625" style="2" customWidth="1"/>
    <col min="9730" max="9809" width="20.83203125" style="2" customWidth="1"/>
    <col min="9810" max="9984" width="8.83203125" style="2" customWidth="1"/>
    <col min="9985" max="9985" width="28.6640625" style="2" customWidth="1"/>
    <col min="9986" max="10065" width="20.83203125" style="2" customWidth="1"/>
    <col min="10066" max="10240" width="8.83203125" style="2" customWidth="1"/>
    <col min="10241" max="10241" width="28.6640625" style="2" customWidth="1"/>
    <col min="10242" max="10321" width="20.83203125" style="2" customWidth="1"/>
    <col min="10322" max="10496" width="8.83203125" style="2" customWidth="1"/>
    <col min="10497" max="10497" width="28.6640625" style="2" customWidth="1"/>
    <col min="10498" max="10577" width="20.83203125" style="2" customWidth="1"/>
    <col min="10578" max="10752" width="8.83203125" style="2" customWidth="1"/>
    <col min="10753" max="10753" width="28.6640625" style="2" customWidth="1"/>
    <col min="10754" max="10833" width="20.83203125" style="2" customWidth="1"/>
    <col min="10834" max="11008" width="8.83203125" style="2" customWidth="1"/>
    <col min="11009" max="11009" width="28.6640625" style="2" customWidth="1"/>
    <col min="11010" max="11089" width="20.83203125" style="2" customWidth="1"/>
    <col min="11090" max="11264" width="8.83203125" style="2" customWidth="1"/>
    <col min="11265" max="11265" width="28.6640625" style="2" customWidth="1"/>
    <col min="11266" max="11345" width="20.83203125" style="2" customWidth="1"/>
    <col min="11346" max="11520" width="8.83203125" style="2" customWidth="1"/>
    <col min="11521" max="11521" width="28.6640625" style="2" customWidth="1"/>
    <col min="11522" max="11601" width="20.83203125" style="2" customWidth="1"/>
    <col min="11602" max="11776" width="8.83203125" style="2" customWidth="1"/>
    <col min="11777" max="11777" width="28.6640625" style="2" customWidth="1"/>
    <col min="11778" max="11857" width="20.83203125" style="2" customWidth="1"/>
    <col min="11858" max="12032" width="8.83203125" style="2" customWidth="1"/>
    <col min="12033" max="12033" width="28.6640625" style="2" customWidth="1"/>
    <col min="12034" max="12113" width="20.83203125" style="2" customWidth="1"/>
    <col min="12114" max="12288" width="8.83203125" style="2" customWidth="1"/>
    <col min="12289" max="12289" width="28.6640625" style="2" customWidth="1"/>
    <col min="12290" max="12369" width="20.83203125" style="2" customWidth="1"/>
    <col min="12370" max="12544" width="8.83203125" style="2" customWidth="1"/>
    <col min="12545" max="12545" width="28.6640625" style="2" customWidth="1"/>
    <col min="12546" max="12625" width="20.83203125" style="2" customWidth="1"/>
    <col min="12626" max="12800" width="8.83203125" style="2" customWidth="1"/>
    <col min="12801" max="12801" width="28.6640625" style="2" customWidth="1"/>
    <col min="12802" max="12881" width="20.83203125" style="2" customWidth="1"/>
    <col min="12882" max="13056" width="8.83203125" style="2" customWidth="1"/>
    <col min="13057" max="13057" width="28.6640625" style="2" customWidth="1"/>
    <col min="13058" max="13137" width="20.83203125" style="2" customWidth="1"/>
    <col min="13138" max="13312" width="8.83203125" style="2" customWidth="1"/>
    <col min="13313" max="13313" width="28.6640625" style="2" customWidth="1"/>
    <col min="13314" max="13393" width="20.83203125" style="2" customWidth="1"/>
    <col min="13394" max="13568" width="8.83203125" style="2" customWidth="1"/>
    <col min="13569" max="13569" width="28.6640625" style="2" customWidth="1"/>
    <col min="13570" max="13649" width="20.83203125" style="2" customWidth="1"/>
    <col min="13650" max="13824" width="8.83203125" style="2" customWidth="1"/>
    <col min="13825" max="13825" width="28.6640625" style="2" customWidth="1"/>
    <col min="13826" max="13905" width="20.83203125" style="2" customWidth="1"/>
    <col min="13906" max="14080" width="8.83203125" style="2" customWidth="1"/>
    <col min="14081" max="14081" width="28.6640625" style="2" customWidth="1"/>
    <col min="14082" max="14161" width="20.83203125" style="2" customWidth="1"/>
    <col min="14162" max="14336" width="8.83203125" style="2" customWidth="1"/>
    <col min="14337" max="14337" width="28.6640625" style="2" customWidth="1"/>
    <col min="14338" max="14417" width="20.83203125" style="2" customWidth="1"/>
    <col min="14418" max="14592" width="8.83203125" style="2" customWidth="1"/>
    <col min="14593" max="14593" width="28.6640625" style="2" customWidth="1"/>
    <col min="14594" max="14673" width="20.83203125" style="2" customWidth="1"/>
    <col min="14674" max="14848" width="8.83203125" style="2" customWidth="1"/>
    <col min="14849" max="14849" width="28.6640625" style="2" customWidth="1"/>
    <col min="14850" max="14929" width="20.83203125" style="2" customWidth="1"/>
    <col min="14930" max="15104" width="8.83203125" style="2" customWidth="1"/>
    <col min="15105" max="15105" width="28.6640625" style="2" customWidth="1"/>
    <col min="15106" max="15185" width="20.83203125" style="2" customWidth="1"/>
    <col min="15186" max="15360" width="8.83203125" style="2" customWidth="1"/>
    <col min="15361" max="15361" width="28.6640625" style="2" customWidth="1"/>
    <col min="15362" max="15441" width="20.83203125" style="2" customWidth="1"/>
    <col min="15442" max="15616" width="8.83203125" style="2" customWidth="1"/>
    <col min="15617" max="15617" width="28.6640625" style="2" customWidth="1"/>
    <col min="15618" max="15697" width="20.83203125" style="2" customWidth="1"/>
    <col min="15698" max="15872" width="8.83203125" style="2" customWidth="1"/>
    <col min="15873" max="15873" width="28.6640625" style="2" customWidth="1"/>
    <col min="15874" max="15953" width="20.83203125" style="2" customWidth="1"/>
    <col min="15954" max="16128" width="8.83203125" style="2" customWidth="1"/>
    <col min="16129" max="16129" width="28.6640625" style="2" customWidth="1"/>
    <col min="16130" max="16209" width="20.83203125" style="2" customWidth="1"/>
    <col min="16210" max="16384" width="8.83203125" style="2" customWidth="1"/>
  </cols>
  <sheetData>
    <row r="6" spans="1:255" ht="16.5" customHeight="1">
      <c r="A6" s="1" t="s">
        <v>497</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32"/>
    </row>
    <row r="8" spans="1:255">
      <c r="A8" s="40"/>
      <c r="B8" s="40"/>
      <c r="C8" s="8"/>
      <c r="D8" s="8"/>
      <c r="E8" s="32"/>
      <c r="F8" s="32"/>
      <c r="G8" s="32"/>
      <c r="H8" s="32"/>
      <c r="I8" s="32"/>
      <c r="J8" s="32"/>
      <c r="K8" s="32"/>
      <c r="L8" s="32"/>
      <c r="M8" s="32"/>
      <c r="N8" s="32"/>
      <c r="O8" s="32"/>
      <c r="P8" s="32"/>
      <c r="Q8" s="32"/>
      <c r="R8" s="32"/>
      <c r="S8" s="32"/>
      <c r="T8" s="32"/>
      <c r="U8" s="32"/>
      <c r="V8" s="32"/>
      <c r="W8" s="32"/>
      <c r="X8" s="32"/>
      <c r="Y8" s="32"/>
      <c r="Z8" s="32"/>
      <c r="AA8" s="32"/>
      <c r="AB8" s="32"/>
      <c r="AC8" s="32"/>
      <c r="AD8" s="32"/>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row>
    <row r="9" spans="1:255">
      <c r="A9" s="40" t="s">
        <v>498</v>
      </c>
      <c r="B9" s="40" t="s">
        <v>499</v>
      </c>
      <c r="C9" s="8"/>
      <c r="D9" s="8"/>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32"/>
    </row>
    <row r="10" spans="1:255">
      <c r="A10" s="40" t="s">
        <v>500</v>
      </c>
      <c r="B10" s="40" t="s">
        <v>501</v>
      </c>
      <c r="C10" s="8"/>
      <c r="D10" s="8"/>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32"/>
    </row>
    <row r="11" spans="1:255">
      <c r="A11" s="40" t="s">
        <v>502</v>
      </c>
      <c r="B11" s="40" t="s">
        <v>503</v>
      </c>
      <c r="C11" s="8"/>
      <c r="D11" s="8"/>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32"/>
    </row>
    <row r="13" spans="1:255">
      <c r="A13" s="40" t="s">
        <v>504</v>
      </c>
      <c r="B13" s="8"/>
      <c r="C13" s="8"/>
      <c r="D13" s="8"/>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9"/>
      <c r="IS13" s="9"/>
      <c r="IT13" s="9"/>
      <c r="IU13" s="9"/>
    </row>
    <row r="15" spans="1:255">
      <c r="A15" s="8" t="s">
        <v>505</v>
      </c>
      <c r="B15" s="8" t="s">
        <v>10</v>
      </c>
      <c r="C15" s="8" t="s">
        <v>221</v>
      </c>
      <c r="D15" s="8" t="s">
        <v>506</v>
      </c>
      <c r="E15" s="8" t="s">
        <v>507</v>
      </c>
      <c r="F15" s="8" t="s">
        <v>508</v>
      </c>
      <c r="G15" s="32"/>
      <c r="H15" s="8" t="s">
        <v>509</v>
      </c>
      <c r="I15" s="8"/>
      <c r="J15" s="32"/>
      <c r="K15" s="32"/>
      <c r="L15" s="32"/>
      <c r="M15" s="32"/>
      <c r="N15" s="32"/>
      <c r="O15" s="32"/>
      <c r="P15" s="32"/>
      <c r="Q15" s="32"/>
      <c r="R15" s="32"/>
      <c r="S15" s="32"/>
      <c r="T15" s="32"/>
      <c r="U15" s="32"/>
      <c r="V15" s="32"/>
      <c r="W15" s="32"/>
      <c r="X15" s="32"/>
      <c r="Y15" s="32"/>
      <c r="Z15" s="32"/>
      <c r="AA15" s="32"/>
      <c r="AB15" s="32"/>
      <c r="AC15" s="32"/>
      <c r="AD15" s="32"/>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c r="IQ15" s="9"/>
      <c r="IR15" s="9"/>
      <c r="IS15" s="9"/>
      <c r="IT15" s="9"/>
      <c r="IU15" s="9"/>
    </row>
    <row r="16" spans="1:255">
      <c r="A16" s="32" t="s">
        <v>510</v>
      </c>
      <c r="B16" s="41">
        <v>184.54</v>
      </c>
      <c r="C16" s="41">
        <v>190</v>
      </c>
      <c r="D16" s="41" t="s">
        <v>511</v>
      </c>
      <c r="E16" s="41">
        <v>51.2</v>
      </c>
      <c r="F16" s="41" t="s">
        <v>512</v>
      </c>
      <c r="G16" s="32"/>
      <c r="H16" s="32" t="s">
        <v>513</v>
      </c>
      <c r="I16" s="32">
        <v>15</v>
      </c>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32"/>
    </row>
    <row r="17" spans="1:255">
      <c r="A17" s="32" t="s">
        <v>514</v>
      </c>
      <c r="B17" s="42">
        <v>0.40366659999999999</v>
      </c>
      <c r="C17" s="42">
        <v>0.38</v>
      </c>
      <c r="D17" s="41" t="s">
        <v>515</v>
      </c>
      <c r="E17" s="41">
        <v>4.9800000000000004</v>
      </c>
      <c r="F17" s="41" t="s">
        <v>516</v>
      </c>
      <c r="G17" s="32"/>
      <c r="H17" s="32" t="s">
        <v>517</v>
      </c>
      <c r="I17" s="32">
        <v>6</v>
      </c>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32"/>
    </row>
    <row r="18" spans="1:255">
      <c r="A18" s="32" t="s">
        <v>518</v>
      </c>
      <c r="B18" s="41" t="s">
        <v>519</v>
      </c>
      <c r="C18" s="41"/>
      <c r="D18" s="41"/>
      <c r="E18" s="41"/>
      <c r="F18" s="41"/>
      <c r="G18" s="32"/>
      <c r="H18" s="32" t="s">
        <v>520</v>
      </c>
      <c r="I18" s="32">
        <v>16</v>
      </c>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32"/>
    </row>
    <row r="19" spans="1:255">
      <c r="A19" s="32" t="s">
        <v>521</v>
      </c>
      <c r="B19" s="41" t="s">
        <v>522</v>
      </c>
      <c r="C19" s="41"/>
      <c r="D19" s="41"/>
      <c r="E19" s="41"/>
      <c r="F19" s="41"/>
      <c r="G19" s="32"/>
      <c r="H19" s="32" t="s">
        <v>523</v>
      </c>
      <c r="I19" s="32">
        <v>3</v>
      </c>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32"/>
    </row>
    <row r="20" spans="1:255">
      <c r="A20" s="32"/>
      <c r="B20" s="32"/>
      <c r="C20" s="32"/>
      <c r="D20" s="32"/>
      <c r="E20" s="32"/>
      <c r="F20" s="32"/>
      <c r="G20" s="32"/>
      <c r="H20" s="32" t="s">
        <v>524</v>
      </c>
      <c r="I20" s="32">
        <v>2</v>
      </c>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32"/>
    </row>
    <row r="21" spans="1:255">
      <c r="A21" s="32"/>
      <c r="B21" s="32"/>
      <c r="C21" s="32"/>
      <c r="D21" s="32"/>
      <c r="E21" s="32"/>
      <c r="F21" s="32"/>
      <c r="G21" s="32"/>
      <c r="H21" s="32" t="s">
        <v>525</v>
      </c>
      <c r="I21" s="32">
        <v>0</v>
      </c>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32"/>
    </row>
    <row r="24" spans="1:255">
      <c r="A24" s="40" t="s">
        <v>526</v>
      </c>
      <c r="B24" s="40" t="s">
        <v>527</v>
      </c>
      <c r="C24" s="40" t="s">
        <v>528</v>
      </c>
      <c r="D24" s="32"/>
      <c r="E24" s="40" t="s">
        <v>529</v>
      </c>
      <c r="F24" s="8"/>
      <c r="G24" s="8"/>
      <c r="H24" s="8"/>
      <c r="I24" s="32"/>
      <c r="J24" s="32"/>
      <c r="K24" s="32"/>
      <c r="L24" s="32"/>
      <c r="M24" s="32"/>
      <c r="N24" s="32"/>
      <c r="O24" s="32"/>
      <c r="P24" s="32"/>
      <c r="Q24" s="32"/>
      <c r="R24" s="32"/>
      <c r="S24" s="32"/>
      <c r="T24" s="32"/>
      <c r="U24" s="32"/>
      <c r="V24" s="32"/>
      <c r="W24" s="32"/>
      <c r="X24" s="32"/>
      <c r="Y24" s="32"/>
      <c r="Z24" s="32"/>
      <c r="AA24" s="32"/>
      <c r="AB24" s="32"/>
      <c r="AC24" s="32"/>
      <c r="AD24" s="32"/>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c r="HG24" s="9"/>
      <c r="HH24" s="9"/>
      <c r="HI24" s="9"/>
      <c r="HJ24" s="9"/>
      <c r="HK24" s="9"/>
      <c r="HL24" s="9"/>
      <c r="HM24" s="9"/>
      <c r="HN24" s="9"/>
      <c r="HO24" s="9"/>
      <c r="HP24" s="9"/>
      <c r="HQ24" s="9"/>
      <c r="HR24" s="9"/>
      <c r="HS24" s="9"/>
      <c r="HT24" s="9"/>
      <c r="HU24" s="9"/>
      <c r="HV24" s="9"/>
      <c r="HW24" s="9"/>
      <c r="HX24" s="9"/>
      <c r="HY24" s="9"/>
      <c r="HZ24" s="9"/>
      <c r="IA24" s="9"/>
      <c r="IB24" s="9"/>
      <c r="IC24" s="9"/>
      <c r="ID24" s="9"/>
      <c r="IE24" s="9"/>
      <c r="IF24" s="9"/>
      <c r="IG24" s="9"/>
      <c r="IH24" s="9"/>
      <c r="II24" s="9"/>
      <c r="IJ24" s="9"/>
      <c r="IK24" s="9"/>
      <c r="IL24" s="9"/>
      <c r="IM24" s="9"/>
      <c r="IN24" s="9"/>
      <c r="IO24" s="9"/>
      <c r="IP24" s="9"/>
      <c r="IQ24" s="9"/>
      <c r="IR24" s="9"/>
      <c r="IS24" s="9"/>
      <c r="IT24" s="9"/>
      <c r="IU24" s="9"/>
    </row>
    <row r="25" spans="1:255">
      <c r="A25" s="43" t="s">
        <v>273</v>
      </c>
      <c r="B25" s="43" t="s">
        <v>530</v>
      </c>
      <c r="C25" s="43" t="s">
        <v>530</v>
      </c>
      <c r="D25" s="32"/>
      <c r="E25" s="32"/>
      <c r="F25" s="44" t="s">
        <v>531</v>
      </c>
      <c r="G25" s="44" t="s">
        <v>532</v>
      </c>
      <c r="H25" s="44" t="s">
        <v>533</v>
      </c>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32"/>
    </row>
    <row r="26" spans="1:255">
      <c r="A26" s="43" t="s">
        <v>534</v>
      </c>
      <c r="B26" s="43" t="s">
        <v>535</v>
      </c>
      <c r="C26" s="43" t="s">
        <v>536</v>
      </c>
      <c r="D26" s="32"/>
      <c r="E26" s="44" t="s">
        <v>537</v>
      </c>
      <c r="F26" s="45">
        <v>0.26257000000000003</v>
      </c>
      <c r="G26" s="45">
        <v>0.77005999999999997</v>
      </c>
      <c r="H26" s="41">
        <v>1.05</v>
      </c>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32"/>
    </row>
    <row r="27" spans="1:255">
      <c r="A27" s="43" t="s">
        <v>538</v>
      </c>
      <c r="B27" s="43" t="s">
        <v>539</v>
      </c>
      <c r="C27" s="43" t="s">
        <v>540</v>
      </c>
      <c r="D27" s="32"/>
      <c r="E27" s="40" t="s">
        <v>541</v>
      </c>
      <c r="F27" s="8"/>
      <c r="G27" s="8"/>
      <c r="H27" s="8"/>
      <c r="I27" s="32"/>
      <c r="J27" s="32"/>
      <c r="K27" s="32"/>
      <c r="L27" s="32"/>
      <c r="M27" s="32"/>
      <c r="N27" s="32"/>
      <c r="O27" s="32"/>
      <c r="P27" s="32"/>
      <c r="Q27" s="32"/>
      <c r="R27" s="32"/>
      <c r="S27" s="32"/>
      <c r="T27" s="32"/>
      <c r="U27" s="32"/>
      <c r="V27" s="32"/>
      <c r="W27" s="32"/>
      <c r="X27" s="32"/>
      <c r="Y27" s="32"/>
      <c r="Z27" s="32"/>
      <c r="AA27" s="32"/>
      <c r="AB27" s="32"/>
      <c r="AC27" s="32"/>
      <c r="AD27" s="32"/>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c r="IL27" s="9"/>
      <c r="IM27" s="9"/>
      <c r="IN27" s="9"/>
      <c r="IO27" s="9"/>
      <c r="IP27" s="9"/>
      <c r="IQ27" s="9"/>
      <c r="IR27" s="9"/>
      <c r="IS27" s="9"/>
      <c r="IT27" s="9"/>
      <c r="IU27" s="9"/>
    </row>
    <row r="28" spans="1:255">
      <c r="A28" s="43" t="s">
        <v>542</v>
      </c>
      <c r="B28" s="43" t="s">
        <v>543</v>
      </c>
      <c r="C28" s="43" t="s">
        <v>540</v>
      </c>
      <c r="D28" s="32"/>
      <c r="E28" s="44" t="s">
        <v>36</v>
      </c>
      <c r="F28" s="45">
        <v>3075.0783799999999</v>
      </c>
      <c r="G28" s="45">
        <v>9358.25065</v>
      </c>
      <c r="H28" s="41">
        <v>12612.96</v>
      </c>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32"/>
    </row>
    <row r="29" spans="1:255">
      <c r="A29" s="43" t="s">
        <v>544</v>
      </c>
      <c r="B29" s="43" t="s">
        <v>242</v>
      </c>
      <c r="C29" s="43" t="s">
        <v>242</v>
      </c>
      <c r="D29" s="32"/>
      <c r="E29" s="44" t="s">
        <v>48</v>
      </c>
      <c r="F29" s="45">
        <v>150.54602</v>
      </c>
      <c r="G29" s="45">
        <v>435.30290000000002</v>
      </c>
      <c r="H29" s="41">
        <v>611.17999999999995</v>
      </c>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32"/>
    </row>
    <row r="31" spans="1:255">
      <c r="A31" s="32"/>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2"/>
      <c r="GN31" s="32"/>
      <c r="GO31" s="32"/>
      <c r="GP31" s="32"/>
      <c r="GQ31" s="32"/>
      <c r="GR31" s="32"/>
      <c r="GS31" s="32"/>
      <c r="GT31" s="32"/>
      <c r="GU31" s="32"/>
      <c r="GV31" s="32"/>
      <c r="GW31" s="32"/>
      <c r="GX31" s="32"/>
      <c r="GY31" s="32"/>
      <c r="GZ31" s="32"/>
      <c r="HA31" s="32"/>
      <c r="HB31" s="32"/>
      <c r="HC31" s="32"/>
      <c r="HD31" s="32"/>
      <c r="HE31" s="32"/>
      <c r="HF31" s="32"/>
      <c r="HG31" s="32"/>
      <c r="HH31" s="32"/>
      <c r="HI31" s="32"/>
      <c r="HJ31" s="32"/>
      <c r="HK31" s="32"/>
      <c r="HL31" s="32"/>
      <c r="HM31" s="32"/>
      <c r="HN31" s="32"/>
      <c r="HO31" s="32"/>
      <c r="HP31" s="32"/>
      <c r="HQ31" s="32"/>
      <c r="HR31" s="32"/>
      <c r="HS31" s="32"/>
      <c r="HT31" s="32"/>
      <c r="HU31" s="32"/>
      <c r="HV31" s="32"/>
      <c r="HW31" s="32"/>
      <c r="HX31" s="32"/>
      <c r="HY31" s="32"/>
      <c r="HZ31" s="32"/>
      <c r="IA31" s="32"/>
      <c r="IB31" s="32"/>
      <c r="IC31" s="32"/>
      <c r="ID31" s="32"/>
      <c r="IE31" s="32"/>
      <c r="IF31" s="32"/>
      <c r="IG31" s="32"/>
      <c r="IH31" s="32"/>
      <c r="II31" s="32"/>
      <c r="IJ31" s="32"/>
      <c r="IK31" s="32"/>
      <c r="IL31" s="32"/>
      <c r="IM31" s="32"/>
      <c r="IN31" s="32"/>
      <c r="IO31" s="32"/>
      <c r="IP31" s="32"/>
      <c r="IQ31" s="32"/>
      <c r="IR31" s="32"/>
      <c r="IS31" s="32"/>
      <c r="IT31" s="32"/>
      <c r="IU31" s="32"/>
    </row>
    <row r="32" spans="1:255" ht="14">
      <c r="A32" s="46"/>
      <c r="B32" s="46" t="s">
        <v>545</v>
      </c>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2"/>
      <c r="HG32" s="32"/>
      <c r="HH32" s="32"/>
      <c r="HI32" s="32"/>
      <c r="HJ32" s="32"/>
      <c r="HK32" s="32"/>
      <c r="HL32" s="32"/>
      <c r="HM32" s="32"/>
      <c r="HN32" s="32"/>
      <c r="HO32" s="32"/>
      <c r="HP32" s="32"/>
      <c r="HQ32" s="32"/>
      <c r="HR32" s="32"/>
      <c r="HS32" s="32"/>
      <c r="HT32" s="32"/>
      <c r="HU32" s="32"/>
      <c r="HV32" s="32"/>
      <c r="HW32" s="32"/>
      <c r="HX32" s="32"/>
      <c r="HY32" s="32"/>
      <c r="HZ32" s="32"/>
      <c r="IA32" s="32"/>
      <c r="IB32" s="32"/>
      <c r="IC32" s="32"/>
      <c r="ID32" s="32"/>
      <c r="IE32" s="32"/>
      <c r="IF32" s="32"/>
      <c r="IG32" s="32"/>
      <c r="IH32" s="32"/>
      <c r="II32" s="32"/>
      <c r="IJ32" s="32"/>
      <c r="IK32" s="32"/>
      <c r="IL32" s="32"/>
      <c r="IM32" s="32"/>
      <c r="IN32" s="32"/>
      <c r="IO32" s="32"/>
      <c r="IP32" s="32"/>
      <c r="IQ32" s="32"/>
      <c r="IR32" s="32"/>
      <c r="IS32" s="32"/>
      <c r="IT32" s="32"/>
      <c r="IU32" s="32"/>
    </row>
    <row r="33" spans="1:30" ht="14">
      <c r="A33" s="47" t="s">
        <v>505</v>
      </c>
      <c r="B33" s="48">
        <v>2015</v>
      </c>
      <c r="C33" s="48">
        <v>2016</v>
      </c>
      <c r="D33" s="48">
        <v>2017</v>
      </c>
      <c r="E33" s="48">
        <v>2018</v>
      </c>
      <c r="F33" s="48">
        <v>2019</v>
      </c>
      <c r="G33" s="48">
        <v>2020</v>
      </c>
      <c r="H33" s="48">
        <v>2021</v>
      </c>
      <c r="I33" s="48">
        <v>2022</v>
      </c>
      <c r="J33" s="48">
        <v>2023</v>
      </c>
      <c r="K33" s="48">
        <v>2024</v>
      </c>
      <c r="L33" s="48">
        <v>2025</v>
      </c>
      <c r="M33" s="48">
        <v>2026</v>
      </c>
      <c r="N33" s="48">
        <v>2027</v>
      </c>
      <c r="O33" s="48">
        <v>2028</v>
      </c>
      <c r="P33" s="48">
        <v>2029</v>
      </c>
      <c r="Q33" s="41"/>
      <c r="R33" s="41"/>
      <c r="S33" s="41"/>
      <c r="T33" s="41"/>
      <c r="U33" s="41"/>
      <c r="V33" s="41"/>
      <c r="W33" s="41"/>
      <c r="X33" s="41"/>
      <c r="Y33" s="41"/>
      <c r="Z33" s="41"/>
      <c r="AA33" s="41"/>
      <c r="AB33" s="41"/>
      <c r="AC33" s="41"/>
      <c r="AD33" s="41"/>
    </row>
    <row r="34" spans="1:30">
      <c r="A34" s="4" t="s">
        <v>537</v>
      </c>
      <c r="B34" s="49">
        <v>-1.0549999999999999</v>
      </c>
      <c r="C34" s="49">
        <v>-0.5</v>
      </c>
      <c r="D34" s="49">
        <v>0.27</v>
      </c>
      <c r="E34" s="49">
        <v>0.47</v>
      </c>
      <c r="F34" s="49">
        <v>0.8</v>
      </c>
      <c r="G34" s="50">
        <v>0.77005999999999997</v>
      </c>
      <c r="H34" s="50">
        <v>1.1336200000000001</v>
      </c>
      <c r="I34" s="50">
        <v>1.7991900000000001</v>
      </c>
      <c r="J34" s="50">
        <v>2.73333</v>
      </c>
      <c r="K34" s="33" t="s">
        <v>39</v>
      </c>
      <c r="L34" s="33" t="s">
        <v>39</v>
      </c>
      <c r="M34" s="33" t="s">
        <v>39</v>
      </c>
      <c r="N34" s="33" t="s">
        <v>39</v>
      </c>
      <c r="O34" s="33" t="s">
        <v>39</v>
      </c>
      <c r="P34" s="33" t="s">
        <v>39</v>
      </c>
      <c r="Q34" s="41"/>
      <c r="R34" s="41"/>
      <c r="S34" s="41"/>
      <c r="T34" s="41"/>
      <c r="U34" s="41"/>
      <c r="V34" s="41"/>
      <c r="W34" s="41"/>
      <c r="X34" s="41"/>
      <c r="Y34" s="41"/>
      <c r="Z34" s="41"/>
      <c r="AA34" s="41"/>
      <c r="AB34" s="41"/>
      <c r="AC34" s="41"/>
      <c r="AD34" s="41"/>
    </row>
    <row r="35" spans="1:30">
      <c r="A35" s="32" t="s">
        <v>546</v>
      </c>
      <c r="B35" s="50">
        <v>-0.45617999999999997</v>
      </c>
      <c r="C35" s="50">
        <v>-0.39682000000000001</v>
      </c>
      <c r="D35" s="50">
        <v>0.25572</v>
      </c>
      <c r="E35" s="50">
        <v>0.46375</v>
      </c>
      <c r="F35" s="50">
        <v>0.77683000000000002</v>
      </c>
      <c r="G35" s="33" t="s">
        <v>39</v>
      </c>
      <c r="H35" s="33" t="s">
        <v>39</v>
      </c>
      <c r="I35" s="33" t="s">
        <v>39</v>
      </c>
      <c r="J35" s="33" t="s">
        <v>39</v>
      </c>
      <c r="K35" s="33" t="s">
        <v>39</v>
      </c>
      <c r="L35" s="33" t="s">
        <v>39</v>
      </c>
      <c r="M35" s="33" t="s">
        <v>39</v>
      </c>
      <c r="N35" s="33" t="s">
        <v>39</v>
      </c>
      <c r="O35" s="33" t="s">
        <v>39</v>
      </c>
      <c r="P35" s="33" t="s">
        <v>39</v>
      </c>
      <c r="Q35" s="41"/>
      <c r="R35" s="41"/>
      <c r="S35" s="41"/>
      <c r="T35" s="41"/>
      <c r="U35" s="41"/>
      <c r="V35" s="41"/>
      <c r="W35" s="41"/>
      <c r="X35" s="41"/>
      <c r="Y35" s="41"/>
      <c r="Z35" s="41"/>
      <c r="AA35" s="41"/>
      <c r="AB35" s="41"/>
      <c r="AC35" s="41"/>
      <c r="AD35" s="41"/>
    </row>
    <row r="36" spans="1:30">
      <c r="A36" s="32" t="s">
        <v>547</v>
      </c>
      <c r="B36" s="50">
        <v>-0.46</v>
      </c>
      <c r="C36" s="50">
        <v>-0.55000000000000004</v>
      </c>
      <c r="D36" s="50">
        <v>0.26</v>
      </c>
      <c r="E36" s="50">
        <v>0.46</v>
      </c>
      <c r="F36" s="50">
        <v>0.78</v>
      </c>
      <c r="G36" s="50">
        <v>0.76</v>
      </c>
      <c r="H36" s="50">
        <v>1.1775</v>
      </c>
      <c r="I36" s="50">
        <v>1.82284</v>
      </c>
      <c r="J36" s="50">
        <v>2.87</v>
      </c>
      <c r="K36" s="33" t="s">
        <v>39</v>
      </c>
      <c r="L36" s="33" t="s">
        <v>39</v>
      </c>
      <c r="M36" s="33" t="s">
        <v>39</v>
      </c>
      <c r="N36" s="33" t="s">
        <v>39</v>
      </c>
      <c r="O36" s="33" t="s">
        <v>39</v>
      </c>
      <c r="P36" s="33" t="s">
        <v>39</v>
      </c>
      <c r="Q36" s="41"/>
      <c r="R36" s="41"/>
      <c r="S36" s="41"/>
      <c r="T36" s="41"/>
      <c r="U36" s="41"/>
      <c r="V36" s="41"/>
      <c r="W36" s="41"/>
      <c r="X36" s="41"/>
      <c r="Y36" s="41"/>
      <c r="Z36" s="41"/>
      <c r="AA36" s="41"/>
      <c r="AB36" s="41"/>
      <c r="AC36" s="41"/>
      <c r="AD36" s="41"/>
    </row>
    <row r="37" spans="1:30">
      <c r="A37" s="32" t="s">
        <v>548</v>
      </c>
      <c r="B37" s="50">
        <v>-0.27</v>
      </c>
      <c r="C37" s="50">
        <v>0.02</v>
      </c>
      <c r="D37" s="50">
        <v>0.28000000000000003</v>
      </c>
      <c r="E37" s="50">
        <v>0.55000000000000004</v>
      </c>
      <c r="F37" s="50">
        <v>0.8</v>
      </c>
      <c r="G37" s="50">
        <v>0.95</v>
      </c>
      <c r="H37" s="50">
        <v>1.75</v>
      </c>
      <c r="I37" s="50">
        <v>2.2799999999999998</v>
      </c>
      <c r="J37" s="50">
        <v>3.1</v>
      </c>
      <c r="K37" s="33" t="s">
        <v>39</v>
      </c>
      <c r="L37" s="33" t="s">
        <v>39</v>
      </c>
      <c r="M37" s="33" t="s">
        <v>39</v>
      </c>
      <c r="N37" s="33" t="s">
        <v>39</v>
      </c>
      <c r="O37" s="33" t="s">
        <v>39</v>
      </c>
      <c r="P37" s="33" t="s">
        <v>39</v>
      </c>
      <c r="Q37" s="41"/>
      <c r="R37" s="41"/>
      <c r="S37" s="41"/>
      <c r="T37" s="41"/>
      <c r="U37" s="41"/>
      <c r="V37" s="41"/>
      <c r="W37" s="41"/>
      <c r="X37" s="41"/>
      <c r="Y37" s="41"/>
      <c r="Z37" s="41"/>
      <c r="AA37" s="41"/>
      <c r="AB37" s="41"/>
      <c r="AC37" s="41"/>
      <c r="AD37" s="41"/>
    </row>
    <row r="38" spans="1:30">
      <c r="A38" s="32" t="s">
        <v>549</v>
      </c>
      <c r="B38" s="50">
        <v>-0.66</v>
      </c>
      <c r="C38" s="50">
        <v>-0.59</v>
      </c>
      <c r="D38" s="50">
        <v>0.22</v>
      </c>
      <c r="E38" s="50">
        <v>0.41715999999999998</v>
      </c>
      <c r="F38" s="50">
        <v>0.73</v>
      </c>
      <c r="G38" s="50">
        <v>0.56000000000000005</v>
      </c>
      <c r="H38" s="50">
        <v>0.2</v>
      </c>
      <c r="I38" s="50">
        <v>1.06</v>
      </c>
      <c r="J38" s="50">
        <v>2.23</v>
      </c>
      <c r="K38" s="33" t="s">
        <v>39</v>
      </c>
      <c r="L38" s="33" t="s">
        <v>39</v>
      </c>
      <c r="M38" s="33" t="s">
        <v>39</v>
      </c>
      <c r="N38" s="33" t="s">
        <v>39</v>
      </c>
      <c r="O38" s="33" t="s">
        <v>39</v>
      </c>
      <c r="P38" s="33" t="s">
        <v>39</v>
      </c>
      <c r="Q38" s="41"/>
      <c r="R38" s="41"/>
      <c r="S38" s="41"/>
      <c r="T38" s="41"/>
      <c r="U38" s="41"/>
      <c r="V38" s="41"/>
      <c r="W38" s="41"/>
      <c r="X38" s="41"/>
      <c r="Y38" s="41"/>
      <c r="Z38" s="41"/>
      <c r="AA38" s="41"/>
      <c r="AB38" s="41"/>
      <c r="AC38" s="41"/>
      <c r="AD38" s="41"/>
    </row>
    <row r="39" spans="1:30">
      <c r="A39" s="32" t="s">
        <v>550</v>
      </c>
      <c r="B39" s="45">
        <v>0.12686</v>
      </c>
      <c r="C39" s="45">
        <v>0.2432</v>
      </c>
      <c r="D39" s="45">
        <v>1.4800000000000001E-2</v>
      </c>
      <c r="E39" s="45">
        <v>1.9060000000000001E-2</v>
      </c>
      <c r="F39" s="45">
        <v>1.5089999999999999E-2</v>
      </c>
      <c r="G39" s="45">
        <v>8.0259999999999998E-2</v>
      </c>
      <c r="H39" s="45">
        <v>0.29161999999999999</v>
      </c>
      <c r="I39" s="45">
        <v>0.30104999999999998</v>
      </c>
      <c r="J39" s="45">
        <v>0.36808999999999997</v>
      </c>
      <c r="K39" s="33" t="s">
        <v>39</v>
      </c>
      <c r="L39" s="33" t="s">
        <v>39</v>
      </c>
      <c r="M39" s="33" t="s">
        <v>39</v>
      </c>
      <c r="N39" s="33" t="s">
        <v>39</v>
      </c>
      <c r="O39" s="33" t="s">
        <v>39</v>
      </c>
      <c r="P39" s="33" t="s">
        <v>39</v>
      </c>
      <c r="Q39" s="41"/>
      <c r="R39" s="41"/>
      <c r="S39" s="41"/>
      <c r="T39" s="41"/>
      <c r="U39" s="41"/>
      <c r="V39" s="41"/>
      <c r="W39" s="41"/>
      <c r="X39" s="41"/>
      <c r="Y39" s="41"/>
      <c r="Z39" s="41"/>
      <c r="AA39" s="41"/>
      <c r="AB39" s="41"/>
      <c r="AC39" s="41"/>
      <c r="AD39" s="41"/>
    </row>
    <row r="40" spans="1:30">
      <c r="A40" s="32" t="s">
        <v>551</v>
      </c>
      <c r="B40" s="33" t="s">
        <v>552</v>
      </c>
      <c r="C40" s="33" t="s">
        <v>553</v>
      </c>
      <c r="D40" s="33" t="s">
        <v>554</v>
      </c>
      <c r="E40" s="33" t="s">
        <v>555</v>
      </c>
      <c r="F40" s="33" t="s">
        <v>556</v>
      </c>
      <c r="G40" s="33" t="s">
        <v>557</v>
      </c>
      <c r="H40" s="33" t="s">
        <v>558</v>
      </c>
      <c r="I40" s="33" t="s">
        <v>559</v>
      </c>
      <c r="J40" s="33" t="s">
        <v>560</v>
      </c>
      <c r="K40" s="33" t="s">
        <v>39</v>
      </c>
      <c r="L40" s="33" t="s">
        <v>39</v>
      </c>
      <c r="M40" s="33" t="s">
        <v>39</v>
      </c>
      <c r="N40" s="33" t="s">
        <v>39</v>
      </c>
      <c r="O40" s="33" t="s">
        <v>39</v>
      </c>
      <c r="P40" s="33" t="s">
        <v>39</v>
      </c>
      <c r="Q40" s="41"/>
      <c r="R40" s="41"/>
      <c r="S40" s="41"/>
      <c r="T40" s="41"/>
      <c r="U40" s="41"/>
      <c r="V40" s="41"/>
      <c r="W40" s="41"/>
      <c r="X40" s="41"/>
      <c r="Y40" s="41"/>
      <c r="Z40" s="41"/>
      <c r="AA40" s="41"/>
      <c r="AB40" s="41"/>
      <c r="AC40" s="41"/>
      <c r="AD40" s="41"/>
    </row>
    <row r="41" spans="1:30">
      <c r="A41" s="32" t="s">
        <v>561</v>
      </c>
      <c r="B41" s="33" t="s">
        <v>39</v>
      </c>
      <c r="C41" s="33" t="s">
        <v>39</v>
      </c>
      <c r="D41" s="51">
        <v>0.24</v>
      </c>
      <c r="E41" s="51">
        <v>0.45</v>
      </c>
      <c r="F41" s="51">
        <v>0.76</v>
      </c>
      <c r="G41" s="33" t="s">
        <v>39</v>
      </c>
      <c r="H41" s="33" t="s">
        <v>39</v>
      </c>
      <c r="I41" s="33" t="s">
        <v>39</v>
      </c>
      <c r="J41" s="33" t="s">
        <v>39</v>
      </c>
      <c r="K41" s="33" t="s">
        <v>39</v>
      </c>
      <c r="L41" s="33" t="s">
        <v>39</v>
      </c>
      <c r="M41" s="33" t="s">
        <v>39</v>
      </c>
      <c r="N41" s="33" t="s">
        <v>39</v>
      </c>
      <c r="O41" s="33" t="s">
        <v>39</v>
      </c>
      <c r="P41" s="33" t="s">
        <v>39</v>
      </c>
      <c r="Q41" s="41"/>
      <c r="R41" s="41"/>
      <c r="S41" s="41"/>
      <c r="T41" s="41"/>
      <c r="U41" s="41"/>
      <c r="V41" s="41"/>
      <c r="W41" s="41"/>
      <c r="X41" s="41"/>
      <c r="Y41" s="41"/>
      <c r="Z41" s="41"/>
      <c r="AA41" s="41"/>
      <c r="AB41" s="41"/>
      <c r="AC41" s="41"/>
      <c r="AD41" s="41"/>
    </row>
    <row r="42" spans="1:30">
      <c r="A42" s="32" t="s">
        <v>562</v>
      </c>
      <c r="B42" s="33" t="s">
        <v>39</v>
      </c>
      <c r="C42" s="33" t="s">
        <v>39</v>
      </c>
      <c r="D42" s="52">
        <v>0.25</v>
      </c>
      <c r="E42" s="52">
        <v>0.46</v>
      </c>
      <c r="F42" s="52">
        <v>0.78</v>
      </c>
      <c r="G42" s="33" t="s">
        <v>39</v>
      </c>
      <c r="H42" s="33" t="s">
        <v>39</v>
      </c>
      <c r="I42" s="33" t="s">
        <v>39</v>
      </c>
      <c r="J42" s="33" t="s">
        <v>39</v>
      </c>
      <c r="K42" s="33" t="s">
        <v>39</v>
      </c>
      <c r="L42" s="33" t="s">
        <v>39</v>
      </c>
      <c r="M42" s="33" t="s">
        <v>39</v>
      </c>
      <c r="N42" s="33" t="s">
        <v>39</v>
      </c>
      <c r="O42" s="33" t="s">
        <v>39</v>
      </c>
      <c r="P42" s="33" t="s">
        <v>39</v>
      </c>
      <c r="Q42" s="41"/>
      <c r="R42" s="41"/>
      <c r="S42" s="41"/>
      <c r="T42" s="41"/>
      <c r="U42" s="41"/>
      <c r="V42" s="41"/>
      <c r="W42" s="41"/>
      <c r="X42" s="41"/>
      <c r="Y42" s="41"/>
      <c r="Z42" s="41"/>
      <c r="AA42" s="41"/>
      <c r="AB42" s="41"/>
      <c r="AC42" s="41"/>
      <c r="AD42" s="41"/>
    </row>
    <row r="43" spans="1:30">
      <c r="A43" s="32" t="s">
        <v>563</v>
      </c>
      <c r="B43" s="33" t="s">
        <v>564</v>
      </c>
      <c r="C43" s="33" t="s">
        <v>564</v>
      </c>
      <c r="D43" s="33" t="s">
        <v>564</v>
      </c>
      <c r="E43" s="33" t="s">
        <v>564</v>
      </c>
      <c r="F43" s="33" t="s">
        <v>564</v>
      </c>
      <c r="G43" s="33" t="s">
        <v>564</v>
      </c>
      <c r="H43" s="33" t="s">
        <v>564</v>
      </c>
      <c r="I43" s="33" t="s">
        <v>564</v>
      </c>
      <c r="J43" s="33" t="s">
        <v>564</v>
      </c>
      <c r="K43" s="33" t="s">
        <v>39</v>
      </c>
      <c r="L43" s="33" t="s">
        <v>39</v>
      </c>
      <c r="M43" s="33" t="s">
        <v>39</v>
      </c>
      <c r="N43" s="33" t="s">
        <v>39</v>
      </c>
      <c r="O43" s="33" t="s">
        <v>39</v>
      </c>
      <c r="P43" s="33" t="s">
        <v>39</v>
      </c>
      <c r="Q43" s="41"/>
      <c r="R43" s="41"/>
      <c r="S43" s="41"/>
      <c r="T43" s="41"/>
      <c r="U43" s="41"/>
      <c r="V43" s="41"/>
      <c r="W43" s="41"/>
      <c r="X43" s="41"/>
      <c r="Y43" s="41"/>
      <c r="Z43" s="41"/>
      <c r="AA43" s="41"/>
      <c r="AB43" s="41"/>
      <c r="AC43" s="41"/>
      <c r="AD43" s="41"/>
    </row>
    <row r="44" spans="1:30">
      <c r="A44" s="4" t="s">
        <v>565</v>
      </c>
      <c r="B44" s="49">
        <v>-1.24</v>
      </c>
      <c r="C44" s="49">
        <v>-0.5</v>
      </c>
      <c r="D44" s="49">
        <v>-0.17</v>
      </c>
      <c r="E44" s="49">
        <v>-0.09</v>
      </c>
      <c r="F44" s="49">
        <v>0.81</v>
      </c>
      <c r="G44" s="50">
        <v>-0.18762999999999999</v>
      </c>
      <c r="H44" s="50">
        <v>8.3260000000000001E-2</v>
      </c>
      <c r="I44" s="50">
        <v>0.59824999999999995</v>
      </c>
      <c r="J44" s="50">
        <v>1</v>
      </c>
      <c r="K44" s="33" t="s">
        <v>39</v>
      </c>
      <c r="L44" s="33" t="s">
        <v>39</v>
      </c>
      <c r="M44" s="33" t="s">
        <v>39</v>
      </c>
      <c r="N44" s="33" t="s">
        <v>39</v>
      </c>
      <c r="O44" s="33" t="s">
        <v>39</v>
      </c>
      <c r="P44" s="33" t="s">
        <v>39</v>
      </c>
      <c r="Q44" s="41"/>
      <c r="R44" s="41"/>
      <c r="S44" s="41"/>
      <c r="T44" s="41"/>
      <c r="U44" s="41"/>
      <c r="V44" s="41"/>
      <c r="W44" s="41"/>
      <c r="X44" s="41"/>
      <c r="Y44" s="41"/>
      <c r="Z44" s="41"/>
      <c r="AA44" s="41"/>
      <c r="AB44" s="41"/>
      <c r="AC44" s="41"/>
      <c r="AD44" s="41"/>
    </row>
    <row r="45" spans="1:30">
      <c r="A45" s="32" t="s">
        <v>546</v>
      </c>
      <c r="B45" s="50">
        <v>-0.58372000000000002</v>
      </c>
      <c r="C45" s="50">
        <v>-0.55388999999999999</v>
      </c>
      <c r="D45" s="50">
        <v>-0.16192999999999999</v>
      </c>
      <c r="E45" s="50">
        <v>-0.11691</v>
      </c>
      <c r="F45" s="50">
        <v>-2.2429999999999999E-2</v>
      </c>
      <c r="G45" s="33" t="s">
        <v>39</v>
      </c>
      <c r="H45" s="33" t="s">
        <v>39</v>
      </c>
      <c r="I45" s="33" t="s">
        <v>39</v>
      </c>
      <c r="J45" s="33" t="s">
        <v>39</v>
      </c>
      <c r="K45" s="33" t="s">
        <v>39</v>
      </c>
      <c r="L45" s="33" t="s">
        <v>39</v>
      </c>
      <c r="M45" s="33" t="s">
        <v>39</v>
      </c>
      <c r="N45" s="33" t="s">
        <v>39</v>
      </c>
      <c r="O45" s="33" t="s">
        <v>39</v>
      </c>
      <c r="P45" s="33" t="s">
        <v>39</v>
      </c>
      <c r="Q45" s="41"/>
      <c r="R45" s="41"/>
      <c r="S45" s="41"/>
      <c r="T45" s="41"/>
      <c r="U45" s="41"/>
      <c r="V45" s="41"/>
      <c r="W45" s="41"/>
      <c r="X45" s="41"/>
      <c r="Y45" s="41"/>
      <c r="Z45" s="41"/>
      <c r="AA45" s="41"/>
      <c r="AB45" s="41"/>
      <c r="AC45" s="41"/>
      <c r="AD45" s="41"/>
    </row>
    <row r="46" spans="1:30">
      <c r="A46" s="32" t="s">
        <v>547</v>
      </c>
      <c r="B46" s="50">
        <v>-0.56499999999999995</v>
      </c>
      <c r="C46" s="50">
        <v>-0.55000000000000004</v>
      </c>
      <c r="D46" s="50">
        <v>-0.16</v>
      </c>
      <c r="E46" s="50">
        <v>-0.14838000000000001</v>
      </c>
      <c r="F46" s="50">
        <v>-0.02</v>
      </c>
      <c r="G46" s="50">
        <v>-0.21</v>
      </c>
      <c r="H46" s="50">
        <v>0.1</v>
      </c>
      <c r="I46" s="50">
        <v>0.65500000000000003</v>
      </c>
      <c r="J46" s="50">
        <v>1</v>
      </c>
      <c r="K46" s="33" t="s">
        <v>39</v>
      </c>
      <c r="L46" s="33" t="s">
        <v>39</v>
      </c>
      <c r="M46" s="33" t="s">
        <v>39</v>
      </c>
      <c r="N46" s="33" t="s">
        <v>39</v>
      </c>
      <c r="O46" s="33" t="s">
        <v>39</v>
      </c>
      <c r="P46" s="33" t="s">
        <v>39</v>
      </c>
      <c r="Q46" s="41"/>
      <c r="R46" s="41"/>
      <c r="S46" s="41"/>
      <c r="T46" s="41"/>
      <c r="U46" s="41"/>
      <c r="V46" s="41"/>
      <c r="W46" s="41"/>
      <c r="X46" s="41"/>
      <c r="Y46" s="41"/>
      <c r="Z46" s="41"/>
      <c r="AA46" s="41"/>
      <c r="AB46" s="41"/>
      <c r="AC46" s="41"/>
      <c r="AD46" s="41"/>
    </row>
    <row r="47" spans="1:30">
      <c r="A47" s="32" t="s">
        <v>548</v>
      </c>
      <c r="B47" s="50">
        <v>-0.30941999999999997</v>
      </c>
      <c r="C47" s="50">
        <v>-0.53</v>
      </c>
      <c r="D47" s="50">
        <v>-0.14000000000000001</v>
      </c>
      <c r="E47" s="50">
        <v>-0.05</v>
      </c>
      <c r="F47" s="50">
        <v>0.02</v>
      </c>
      <c r="G47" s="50">
        <v>0.13</v>
      </c>
      <c r="H47" s="50">
        <v>1.36</v>
      </c>
      <c r="I47" s="50">
        <v>1.1299999999999999</v>
      </c>
      <c r="J47" s="50">
        <v>1</v>
      </c>
      <c r="K47" s="33" t="s">
        <v>39</v>
      </c>
      <c r="L47" s="33" t="s">
        <v>39</v>
      </c>
      <c r="M47" s="33" t="s">
        <v>39</v>
      </c>
      <c r="N47" s="33" t="s">
        <v>39</v>
      </c>
      <c r="O47" s="33" t="s">
        <v>39</v>
      </c>
      <c r="P47" s="33" t="s">
        <v>39</v>
      </c>
      <c r="Q47" s="41"/>
      <c r="R47" s="41"/>
      <c r="S47" s="41"/>
      <c r="T47" s="41"/>
      <c r="U47" s="41"/>
      <c r="V47" s="41"/>
      <c r="W47" s="41"/>
      <c r="X47" s="41"/>
      <c r="Y47" s="41"/>
      <c r="Z47" s="41"/>
      <c r="AA47" s="41"/>
      <c r="AB47" s="41"/>
      <c r="AC47" s="41"/>
      <c r="AD47" s="41"/>
    </row>
    <row r="48" spans="1:30">
      <c r="A48" s="32" t="s">
        <v>549</v>
      </c>
      <c r="B48" s="50">
        <v>-0.82286999999999999</v>
      </c>
      <c r="C48" s="50">
        <v>-0.59</v>
      </c>
      <c r="D48" s="50">
        <v>-0.18</v>
      </c>
      <c r="E48" s="50">
        <v>-0.17</v>
      </c>
      <c r="F48" s="50">
        <v>-0.06</v>
      </c>
      <c r="G48" s="50">
        <v>-0.37</v>
      </c>
      <c r="H48" s="50">
        <v>-1.01</v>
      </c>
      <c r="I48" s="50">
        <v>-0.24</v>
      </c>
      <c r="J48" s="50">
        <v>1</v>
      </c>
      <c r="K48" s="33" t="s">
        <v>39</v>
      </c>
      <c r="L48" s="33" t="s">
        <v>39</v>
      </c>
      <c r="M48" s="33" t="s">
        <v>39</v>
      </c>
      <c r="N48" s="33" t="s">
        <v>39</v>
      </c>
      <c r="O48" s="33" t="s">
        <v>39</v>
      </c>
      <c r="P48" s="33" t="s">
        <v>39</v>
      </c>
      <c r="Q48" s="41"/>
      <c r="R48" s="41"/>
      <c r="S48" s="41"/>
      <c r="T48" s="41"/>
      <c r="U48" s="41"/>
      <c r="V48" s="41"/>
      <c r="W48" s="41"/>
      <c r="X48" s="41"/>
      <c r="Y48" s="41"/>
      <c r="Z48" s="41"/>
      <c r="AA48" s="41"/>
      <c r="AB48" s="41"/>
      <c r="AC48" s="41"/>
      <c r="AD48" s="41"/>
    </row>
    <row r="49" spans="1:30">
      <c r="A49" s="32" t="s">
        <v>550</v>
      </c>
      <c r="B49" s="45">
        <v>0.17224999999999999</v>
      </c>
      <c r="C49" s="45">
        <v>1.5679999999999999E-2</v>
      </c>
      <c r="D49" s="45">
        <v>1.0540000000000001E-2</v>
      </c>
      <c r="E49" s="45">
        <v>5.1700000000000003E-2</v>
      </c>
      <c r="F49" s="45">
        <v>2.179E-2</v>
      </c>
      <c r="G49" s="45">
        <v>0.10901</v>
      </c>
      <c r="H49" s="45">
        <v>0.46981000000000001</v>
      </c>
      <c r="I49" s="45">
        <v>0.34211999999999998</v>
      </c>
      <c r="J49" s="45">
        <v>0</v>
      </c>
      <c r="K49" s="33" t="s">
        <v>39</v>
      </c>
      <c r="L49" s="33" t="s">
        <v>39</v>
      </c>
      <c r="M49" s="33" t="s">
        <v>39</v>
      </c>
      <c r="N49" s="33" t="s">
        <v>39</v>
      </c>
      <c r="O49" s="33" t="s">
        <v>39</v>
      </c>
      <c r="P49" s="33" t="s">
        <v>39</v>
      </c>
      <c r="Q49" s="41"/>
      <c r="R49" s="41"/>
      <c r="S49" s="41"/>
      <c r="T49" s="41"/>
      <c r="U49" s="41"/>
      <c r="V49" s="41"/>
      <c r="W49" s="41"/>
      <c r="X49" s="41"/>
      <c r="Y49" s="41"/>
      <c r="Z49" s="41"/>
      <c r="AA49" s="41"/>
      <c r="AB49" s="41"/>
      <c r="AC49" s="41"/>
      <c r="AD49" s="41"/>
    </row>
    <row r="50" spans="1:30">
      <c r="A50" s="32" t="s">
        <v>551</v>
      </c>
      <c r="B50" s="33" t="s">
        <v>566</v>
      </c>
      <c r="C50" s="33" t="s">
        <v>567</v>
      </c>
      <c r="D50" s="33" t="s">
        <v>568</v>
      </c>
      <c r="E50" s="33" t="s">
        <v>569</v>
      </c>
      <c r="F50" s="33" t="s">
        <v>570</v>
      </c>
      <c r="G50" s="33" t="s">
        <v>571</v>
      </c>
      <c r="H50" s="33" t="s">
        <v>571</v>
      </c>
      <c r="I50" s="33" t="s">
        <v>572</v>
      </c>
      <c r="J50" s="33" t="s">
        <v>573</v>
      </c>
      <c r="K50" s="33" t="s">
        <v>39</v>
      </c>
      <c r="L50" s="33" t="s">
        <v>39</v>
      </c>
      <c r="M50" s="33" t="s">
        <v>39</v>
      </c>
      <c r="N50" s="33" t="s">
        <v>39</v>
      </c>
      <c r="O50" s="33" t="s">
        <v>39</v>
      </c>
      <c r="P50" s="33" t="s">
        <v>39</v>
      </c>
      <c r="Q50" s="41"/>
      <c r="R50" s="41"/>
      <c r="S50" s="41"/>
      <c r="T50" s="41"/>
      <c r="U50" s="41"/>
      <c r="V50" s="41"/>
      <c r="W50" s="41"/>
      <c r="X50" s="41"/>
      <c r="Y50" s="41"/>
      <c r="Z50" s="41"/>
      <c r="AA50" s="41"/>
      <c r="AB50" s="41"/>
      <c r="AC50" s="41"/>
      <c r="AD50" s="41"/>
    </row>
    <row r="51" spans="1:30">
      <c r="A51" s="32" t="s">
        <v>561</v>
      </c>
      <c r="B51" s="33" t="s">
        <v>39</v>
      </c>
      <c r="C51" s="33" t="s">
        <v>39</v>
      </c>
      <c r="D51" s="51">
        <v>-0.2</v>
      </c>
      <c r="E51" s="51">
        <v>-0.17</v>
      </c>
      <c r="F51" s="51">
        <v>-0.04</v>
      </c>
      <c r="G51" s="33" t="s">
        <v>39</v>
      </c>
      <c r="H51" s="33" t="s">
        <v>39</v>
      </c>
      <c r="I51" s="33" t="s">
        <v>39</v>
      </c>
      <c r="J51" s="33" t="s">
        <v>39</v>
      </c>
      <c r="K51" s="33" t="s">
        <v>39</v>
      </c>
      <c r="L51" s="33" t="s">
        <v>39</v>
      </c>
      <c r="M51" s="33" t="s">
        <v>39</v>
      </c>
      <c r="N51" s="33" t="s">
        <v>39</v>
      </c>
      <c r="O51" s="33" t="s">
        <v>39</v>
      </c>
      <c r="P51" s="33" t="s">
        <v>39</v>
      </c>
      <c r="Q51" s="41"/>
      <c r="R51" s="41"/>
      <c r="S51" s="41"/>
      <c r="T51" s="41"/>
      <c r="U51" s="41"/>
      <c r="V51" s="41"/>
      <c r="W51" s="41"/>
      <c r="X51" s="41"/>
      <c r="Y51" s="41"/>
      <c r="Z51" s="41"/>
      <c r="AA51" s="41"/>
      <c r="AB51" s="41"/>
      <c r="AC51" s="41"/>
      <c r="AD51" s="41"/>
    </row>
    <row r="52" spans="1:30">
      <c r="A52" s="32" t="s">
        <v>562</v>
      </c>
      <c r="B52" s="33" t="s">
        <v>39</v>
      </c>
      <c r="C52" s="33" t="s">
        <v>39</v>
      </c>
      <c r="D52" s="52">
        <v>-0.19</v>
      </c>
      <c r="E52" s="52">
        <v>-0.16</v>
      </c>
      <c r="F52" s="52">
        <v>-0.02</v>
      </c>
      <c r="G52" s="33" t="s">
        <v>39</v>
      </c>
      <c r="H52" s="33" t="s">
        <v>39</v>
      </c>
      <c r="I52" s="33" t="s">
        <v>39</v>
      </c>
      <c r="J52" s="33" t="s">
        <v>39</v>
      </c>
      <c r="K52" s="33" t="s">
        <v>39</v>
      </c>
      <c r="L52" s="33" t="s">
        <v>39</v>
      </c>
      <c r="M52" s="33" t="s">
        <v>39</v>
      </c>
      <c r="N52" s="33" t="s">
        <v>39</v>
      </c>
      <c r="O52" s="33" t="s">
        <v>39</v>
      </c>
      <c r="P52" s="33" t="s">
        <v>39</v>
      </c>
      <c r="Q52" s="41"/>
      <c r="R52" s="41"/>
      <c r="S52" s="41"/>
      <c r="T52" s="41"/>
      <c r="U52" s="41"/>
      <c r="V52" s="41"/>
      <c r="W52" s="41"/>
      <c r="X52" s="41"/>
      <c r="Y52" s="41"/>
      <c r="Z52" s="41"/>
      <c r="AA52" s="41"/>
      <c r="AB52" s="41"/>
      <c r="AC52" s="41"/>
      <c r="AD52" s="41"/>
    </row>
    <row r="53" spans="1:30">
      <c r="A53" s="32" t="s">
        <v>563</v>
      </c>
      <c r="B53" s="33" t="s">
        <v>564</v>
      </c>
      <c r="C53" s="33" t="s">
        <v>564</v>
      </c>
      <c r="D53" s="33" t="s">
        <v>564</v>
      </c>
      <c r="E53" s="33" t="s">
        <v>564</v>
      </c>
      <c r="F53" s="33" t="s">
        <v>564</v>
      </c>
      <c r="G53" s="33" t="s">
        <v>564</v>
      </c>
      <c r="H53" s="33" t="s">
        <v>564</v>
      </c>
      <c r="I53" s="33" t="s">
        <v>564</v>
      </c>
      <c r="J53" s="33" t="s">
        <v>564</v>
      </c>
      <c r="K53" s="33" t="s">
        <v>39</v>
      </c>
      <c r="L53" s="33" t="s">
        <v>39</v>
      </c>
      <c r="M53" s="33" t="s">
        <v>39</v>
      </c>
      <c r="N53" s="33" t="s">
        <v>39</v>
      </c>
      <c r="O53" s="33" t="s">
        <v>39</v>
      </c>
      <c r="P53" s="33" t="s">
        <v>39</v>
      </c>
      <c r="Q53" s="41"/>
      <c r="R53" s="41"/>
      <c r="S53" s="41"/>
      <c r="T53" s="41"/>
      <c r="U53" s="41"/>
      <c r="V53" s="41"/>
      <c r="W53" s="41"/>
      <c r="X53" s="41"/>
      <c r="Y53" s="41"/>
      <c r="Z53" s="41"/>
      <c r="AA53" s="41"/>
      <c r="AB53" s="41"/>
      <c r="AC53" s="41"/>
      <c r="AD53" s="41"/>
    </row>
    <row r="54" spans="1:30">
      <c r="A54" s="4" t="s">
        <v>574</v>
      </c>
      <c r="B54" s="33" t="s">
        <v>39</v>
      </c>
      <c r="C54" s="49">
        <v>1.4500000000000001E-2</v>
      </c>
      <c r="D54" s="33" t="s">
        <v>39</v>
      </c>
      <c r="E54" s="33" t="s">
        <v>39</v>
      </c>
      <c r="F54" s="49">
        <v>0.96775</v>
      </c>
      <c r="G54" s="50">
        <v>0.91073000000000004</v>
      </c>
      <c r="H54" s="50">
        <v>1.625</v>
      </c>
      <c r="I54" s="50">
        <v>2.4098799999999998</v>
      </c>
      <c r="J54" s="33" t="s">
        <v>39</v>
      </c>
      <c r="K54" s="33" t="s">
        <v>39</v>
      </c>
      <c r="L54" s="33" t="s">
        <v>39</v>
      </c>
      <c r="M54" s="33" t="s">
        <v>39</v>
      </c>
      <c r="N54" s="33" t="s">
        <v>39</v>
      </c>
      <c r="O54" s="33" t="s">
        <v>39</v>
      </c>
      <c r="P54" s="33" t="s">
        <v>39</v>
      </c>
      <c r="Q54" s="41"/>
      <c r="R54" s="41"/>
      <c r="S54" s="41"/>
      <c r="T54" s="41"/>
      <c r="U54" s="41"/>
      <c r="V54" s="41"/>
      <c r="W54" s="41"/>
      <c r="X54" s="41"/>
      <c r="Y54" s="41"/>
      <c r="Z54" s="41"/>
      <c r="AA54" s="41"/>
      <c r="AB54" s="41"/>
      <c r="AC54" s="41"/>
      <c r="AD54" s="41"/>
    </row>
    <row r="55" spans="1:30">
      <c r="A55" s="32" t="s">
        <v>546</v>
      </c>
      <c r="B55" s="33" t="s">
        <v>39</v>
      </c>
      <c r="C55" s="50">
        <v>0.1</v>
      </c>
      <c r="D55" s="33" t="s">
        <v>39</v>
      </c>
      <c r="E55" s="33" t="s">
        <v>39</v>
      </c>
      <c r="F55" s="50">
        <v>1.0834299999999999</v>
      </c>
      <c r="G55" s="33" t="s">
        <v>39</v>
      </c>
      <c r="H55" s="33" t="s">
        <v>39</v>
      </c>
      <c r="I55" s="33" t="s">
        <v>39</v>
      </c>
      <c r="J55" s="33" t="s">
        <v>39</v>
      </c>
      <c r="K55" s="33" t="s">
        <v>39</v>
      </c>
      <c r="L55" s="33" t="s">
        <v>39</v>
      </c>
      <c r="M55" s="33" t="s">
        <v>39</v>
      </c>
      <c r="N55" s="33" t="s">
        <v>39</v>
      </c>
      <c r="O55" s="33" t="s">
        <v>39</v>
      </c>
      <c r="P55" s="33" t="s">
        <v>39</v>
      </c>
      <c r="Q55" s="41"/>
      <c r="R55" s="41"/>
      <c r="S55" s="41"/>
      <c r="T55" s="41"/>
      <c r="U55" s="41"/>
      <c r="V55" s="41"/>
      <c r="W55" s="41"/>
      <c r="X55" s="41"/>
      <c r="Y55" s="41"/>
      <c r="Z55" s="41"/>
      <c r="AA55" s="41"/>
      <c r="AB55" s="41"/>
      <c r="AC55" s="41"/>
      <c r="AD55" s="41"/>
    </row>
    <row r="56" spans="1:30">
      <c r="A56" s="32" t="s">
        <v>547</v>
      </c>
      <c r="B56" s="33" t="s">
        <v>39</v>
      </c>
      <c r="C56" s="50">
        <v>0.1</v>
      </c>
      <c r="D56" s="33" t="s">
        <v>39</v>
      </c>
      <c r="E56" s="33" t="s">
        <v>39</v>
      </c>
      <c r="F56" s="50">
        <v>1.0834299999999999</v>
      </c>
      <c r="G56" s="50">
        <v>0.91073000000000004</v>
      </c>
      <c r="H56" s="50">
        <v>1.625</v>
      </c>
      <c r="I56" s="50">
        <v>2.4098799999999998</v>
      </c>
      <c r="J56" s="33" t="s">
        <v>39</v>
      </c>
      <c r="K56" s="33" t="s">
        <v>39</v>
      </c>
      <c r="L56" s="33" t="s">
        <v>39</v>
      </c>
      <c r="M56" s="33" t="s">
        <v>39</v>
      </c>
      <c r="N56" s="33" t="s">
        <v>39</v>
      </c>
      <c r="O56" s="33" t="s">
        <v>39</v>
      </c>
      <c r="P56" s="33" t="s">
        <v>39</v>
      </c>
      <c r="Q56" s="41"/>
      <c r="R56" s="41"/>
      <c r="S56" s="41"/>
      <c r="T56" s="41"/>
      <c r="U56" s="41"/>
      <c r="V56" s="41"/>
      <c r="W56" s="41"/>
      <c r="X56" s="41"/>
      <c r="Y56" s="41"/>
      <c r="Z56" s="41"/>
      <c r="AA56" s="41"/>
      <c r="AB56" s="41"/>
      <c r="AC56" s="41"/>
      <c r="AD56" s="41"/>
    </row>
    <row r="57" spans="1:30">
      <c r="A57" s="32" t="s">
        <v>548</v>
      </c>
      <c r="B57" s="33" t="s">
        <v>39</v>
      </c>
      <c r="C57" s="50">
        <v>0.1</v>
      </c>
      <c r="D57" s="33" t="s">
        <v>39</v>
      </c>
      <c r="E57" s="33" t="s">
        <v>39</v>
      </c>
      <c r="F57" s="50">
        <v>1.0834299999999999</v>
      </c>
      <c r="G57" s="50">
        <v>0.91073000000000004</v>
      </c>
      <c r="H57" s="50">
        <v>1.625</v>
      </c>
      <c r="I57" s="50">
        <v>2.4098799999999998</v>
      </c>
      <c r="J57" s="33" t="s">
        <v>39</v>
      </c>
      <c r="K57" s="33" t="s">
        <v>39</v>
      </c>
      <c r="L57" s="33" t="s">
        <v>39</v>
      </c>
      <c r="M57" s="33" t="s">
        <v>39</v>
      </c>
      <c r="N57" s="33" t="s">
        <v>39</v>
      </c>
      <c r="O57" s="33" t="s">
        <v>39</v>
      </c>
      <c r="P57" s="33" t="s">
        <v>39</v>
      </c>
      <c r="Q57" s="41"/>
      <c r="R57" s="41"/>
      <c r="S57" s="41"/>
      <c r="T57" s="41"/>
      <c r="U57" s="41"/>
      <c r="V57" s="41"/>
      <c r="W57" s="41"/>
      <c r="X57" s="41"/>
      <c r="Y57" s="41"/>
      <c r="Z57" s="41"/>
      <c r="AA57" s="41"/>
      <c r="AB57" s="41"/>
      <c r="AC57" s="41"/>
      <c r="AD57" s="41"/>
    </row>
    <row r="58" spans="1:30">
      <c r="A58" s="32" t="s">
        <v>549</v>
      </c>
      <c r="B58" s="33" t="s">
        <v>39</v>
      </c>
      <c r="C58" s="50">
        <v>0.1</v>
      </c>
      <c r="D58" s="33" t="s">
        <v>39</v>
      </c>
      <c r="E58" s="33" t="s">
        <v>39</v>
      </c>
      <c r="F58" s="50">
        <v>1.0834299999999999</v>
      </c>
      <c r="G58" s="50">
        <v>0.91073000000000004</v>
      </c>
      <c r="H58" s="50">
        <v>1.625</v>
      </c>
      <c r="I58" s="50">
        <v>2.4098799999999998</v>
      </c>
      <c r="J58" s="33" t="s">
        <v>39</v>
      </c>
      <c r="K58" s="33" t="s">
        <v>39</v>
      </c>
      <c r="L58" s="33" t="s">
        <v>39</v>
      </c>
      <c r="M58" s="33" t="s">
        <v>39</v>
      </c>
      <c r="N58" s="33" t="s">
        <v>39</v>
      </c>
      <c r="O58" s="33" t="s">
        <v>39</v>
      </c>
      <c r="P58" s="33" t="s">
        <v>39</v>
      </c>
      <c r="Q58" s="41"/>
      <c r="R58" s="41"/>
      <c r="S58" s="41"/>
      <c r="T58" s="41"/>
      <c r="U58" s="41"/>
      <c r="V58" s="41"/>
      <c r="W58" s="41"/>
      <c r="X58" s="41"/>
      <c r="Y58" s="41"/>
      <c r="Z58" s="41"/>
      <c r="AA58" s="41"/>
      <c r="AB58" s="41"/>
      <c r="AC58" s="41"/>
      <c r="AD58" s="41"/>
    </row>
    <row r="59" spans="1:30">
      <c r="A59" s="32" t="s">
        <v>550</v>
      </c>
      <c r="B59" s="33" t="s">
        <v>39</v>
      </c>
      <c r="C59" s="45">
        <v>0</v>
      </c>
      <c r="D59" s="33" t="s">
        <v>39</v>
      </c>
      <c r="E59" s="33" t="s">
        <v>39</v>
      </c>
      <c r="F59" s="45">
        <v>0</v>
      </c>
      <c r="G59" s="45">
        <v>0</v>
      </c>
      <c r="H59" s="45">
        <v>0</v>
      </c>
      <c r="I59" s="45">
        <v>0</v>
      </c>
      <c r="J59" s="33" t="s">
        <v>39</v>
      </c>
      <c r="K59" s="33" t="s">
        <v>39</v>
      </c>
      <c r="L59" s="33" t="s">
        <v>39</v>
      </c>
      <c r="M59" s="33" t="s">
        <v>39</v>
      </c>
      <c r="N59" s="33" t="s">
        <v>39</v>
      </c>
      <c r="O59" s="33" t="s">
        <v>39</v>
      </c>
      <c r="P59" s="33" t="s">
        <v>39</v>
      </c>
      <c r="Q59" s="41"/>
      <c r="R59" s="41"/>
      <c r="S59" s="41"/>
      <c r="T59" s="41"/>
      <c r="U59" s="41"/>
      <c r="V59" s="41"/>
      <c r="W59" s="41"/>
      <c r="X59" s="41"/>
      <c r="Y59" s="41"/>
      <c r="Z59" s="41"/>
      <c r="AA59" s="41"/>
      <c r="AB59" s="41"/>
      <c r="AC59" s="41"/>
      <c r="AD59" s="41"/>
    </row>
    <row r="60" spans="1:30">
      <c r="A60" s="32" t="s">
        <v>551</v>
      </c>
      <c r="B60" s="33" t="s">
        <v>39</v>
      </c>
      <c r="C60" s="33" t="s">
        <v>575</v>
      </c>
      <c r="D60" s="33" t="s">
        <v>39</v>
      </c>
      <c r="E60" s="33" t="s">
        <v>39</v>
      </c>
      <c r="F60" s="33" t="s">
        <v>575</v>
      </c>
      <c r="G60" s="33" t="s">
        <v>575</v>
      </c>
      <c r="H60" s="33" t="s">
        <v>575</v>
      </c>
      <c r="I60" s="33" t="s">
        <v>575</v>
      </c>
      <c r="J60" s="33" t="s">
        <v>39</v>
      </c>
      <c r="K60" s="33" t="s">
        <v>39</v>
      </c>
      <c r="L60" s="33" t="s">
        <v>39</v>
      </c>
      <c r="M60" s="33" t="s">
        <v>39</v>
      </c>
      <c r="N60" s="33" t="s">
        <v>39</v>
      </c>
      <c r="O60" s="33" t="s">
        <v>39</v>
      </c>
      <c r="P60" s="33" t="s">
        <v>39</v>
      </c>
      <c r="Q60" s="41"/>
      <c r="R60" s="41"/>
      <c r="S60" s="41"/>
      <c r="T60" s="41"/>
      <c r="U60" s="41"/>
      <c r="V60" s="41"/>
      <c r="W60" s="41"/>
      <c r="X60" s="41"/>
      <c r="Y60" s="41"/>
      <c r="Z60" s="41"/>
      <c r="AA60" s="41"/>
      <c r="AB60" s="41"/>
      <c r="AC60" s="41"/>
      <c r="AD60" s="41"/>
    </row>
    <row r="61" spans="1:30">
      <c r="A61" s="32" t="s">
        <v>563</v>
      </c>
      <c r="B61" s="33" t="s">
        <v>39</v>
      </c>
      <c r="C61" s="33" t="s">
        <v>564</v>
      </c>
      <c r="D61" s="33" t="s">
        <v>39</v>
      </c>
      <c r="E61" s="33" t="s">
        <v>39</v>
      </c>
      <c r="F61" s="33" t="s">
        <v>564</v>
      </c>
      <c r="G61" s="33" t="s">
        <v>564</v>
      </c>
      <c r="H61" s="33" t="s">
        <v>564</v>
      </c>
      <c r="I61" s="33" t="s">
        <v>564</v>
      </c>
      <c r="J61" s="33" t="s">
        <v>39</v>
      </c>
      <c r="K61" s="33" t="s">
        <v>39</v>
      </c>
      <c r="L61" s="33" t="s">
        <v>39</v>
      </c>
      <c r="M61" s="33" t="s">
        <v>39</v>
      </c>
      <c r="N61" s="33" t="s">
        <v>39</v>
      </c>
      <c r="O61" s="33" t="s">
        <v>39</v>
      </c>
      <c r="P61" s="33" t="s">
        <v>39</v>
      </c>
      <c r="Q61" s="41"/>
      <c r="R61" s="41"/>
      <c r="S61" s="41"/>
      <c r="T61" s="41"/>
      <c r="U61" s="41"/>
      <c r="V61" s="41"/>
      <c r="W61" s="41"/>
      <c r="X61" s="41"/>
      <c r="Y61" s="41"/>
      <c r="Z61" s="41"/>
      <c r="AA61" s="41"/>
      <c r="AB61" s="41"/>
      <c r="AC61" s="41"/>
      <c r="AD61" s="41"/>
    </row>
    <row r="62" spans="1:30">
      <c r="A62" s="4" t="s">
        <v>576</v>
      </c>
      <c r="B62" s="49">
        <v>0</v>
      </c>
      <c r="C62" s="49">
        <v>0</v>
      </c>
      <c r="D62" s="49">
        <v>0</v>
      </c>
      <c r="E62" s="49">
        <v>0</v>
      </c>
      <c r="F62" s="49">
        <v>0</v>
      </c>
      <c r="G62" s="50">
        <v>0</v>
      </c>
      <c r="H62" s="50">
        <v>0</v>
      </c>
      <c r="I62" s="50">
        <v>0</v>
      </c>
      <c r="J62" s="33" t="s">
        <v>39</v>
      </c>
      <c r="K62" s="33" t="s">
        <v>39</v>
      </c>
      <c r="L62" s="33" t="s">
        <v>39</v>
      </c>
      <c r="M62" s="33" t="s">
        <v>39</v>
      </c>
      <c r="N62" s="33" t="s">
        <v>39</v>
      </c>
      <c r="O62" s="33" t="s">
        <v>39</v>
      </c>
      <c r="P62" s="33" t="s">
        <v>39</v>
      </c>
      <c r="Q62" s="41"/>
      <c r="R62" s="41"/>
      <c r="S62" s="41"/>
      <c r="T62" s="41"/>
      <c r="U62" s="41"/>
      <c r="V62" s="41"/>
      <c r="W62" s="41"/>
      <c r="X62" s="41"/>
      <c r="Y62" s="41"/>
      <c r="Z62" s="41"/>
      <c r="AA62" s="41"/>
      <c r="AB62" s="41"/>
      <c r="AC62" s="41"/>
      <c r="AD62" s="41"/>
    </row>
    <row r="63" spans="1:30">
      <c r="A63" s="32" t="s">
        <v>546</v>
      </c>
      <c r="B63" s="50">
        <v>0</v>
      </c>
      <c r="C63" s="50">
        <v>0</v>
      </c>
      <c r="D63" s="50">
        <v>0</v>
      </c>
      <c r="E63" s="50">
        <v>0</v>
      </c>
      <c r="F63" s="50">
        <v>0</v>
      </c>
      <c r="G63" s="33" t="s">
        <v>39</v>
      </c>
      <c r="H63" s="33" t="s">
        <v>39</v>
      </c>
      <c r="I63" s="33" t="s">
        <v>39</v>
      </c>
      <c r="J63" s="33" t="s">
        <v>39</v>
      </c>
      <c r="K63" s="33" t="s">
        <v>39</v>
      </c>
      <c r="L63" s="33" t="s">
        <v>39</v>
      </c>
      <c r="M63" s="33" t="s">
        <v>39</v>
      </c>
      <c r="N63" s="33" t="s">
        <v>39</v>
      </c>
      <c r="O63" s="33" t="s">
        <v>39</v>
      </c>
      <c r="P63" s="33" t="s">
        <v>39</v>
      </c>
      <c r="Q63" s="41"/>
      <c r="R63" s="41"/>
      <c r="S63" s="41"/>
      <c r="T63" s="41"/>
      <c r="U63" s="41"/>
      <c r="V63" s="41"/>
      <c r="W63" s="41"/>
      <c r="X63" s="41"/>
      <c r="Y63" s="41"/>
      <c r="Z63" s="41"/>
      <c r="AA63" s="41"/>
      <c r="AB63" s="41"/>
      <c r="AC63" s="41"/>
      <c r="AD63" s="41"/>
    </row>
    <row r="64" spans="1:30">
      <c r="A64" s="32" t="s">
        <v>547</v>
      </c>
      <c r="B64" s="50">
        <v>0</v>
      </c>
      <c r="C64" s="50">
        <v>0</v>
      </c>
      <c r="D64" s="50">
        <v>0</v>
      </c>
      <c r="E64" s="50">
        <v>0</v>
      </c>
      <c r="F64" s="50">
        <v>0</v>
      </c>
      <c r="G64" s="50">
        <v>0</v>
      </c>
      <c r="H64" s="50">
        <v>0</v>
      </c>
      <c r="I64" s="50">
        <v>0</v>
      </c>
      <c r="J64" s="33" t="s">
        <v>39</v>
      </c>
      <c r="K64" s="33" t="s">
        <v>39</v>
      </c>
      <c r="L64" s="33" t="s">
        <v>39</v>
      </c>
      <c r="M64" s="33" t="s">
        <v>39</v>
      </c>
      <c r="N64" s="33" t="s">
        <v>39</v>
      </c>
      <c r="O64" s="33" t="s">
        <v>39</v>
      </c>
      <c r="P64" s="33" t="s">
        <v>39</v>
      </c>
      <c r="Q64" s="41"/>
      <c r="R64" s="41"/>
      <c r="S64" s="41"/>
      <c r="T64" s="41"/>
      <c r="U64" s="41"/>
      <c r="V64" s="41"/>
      <c r="W64" s="41"/>
      <c r="X64" s="41"/>
      <c r="Y64" s="41"/>
      <c r="Z64" s="41"/>
      <c r="AA64" s="41"/>
      <c r="AB64" s="41"/>
      <c r="AC64" s="41"/>
      <c r="AD64" s="41"/>
    </row>
    <row r="65" spans="1:30">
      <c r="A65" s="32" t="s">
        <v>548</v>
      </c>
      <c r="B65" s="50">
        <v>0</v>
      </c>
      <c r="C65" s="50">
        <v>0</v>
      </c>
      <c r="D65" s="50">
        <v>0</v>
      </c>
      <c r="E65" s="50">
        <v>0</v>
      </c>
      <c r="F65" s="50">
        <v>0</v>
      </c>
      <c r="G65" s="50">
        <v>0</v>
      </c>
      <c r="H65" s="50">
        <v>0</v>
      </c>
      <c r="I65" s="50">
        <v>0</v>
      </c>
      <c r="J65" s="33" t="s">
        <v>39</v>
      </c>
      <c r="K65" s="33" t="s">
        <v>39</v>
      </c>
      <c r="L65" s="33" t="s">
        <v>39</v>
      </c>
      <c r="M65" s="33" t="s">
        <v>39</v>
      </c>
      <c r="N65" s="33" t="s">
        <v>39</v>
      </c>
      <c r="O65" s="33" t="s">
        <v>39</v>
      </c>
      <c r="P65" s="33" t="s">
        <v>39</v>
      </c>
      <c r="Q65" s="41"/>
      <c r="R65" s="41"/>
      <c r="S65" s="41"/>
      <c r="T65" s="41"/>
      <c r="U65" s="41"/>
      <c r="V65" s="41"/>
      <c r="W65" s="41"/>
      <c r="X65" s="41"/>
      <c r="Y65" s="41"/>
      <c r="Z65" s="41"/>
      <c r="AA65" s="41"/>
      <c r="AB65" s="41"/>
      <c r="AC65" s="41"/>
      <c r="AD65" s="41"/>
    </row>
    <row r="66" spans="1:30">
      <c r="A66" s="32" t="s">
        <v>549</v>
      </c>
      <c r="B66" s="50">
        <v>0</v>
      </c>
      <c r="C66" s="50">
        <v>0</v>
      </c>
      <c r="D66" s="50">
        <v>0</v>
      </c>
      <c r="E66" s="50">
        <v>0</v>
      </c>
      <c r="F66" s="50">
        <v>0</v>
      </c>
      <c r="G66" s="50">
        <v>0</v>
      </c>
      <c r="H66" s="50">
        <v>0</v>
      </c>
      <c r="I66" s="50">
        <v>0</v>
      </c>
      <c r="J66" s="33" t="s">
        <v>39</v>
      </c>
      <c r="K66" s="33" t="s">
        <v>39</v>
      </c>
      <c r="L66" s="33" t="s">
        <v>39</v>
      </c>
      <c r="M66" s="33" t="s">
        <v>39</v>
      </c>
      <c r="N66" s="33" t="s">
        <v>39</v>
      </c>
      <c r="O66" s="33" t="s">
        <v>39</v>
      </c>
      <c r="P66" s="33" t="s">
        <v>39</v>
      </c>
      <c r="Q66" s="41"/>
      <c r="R66" s="41"/>
      <c r="S66" s="41"/>
      <c r="T66" s="41"/>
      <c r="U66" s="41"/>
      <c r="V66" s="41"/>
      <c r="W66" s="41"/>
      <c r="X66" s="41"/>
      <c r="Y66" s="41"/>
      <c r="Z66" s="41"/>
      <c r="AA66" s="41"/>
      <c r="AB66" s="41"/>
      <c r="AC66" s="41"/>
      <c r="AD66" s="41"/>
    </row>
    <row r="67" spans="1:30">
      <c r="A67" s="32" t="s">
        <v>550</v>
      </c>
      <c r="B67" s="45">
        <v>0</v>
      </c>
      <c r="C67" s="45">
        <v>0</v>
      </c>
      <c r="D67" s="45">
        <v>0</v>
      </c>
      <c r="E67" s="45">
        <v>0</v>
      </c>
      <c r="F67" s="45">
        <v>0</v>
      </c>
      <c r="G67" s="45">
        <v>0</v>
      </c>
      <c r="H67" s="45">
        <v>0</v>
      </c>
      <c r="I67" s="45">
        <v>0</v>
      </c>
      <c r="J67" s="33" t="s">
        <v>39</v>
      </c>
      <c r="K67" s="33" t="s">
        <v>39</v>
      </c>
      <c r="L67" s="33" t="s">
        <v>39</v>
      </c>
      <c r="M67" s="33" t="s">
        <v>39</v>
      </c>
      <c r="N67" s="33" t="s">
        <v>39</v>
      </c>
      <c r="O67" s="33" t="s">
        <v>39</v>
      </c>
      <c r="P67" s="33" t="s">
        <v>39</v>
      </c>
      <c r="Q67" s="41"/>
      <c r="R67" s="41"/>
      <c r="S67" s="41"/>
      <c r="T67" s="41"/>
      <c r="U67" s="41"/>
      <c r="V67" s="41"/>
      <c r="W67" s="41"/>
      <c r="X67" s="41"/>
      <c r="Y67" s="41"/>
      <c r="Z67" s="41"/>
      <c r="AA67" s="41"/>
      <c r="AB67" s="41"/>
      <c r="AC67" s="41"/>
      <c r="AD67" s="41"/>
    </row>
    <row r="68" spans="1:30">
      <c r="A68" s="32" t="s">
        <v>551</v>
      </c>
      <c r="B68" s="33" t="s">
        <v>575</v>
      </c>
      <c r="C68" s="33" t="s">
        <v>577</v>
      </c>
      <c r="D68" s="33" t="s">
        <v>578</v>
      </c>
      <c r="E68" s="33" t="s">
        <v>577</v>
      </c>
      <c r="F68" s="33" t="s">
        <v>579</v>
      </c>
      <c r="G68" s="33" t="s">
        <v>580</v>
      </c>
      <c r="H68" s="33" t="s">
        <v>580</v>
      </c>
      <c r="I68" s="33" t="s">
        <v>516</v>
      </c>
      <c r="J68" s="33" t="s">
        <v>39</v>
      </c>
      <c r="K68" s="33" t="s">
        <v>39</v>
      </c>
      <c r="L68" s="33" t="s">
        <v>39</v>
      </c>
      <c r="M68" s="33" t="s">
        <v>39</v>
      </c>
      <c r="N68" s="33" t="s">
        <v>39</v>
      </c>
      <c r="O68" s="33" t="s">
        <v>39</v>
      </c>
      <c r="P68" s="33" t="s">
        <v>39</v>
      </c>
      <c r="Q68" s="41"/>
      <c r="R68" s="41"/>
      <c r="S68" s="41"/>
      <c r="T68" s="41"/>
      <c r="U68" s="41"/>
      <c r="V68" s="41"/>
      <c r="W68" s="41"/>
      <c r="X68" s="41"/>
      <c r="Y68" s="41"/>
      <c r="Z68" s="41"/>
      <c r="AA68" s="41"/>
      <c r="AB68" s="41"/>
      <c r="AC68" s="41"/>
      <c r="AD68" s="41"/>
    </row>
    <row r="69" spans="1:30">
      <c r="A69" s="32" t="s">
        <v>563</v>
      </c>
      <c r="B69" s="33" t="s">
        <v>564</v>
      </c>
      <c r="C69" s="33" t="s">
        <v>564</v>
      </c>
      <c r="D69" s="33" t="s">
        <v>564</v>
      </c>
      <c r="E69" s="33" t="s">
        <v>564</v>
      </c>
      <c r="F69" s="33" t="s">
        <v>564</v>
      </c>
      <c r="G69" s="33" t="s">
        <v>564</v>
      </c>
      <c r="H69" s="33" t="s">
        <v>564</v>
      </c>
      <c r="I69" s="33" t="s">
        <v>564</v>
      </c>
      <c r="J69" s="33" t="s">
        <v>39</v>
      </c>
      <c r="K69" s="33" t="s">
        <v>39</v>
      </c>
      <c r="L69" s="33" t="s">
        <v>39</v>
      </c>
      <c r="M69" s="33" t="s">
        <v>39</v>
      </c>
      <c r="N69" s="33" t="s">
        <v>39</v>
      </c>
      <c r="O69" s="33" t="s">
        <v>39</v>
      </c>
      <c r="P69" s="33" t="s">
        <v>39</v>
      </c>
      <c r="Q69" s="41"/>
      <c r="R69" s="41"/>
      <c r="S69" s="41"/>
      <c r="T69" s="41"/>
      <c r="U69" s="41"/>
      <c r="V69" s="41"/>
      <c r="W69" s="41"/>
      <c r="X69" s="41"/>
      <c r="Y69" s="41"/>
      <c r="Z69" s="41"/>
      <c r="AA69" s="41"/>
      <c r="AB69" s="41"/>
      <c r="AC69" s="41"/>
      <c r="AD69" s="41"/>
    </row>
    <row r="70" spans="1:30">
      <c r="A70" s="4" t="s">
        <v>581</v>
      </c>
      <c r="B70" s="49">
        <v>1.5169999999999999</v>
      </c>
      <c r="C70" s="49">
        <v>1.5805</v>
      </c>
      <c r="D70" s="49">
        <v>1.9897</v>
      </c>
      <c r="E70" s="49">
        <v>2.6867000000000001</v>
      </c>
      <c r="F70" s="49">
        <v>3.5333000000000001</v>
      </c>
      <c r="G70" s="50">
        <v>4.3550399999999998</v>
      </c>
      <c r="H70" s="50">
        <v>5.3674499999999998</v>
      </c>
      <c r="I70" s="50">
        <v>6.81196</v>
      </c>
      <c r="J70" s="50">
        <v>12.8</v>
      </c>
      <c r="K70" s="33" t="s">
        <v>39</v>
      </c>
      <c r="L70" s="33" t="s">
        <v>39</v>
      </c>
      <c r="M70" s="33" t="s">
        <v>39</v>
      </c>
      <c r="N70" s="33" t="s">
        <v>39</v>
      </c>
      <c r="O70" s="33" t="s">
        <v>39</v>
      </c>
      <c r="P70" s="33" t="s">
        <v>39</v>
      </c>
      <c r="Q70" s="41"/>
      <c r="R70" s="41"/>
      <c r="S70" s="41"/>
      <c r="T70" s="41"/>
      <c r="U70" s="41"/>
      <c r="V70" s="41"/>
      <c r="W70" s="41"/>
      <c r="X70" s="41"/>
      <c r="Y70" s="41"/>
      <c r="Z70" s="41"/>
      <c r="AA70" s="41"/>
      <c r="AB70" s="41"/>
      <c r="AC70" s="41"/>
      <c r="AD70" s="41"/>
    </row>
    <row r="71" spans="1:30">
      <c r="A71" s="32" t="s">
        <v>546</v>
      </c>
      <c r="B71" s="50">
        <v>1.53</v>
      </c>
      <c r="C71" s="50">
        <v>1.4879199999999999</v>
      </c>
      <c r="D71" s="50">
        <v>1.94702</v>
      </c>
      <c r="E71" s="50">
        <v>2.8930699999999998</v>
      </c>
      <c r="F71" s="50">
        <v>3.1301800000000002</v>
      </c>
      <c r="G71" s="33" t="s">
        <v>39</v>
      </c>
      <c r="H71" s="33" t="s">
        <v>39</v>
      </c>
      <c r="I71" s="33" t="s">
        <v>39</v>
      </c>
      <c r="J71" s="33" t="s">
        <v>39</v>
      </c>
      <c r="K71" s="33" t="s">
        <v>39</v>
      </c>
      <c r="L71" s="33" t="s">
        <v>39</v>
      </c>
      <c r="M71" s="33" t="s">
        <v>39</v>
      </c>
      <c r="N71" s="33" t="s">
        <v>39</v>
      </c>
      <c r="O71" s="33" t="s">
        <v>39</v>
      </c>
      <c r="P71" s="33" t="s">
        <v>39</v>
      </c>
      <c r="Q71" s="41"/>
      <c r="R71" s="41"/>
      <c r="S71" s="41"/>
      <c r="T71" s="41"/>
      <c r="U71" s="41"/>
      <c r="V71" s="41"/>
      <c r="W71" s="41"/>
      <c r="X71" s="41"/>
      <c r="Y71" s="41"/>
      <c r="Z71" s="41"/>
      <c r="AA71" s="41"/>
      <c r="AB71" s="41"/>
      <c r="AC71" s="41"/>
      <c r="AD71" s="41"/>
    </row>
    <row r="72" spans="1:30">
      <c r="A72" s="32" t="s">
        <v>547</v>
      </c>
      <c r="B72" s="50">
        <v>1.53</v>
      </c>
      <c r="C72" s="50">
        <v>1.4934099999999999</v>
      </c>
      <c r="D72" s="50">
        <v>1.8740399999999999</v>
      </c>
      <c r="E72" s="50">
        <v>2.6591999999999998</v>
      </c>
      <c r="F72" s="50">
        <v>2.96286</v>
      </c>
      <c r="G72" s="50">
        <v>4.2469999999999999</v>
      </c>
      <c r="H72" s="50">
        <v>5.4437899999999999</v>
      </c>
      <c r="I72" s="50">
        <v>7.01</v>
      </c>
      <c r="J72" s="50">
        <v>12.8</v>
      </c>
      <c r="K72" s="33" t="s">
        <v>39</v>
      </c>
      <c r="L72" s="33" t="s">
        <v>39</v>
      </c>
      <c r="M72" s="33" t="s">
        <v>39</v>
      </c>
      <c r="N72" s="33" t="s">
        <v>39</v>
      </c>
      <c r="O72" s="33" t="s">
        <v>39</v>
      </c>
      <c r="P72" s="33" t="s">
        <v>39</v>
      </c>
      <c r="Q72" s="41"/>
      <c r="R72" s="41"/>
      <c r="S72" s="41"/>
      <c r="T72" s="41"/>
      <c r="U72" s="41"/>
      <c r="V72" s="41"/>
      <c r="W72" s="41"/>
      <c r="X72" s="41"/>
      <c r="Y72" s="41"/>
      <c r="Z72" s="41"/>
      <c r="AA72" s="41"/>
      <c r="AB72" s="41"/>
      <c r="AC72" s="41"/>
      <c r="AD72" s="41"/>
    </row>
    <row r="73" spans="1:30">
      <c r="A73" s="32" t="s">
        <v>548</v>
      </c>
      <c r="B73" s="50">
        <v>1.53</v>
      </c>
      <c r="C73" s="50">
        <v>1.61</v>
      </c>
      <c r="D73" s="50">
        <v>2.34</v>
      </c>
      <c r="E73" s="50">
        <v>3.62</v>
      </c>
      <c r="F73" s="50">
        <v>4.1900000000000004</v>
      </c>
      <c r="G73" s="50">
        <v>4.7082100000000002</v>
      </c>
      <c r="H73" s="50">
        <v>7</v>
      </c>
      <c r="I73" s="50">
        <v>9.6</v>
      </c>
      <c r="J73" s="50">
        <v>12.8</v>
      </c>
      <c r="K73" s="33" t="s">
        <v>39</v>
      </c>
      <c r="L73" s="33" t="s">
        <v>39</v>
      </c>
      <c r="M73" s="33" t="s">
        <v>39</v>
      </c>
      <c r="N73" s="33" t="s">
        <v>39</v>
      </c>
      <c r="O73" s="33" t="s">
        <v>39</v>
      </c>
      <c r="P73" s="33" t="s">
        <v>39</v>
      </c>
      <c r="Q73" s="41"/>
      <c r="R73" s="41"/>
      <c r="S73" s="41"/>
      <c r="T73" s="41"/>
      <c r="U73" s="41"/>
      <c r="V73" s="41"/>
      <c r="W73" s="41"/>
      <c r="X73" s="41"/>
      <c r="Y73" s="41"/>
      <c r="Z73" s="41"/>
      <c r="AA73" s="41"/>
      <c r="AB73" s="41"/>
      <c r="AC73" s="41"/>
      <c r="AD73" s="41"/>
    </row>
    <row r="74" spans="1:30">
      <c r="A74" s="32" t="s">
        <v>549</v>
      </c>
      <c r="B74" s="50">
        <v>1.53</v>
      </c>
      <c r="C74" s="50">
        <v>1.4161699999999999</v>
      </c>
      <c r="D74" s="50">
        <v>1.7</v>
      </c>
      <c r="E74" s="50">
        <v>2.4</v>
      </c>
      <c r="F74" s="50">
        <v>2.58</v>
      </c>
      <c r="G74" s="50">
        <v>4.16</v>
      </c>
      <c r="H74" s="50">
        <v>3.79</v>
      </c>
      <c r="I74" s="50">
        <v>4.09</v>
      </c>
      <c r="J74" s="50">
        <v>12.8</v>
      </c>
      <c r="K74" s="33" t="s">
        <v>39</v>
      </c>
      <c r="L74" s="33" t="s">
        <v>39</v>
      </c>
      <c r="M74" s="33" t="s">
        <v>39</v>
      </c>
      <c r="N74" s="33" t="s">
        <v>39</v>
      </c>
      <c r="O74" s="33" t="s">
        <v>39</v>
      </c>
      <c r="P74" s="33" t="s">
        <v>39</v>
      </c>
      <c r="Q74" s="41"/>
      <c r="R74" s="41"/>
      <c r="S74" s="41"/>
      <c r="T74" s="41"/>
      <c r="U74" s="41"/>
      <c r="V74" s="41"/>
      <c r="W74" s="41"/>
      <c r="X74" s="41"/>
      <c r="Y74" s="41"/>
      <c r="Z74" s="41"/>
      <c r="AA74" s="41"/>
      <c r="AB74" s="41"/>
      <c r="AC74" s="41"/>
      <c r="AD74" s="41"/>
    </row>
    <row r="75" spans="1:30">
      <c r="A75" s="32" t="s">
        <v>550</v>
      </c>
      <c r="B75" s="45">
        <v>0</v>
      </c>
      <c r="C75" s="45">
        <v>7.0489999999999997E-2</v>
      </c>
      <c r="D75" s="45">
        <v>0.24345</v>
      </c>
      <c r="E75" s="45">
        <v>0.52480000000000004</v>
      </c>
      <c r="F75" s="45">
        <v>0.52607999999999999</v>
      </c>
      <c r="G75" s="45">
        <v>0.20224</v>
      </c>
      <c r="H75" s="45">
        <v>0.88039999999999996</v>
      </c>
      <c r="I75" s="45">
        <v>1.61893</v>
      </c>
      <c r="J75" s="45">
        <v>0</v>
      </c>
      <c r="K75" s="33" t="s">
        <v>39</v>
      </c>
      <c r="L75" s="33" t="s">
        <v>39</v>
      </c>
      <c r="M75" s="33" t="s">
        <v>39</v>
      </c>
      <c r="N75" s="33" t="s">
        <v>39</v>
      </c>
      <c r="O75" s="33" t="s">
        <v>39</v>
      </c>
      <c r="P75" s="33" t="s">
        <v>39</v>
      </c>
      <c r="Q75" s="41"/>
      <c r="R75" s="41"/>
      <c r="S75" s="41"/>
      <c r="T75" s="41"/>
      <c r="U75" s="41"/>
      <c r="V75" s="41"/>
      <c r="W75" s="41"/>
      <c r="X75" s="41"/>
      <c r="Y75" s="41"/>
      <c r="Z75" s="41"/>
      <c r="AA75" s="41"/>
      <c r="AB75" s="41"/>
      <c r="AC75" s="41"/>
      <c r="AD75" s="41"/>
    </row>
    <row r="76" spans="1:30">
      <c r="A76" s="32" t="s">
        <v>551</v>
      </c>
      <c r="B76" s="33" t="s">
        <v>573</v>
      </c>
      <c r="C76" s="33" t="s">
        <v>516</v>
      </c>
      <c r="D76" s="33" t="s">
        <v>578</v>
      </c>
      <c r="E76" s="33" t="s">
        <v>577</v>
      </c>
      <c r="F76" s="33" t="s">
        <v>582</v>
      </c>
      <c r="G76" s="33" t="s">
        <v>583</v>
      </c>
      <c r="H76" s="33" t="s">
        <v>582</v>
      </c>
      <c r="I76" s="33" t="s">
        <v>580</v>
      </c>
      <c r="J76" s="33" t="s">
        <v>575</v>
      </c>
      <c r="K76" s="33" t="s">
        <v>39</v>
      </c>
      <c r="L76" s="33" t="s">
        <v>39</v>
      </c>
      <c r="M76" s="33" t="s">
        <v>39</v>
      </c>
      <c r="N76" s="33" t="s">
        <v>39</v>
      </c>
      <c r="O76" s="33" t="s">
        <v>39</v>
      </c>
      <c r="P76" s="33" t="s">
        <v>39</v>
      </c>
      <c r="Q76" s="41"/>
      <c r="R76" s="41"/>
      <c r="S76" s="41"/>
      <c r="T76" s="41"/>
      <c r="U76" s="41"/>
      <c r="V76" s="41"/>
      <c r="W76" s="41"/>
      <c r="X76" s="41"/>
      <c r="Y76" s="41"/>
      <c r="Z76" s="41"/>
      <c r="AA76" s="41"/>
      <c r="AB76" s="41"/>
      <c r="AC76" s="41"/>
      <c r="AD76" s="41"/>
    </row>
    <row r="77" spans="1:30">
      <c r="A77" s="32" t="s">
        <v>563</v>
      </c>
      <c r="B77" s="33" t="s">
        <v>564</v>
      </c>
      <c r="C77" s="33" t="s">
        <v>564</v>
      </c>
      <c r="D77" s="33" t="s">
        <v>564</v>
      </c>
      <c r="E77" s="33" t="s">
        <v>564</v>
      </c>
      <c r="F77" s="33" t="s">
        <v>564</v>
      </c>
      <c r="G77" s="33" t="s">
        <v>564</v>
      </c>
      <c r="H77" s="33" t="s">
        <v>564</v>
      </c>
      <c r="I77" s="33" t="s">
        <v>564</v>
      </c>
      <c r="J77" s="33" t="s">
        <v>564</v>
      </c>
      <c r="K77" s="33" t="s">
        <v>39</v>
      </c>
      <c r="L77" s="33" t="s">
        <v>39</v>
      </c>
      <c r="M77" s="33" t="s">
        <v>39</v>
      </c>
      <c r="N77" s="33" t="s">
        <v>39</v>
      </c>
      <c r="O77" s="33" t="s">
        <v>39</v>
      </c>
      <c r="P77" s="33" t="s">
        <v>39</v>
      </c>
      <c r="Q77" s="41"/>
      <c r="R77" s="41"/>
      <c r="S77" s="41"/>
      <c r="T77" s="41"/>
      <c r="U77" s="41"/>
      <c r="V77" s="41"/>
      <c r="W77" s="41"/>
      <c r="X77" s="41"/>
      <c r="Y77" s="41"/>
      <c r="Z77" s="41"/>
      <c r="AA77" s="41"/>
      <c r="AB77" s="41"/>
      <c r="AC77" s="41"/>
      <c r="AD77" s="41"/>
    </row>
    <row r="78" spans="1:30">
      <c r="A78" s="4" t="s">
        <v>584</v>
      </c>
      <c r="B78" s="33" t="s">
        <v>39</v>
      </c>
      <c r="C78" s="49">
        <v>1.3707</v>
      </c>
      <c r="D78" s="49">
        <v>1.6732499999999999</v>
      </c>
      <c r="E78" s="33" t="s">
        <v>39</v>
      </c>
      <c r="F78" s="49">
        <v>2.8422999999999998</v>
      </c>
      <c r="G78" s="50">
        <v>3.33</v>
      </c>
      <c r="H78" s="50">
        <v>3.01</v>
      </c>
      <c r="I78" s="50">
        <v>3.33</v>
      </c>
      <c r="J78" s="33" t="s">
        <v>39</v>
      </c>
      <c r="K78" s="33" t="s">
        <v>39</v>
      </c>
      <c r="L78" s="33" t="s">
        <v>39</v>
      </c>
      <c r="M78" s="33" t="s">
        <v>39</v>
      </c>
      <c r="N78" s="33" t="s">
        <v>39</v>
      </c>
      <c r="O78" s="33" t="s">
        <v>39</v>
      </c>
      <c r="P78" s="33" t="s">
        <v>39</v>
      </c>
      <c r="Q78" s="41"/>
      <c r="R78" s="41"/>
      <c r="S78" s="41"/>
      <c r="T78" s="41"/>
      <c r="U78" s="41"/>
      <c r="V78" s="41"/>
      <c r="W78" s="41"/>
      <c r="X78" s="41"/>
      <c r="Y78" s="41"/>
      <c r="Z78" s="41"/>
      <c r="AA78" s="41"/>
      <c r="AB78" s="41"/>
      <c r="AC78" s="41"/>
      <c r="AD78" s="41"/>
    </row>
    <row r="79" spans="1:30">
      <c r="A79" s="32" t="s">
        <v>546</v>
      </c>
      <c r="B79" s="33" t="s">
        <v>39</v>
      </c>
      <c r="C79" s="50">
        <v>1.2273499999999999</v>
      </c>
      <c r="D79" s="50">
        <v>1.53</v>
      </c>
      <c r="E79" s="33" t="s">
        <v>39</v>
      </c>
      <c r="F79" s="50">
        <v>1.89</v>
      </c>
      <c r="G79" s="33" t="s">
        <v>39</v>
      </c>
      <c r="H79" s="33" t="s">
        <v>39</v>
      </c>
      <c r="I79" s="33" t="s">
        <v>39</v>
      </c>
      <c r="J79" s="33" t="s">
        <v>39</v>
      </c>
      <c r="K79" s="33" t="s">
        <v>39</v>
      </c>
      <c r="L79" s="33" t="s">
        <v>39</v>
      </c>
      <c r="M79" s="33" t="s">
        <v>39</v>
      </c>
      <c r="N79" s="33" t="s">
        <v>39</v>
      </c>
      <c r="O79" s="33" t="s">
        <v>39</v>
      </c>
      <c r="P79" s="33" t="s">
        <v>39</v>
      </c>
      <c r="Q79" s="41"/>
      <c r="R79" s="41"/>
      <c r="S79" s="41"/>
      <c r="T79" s="41"/>
      <c r="U79" s="41"/>
      <c r="V79" s="41"/>
      <c r="W79" s="41"/>
      <c r="X79" s="41"/>
      <c r="Y79" s="41"/>
      <c r="Z79" s="41"/>
      <c r="AA79" s="41"/>
      <c r="AB79" s="41"/>
      <c r="AC79" s="41"/>
      <c r="AD79" s="41"/>
    </row>
    <row r="80" spans="1:30">
      <c r="A80" s="32" t="s">
        <v>547</v>
      </c>
      <c r="B80" s="33" t="s">
        <v>39</v>
      </c>
      <c r="C80" s="50">
        <v>1.1920500000000001</v>
      </c>
      <c r="D80" s="50">
        <v>1.53</v>
      </c>
      <c r="E80" s="33" t="s">
        <v>39</v>
      </c>
      <c r="F80" s="50">
        <v>1.89</v>
      </c>
      <c r="G80" s="50">
        <v>3.33</v>
      </c>
      <c r="H80" s="50">
        <v>3.01</v>
      </c>
      <c r="I80" s="50">
        <v>3.33</v>
      </c>
      <c r="J80" s="33" t="s">
        <v>39</v>
      </c>
      <c r="K80" s="33" t="s">
        <v>39</v>
      </c>
      <c r="L80" s="33" t="s">
        <v>39</v>
      </c>
      <c r="M80" s="33" t="s">
        <v>39</v>
      </c>
      <c r="N80" s="33" t="s">
        <v>39</v>
      </c>
      <c r="O80" s="33" t="s">
        <v>39</v>
      </c>
      <c r="P80" s="33" t="s">
        <v>39</v>
      </c>
      <c r="Q80" s="41"/>
      <c r="R80" s="41"/>
      <c r="S80" s="41"/>
      <c r="T80" s="41"/>
      <c r="U80" s="41"/>
      <c r="V80" s="41"/>
      <c r="W80" s="41"/>
      <c r="X80" s="41"/>
      <c r="Y80" s="41"/>
      <c r="Z80" s="41"/>
      <c r="AA80" s="41"/>
      <c r="AB80" s="41"/>
      <c r="AC80" s="41"/>
      <c r="AD80" s="41"/>
    </row>
    <row r="81" spans="1:30">
      <c r="A81" s="32" t="s">
        <v>548</v>
      </c>
      <c r="B81" s="33" t="s">
        <v>39</v>
      </c>
      <c r="C81" s="50">
        <v>1.3</v>
      </c>
      <c r="D81" s="50">
        <v>1.53</v>
      </c>
      <c r="E81" s="33" t="s">
        <v>39</v>
      </c>
      <c r="F81" s="50">
        <v>1.89</v>
      </c>
      <c r="G81" s="50">
        <v>3.33</v>
      </c>
      <c r="H81" s="50">
        <v>3.01</v>
      </c>
      <c r="I81" s="50">
        <v>3.33</v>
      </c>
      <c r="J81" s="33" t="s">
        <v>39</v>
      </c>
      <c r="K81" s="33" t="s">
        <v>39</v>
      </c>
      <c r="L81" s="33" t="s">
        <v>39</v>
      </c>
      <c r="M81" s="33" t="s">
        <v>39</v>
      </c>
      <c r="N81" s="33" t="s">
        <v>39</v>
      </c>
      <c r="O81" s="33" t="s">
        <v>39</v>
      </c>
      <c r="P81" s="33" t="s">
        <v>39</v>
      </c>
      <c r="Q81" s="41"/>
      <c r="R81" s="41"/>
      <c r="S81" s="41"/>
      <c r="T81" s="41"/>
      <c r="U81" s="41"/>
      <c r="V81" s="41"/>
      <c r="W81" s="41"/>
      <c r="X81" s="41"/>
      <c r="Y81" s="41"/>
      <c r="Z81" s="41"/>
      <c r="AA81" s="41"/>
      <c r="AB81" s="41"/>
      <c r="AC81" s="41"/>
      <c r="AD81" s="41"/>
    </row>
    <row r="82" spans="1:30">
      <c r="A82" s="32" t="s">
        <v>549</v>
      </c>
      <c r="B82" s="33" t="s">
        <v>39</v>
      </c>
      <c r="C82" s="50">
        <v>1.19</v>
      </c>
      <c r="D82" s="50">
        <v>1.53</v>
      </c>
      <c r="E82" s="33" t="s">
        <v>39</v>
      </c>
      <c r="F82" s="50">
        <v>1.89</v>
      </c>
      <c r="G82" s="50">
        <v>3.33</v>
      </c>
      <c r="H82" s="50">
        <v>3.01</v>
      </c>
      <c r="I82" s="50">
        <v>3.33</v>
      </c>
      <c r="J82" s="33" t="s">
        <v>39</v>
      </c>
      <c r="K82" s="33" t="s">
        <v>39</v>
      </c>
      <c r="L82" s="33" t="s">
        <v>39</v>
      </c>
      <c r="M82" s="33" t="s">
        <v>39</v>
      </c>
      <c r="N82" s="33" t="s">
        <v>39</v>
      </c>
      <c r="O82" s="33" t="s">
        <v>39</v>
      </c>
      <c r="P82" s="33" t="s">
        <v>39</v>
      </c>
      <c r="Q82" s="41"/>
      <c r="R82" s="41"/>
      <c r="S82" s="41"/>
      <c r="T82" s="41"/>
      <c r="U82" s="41"/>
      <c r="V82" s="41"/>
      <c r="W82" s="41"/>
      <c r="X82" s="41"/>
      <c r="Y82" s="41"/>
      <c r="Z82" s="41"/>
      <c r="AA82" s="41"/>
      <c r="AB82" s="41"/>
      <c r="AC82" s="41"/>
      <c r="AD82" s="41"/>
    </row>
    <row r="83" spans="1:30">
      <c r="A83" s="32" t="s">
        <v>550</v>
      </c>
      <c r="B83" s="33" t="s">
        <v>39</v>
      </c>
      <c r="C83" s="45">
        <v>5.1380000000000002E-2</v>
      </c>
      <c r="D83" s="45">
        <v>0</v>
      </c>
      <c r="E83" s="33" t="s">
        <v>39</v>
      </c>
      <c r="F83" s="45">
        <v>0</v>
      </c>
      <c r="G83" s="45">
        <v>0</v>
      </c>
      <c r="H83" s="45">
        <v>0</v>
      </c>
      <c r="I83" s="45">
        <v>0</v>
      </c>
      <c r="J83" s="33" t="s">
        <v>39</v>
      </c>
      <c r="K83" s="33" t="s">
        <v>39</v>
      </c>
      <c r="L83" s="33" t="s">
        <v>39</v>
      </c>
      <c r="M83" s="33" t="s">
        <v>39</v>
      </c>
      <c r="N83" s="33" t="s">
        <v>39</v>
      </c>
      <c r="O83" s="33" t="s">
        <v>39</v>
      </c>
      <c r="P83" s="33" t="s">
        <v>39</v>
      </c>
      <c r="Q83" s="41"/>
      <c r="R83" s="41"/>
      <c r="S83" s="41"/>
      <c r="T83" s="41"/>
      <c r="U83" s="41"/>
      <c r="V83" s="41"/>
      <c r="W83" s="41"/>
      <c r="X83" s="41"/>
      <c r="Y83" s="41"/>
      <c r="Z83" s="41"/>
      <c r="AA83" s="41"/>
      <c r="AB83" s="41"/>
      <c r="AC83" s="41"/>
      <c r="AD83" s="41"/>
    </row>
    <row r="84" spans="1:30">
      <c r="A84" s="32" t="s">
        <v>551</v>
      </c>
      <c r="B84" s="33" t="s">
        <v>39</v>
      </c>
      <c r="C84" s="33" t="s">
        <v>577</v>
      </c>
      <c r="D84" s="33" t="s">
        <v>575</v>
      </c>
      <c r="E84" s="33" t="s">
        <v>39</v>
      </c>
      <c r="F84" s="33" t="s">
        <v>575</v>
      </c>
      <c r="G84" s="33" t="s">
        <v>575</v>
      </c>
      <c r="H84" s="33" t="s">
        <v>575</v>
      </c>
      <c r="I84" s="33" t="s">
        <v>575</v>
      </c>
      <c r="J84" s="33" t="s">
        <v>39</v>
      </c>
      <c r="K84" s="33" t="s">
        <v>39</v>
      </c>
      <c r="L84" s="33" t="s">
        <v>39</v>
      </c>
      <c r="M84" s="33" t="s">
        <v>39</v>
      </c>
      <c r="N84" s="33" t="s">
        <v>39</v>
      </c>
      <c r="O84" s="33" t="s">
        <v>39</v>
      </c>
      <c r="P84" s="33" t="s">
        <v>39</v>
      </c>
      <c r="Q84" s="41"/>
      <c r="R84" s="41"/>
      <c r="S84" s="41"/>
      <c r="T84" s="41"/>
      <c r="U84" s="41"/>
      <c r="V84" s="41"/>
      <c r="W84" s="41"/>
      <c r="X84" s="41"/>
      <c r="Y84" s="41"/>
      <c r="Z84" s="41"/>
      <c r="AA84" s="41"/>
      <c r="AB84" s="41"/>
      <c r="AC84" s="41"/>
      <c r="AD84" s="41"/>
    </row>
    <row r="85" spans="1:30">
      <c r="A85" s="32" t="s">
        <v>563</v>
      </c>
      <c r="B85" s="33" t="s">
        <v>39</v>
      </c>
      <c r="C85" s="33" t="s">
        <v>564</v>
      </c>
      <c r="D85" s="33" t="s">
        <v>564</v>
      </c>
      <c r="E85" s="33" t="s">
        <v>39</v>
      </c>
      <c r="F85" s="33" t="s">
        <v>564</v>
      </c>
      <c r="G85" s="33" t="s">
        <v>564</v>
      </c>
      <c r="H85" s="33" t="s">
        <v>564</v>
      </c>
      <c r="I85" s="33" t="s">
        <v>564</v>
      </c>
      <c r="J85" s="33" t="s">
        <v>39</v>
      </c>
      <c r="K85" s="33" t="s">
        <v>39</v>
      </c>
      <c r="L85" s="33" t="s">
        <v>39</v>
      </c>
      <c r="M85" s="33" t="s">
        <v>39</v>
      </c>
      <c r="N85" s="33" t="s">
        <v>39</v>
      </c>
      <c r="O85" s="33" t="s">
        <v>39</v>
      </c>
      <c r="P85" s="33" t="s">
        <v>39</v>
      </c>
      <c r="Q85" s="41"/>
      <c r="R85" s="41"/>
      <c r="S85" s="41"/>
      <c r="T85" s="41"/>
      <c r="U85" s="41"/>
      <c r="V85" s="41"/>
      <c r="W85" s="41"/>
      <c r="X85" s="41"/>
      <c r="Y85" s="41"/>
      <c r="Z85" s="41"/>
      <c r="AA85" s="41"/>
      <c r="AB85" s="41"/>
      <c r="AC85" s="41"/>
      <c r="AD85" s="41"/>
    </row>
    <row r="86" spans="1:30">
      <c r="A86" s="4" t="s">
        <v>585</v>
      </c>
      <c r="B86" s="49">
        <v>0.16178000000000001</v>
      </c>
      <c r="C86" s="49">
        <v>6.7720000000000002E-2</v>
      </c>
      <c r="D86" s="49">
        <v>0.33666000000000001</v>
      </c>
      <c r="E86" s="49">
        <v>0.72728000000000004</v>
      </c>
      <c r="F86" s="49">
        <v>0.99919000000000002</v>
      </c>
      <c r="G86" s="50">
        <v>1.4575800000000001</v>
      </c>
      <c r="H86" s="50">
        <v>1.42435</v>
      </c>
      <c r="I86" s="50">
        <v>1.925</v>
      </c>
      <c r="J86" s="50">
        <v>3.03</v>
      </c>
      <c r="K86" s="33" t="s">
        <v>39</v>
      </c>
      <c r="L86" s="33" t="s">
        <v>39</v>
      </c>
      <c r="M86" s="33" t="s">
        <v>39</v>
      </c>
      <c r="N86" s="33" t="s">
        <v>39</v>
      </c>
      <c r="O86" s="33" t="s">
        <v>39</v>
      </c>
      <c r="P86" s="33" t="s">
        <v>39</v>
      </c>
      <c r="Q86" s="41"/>
      <c r="R86" s="41"/>
      <c r="S86" s="41"/>
      <c r="T86" s="41"/>
      <c r="U86" s="41"/>
      <c r="V86" s="41"/>
      <c r="W86" s="41"/>
      <c r="X86" s="41"/>
      <c r="Y86" s="41"/>
      <c r="Z86" s="41"/>
      <c r="AA86" s="41"/>
      <c r="AB86" s="41"/>
      <c r="AC86" s="41"/>
      <c r="AD86" s="41"/>
    </row>
    <row r="87" spans="1:30">
      <c r="A87" s="32" t="s">
        <v>546</v>
      </c>
      <c r="B87" s="50">
        <v>-0.36645</v>
      </c>
      <c r="C87" s="50">
        <v>0.19811000000000001</v>
      </c>
      <c r="D87" s="50">
        <v>0.17068</v>
      </c>
      <c r="E87" s="50">
        <v>0.40010000000000001</v>
      </c>
      <c r="F87" s="50">
        <v>0.89512000000000003</v>
      </c>
      <c r="G87" s="33" t="s">
        <v>39</v>
      </c>
      <c r="H87" s="33" t="s">
        <v>39</v>
      </c>
      <c r="I87" s="33" t="s">
        <v>39</v>
      </c>
      <c r="J87" s="33" t="s">
        <v>39</v>
      </c>
      <c r="K87" s="33" t="s">
        <v>39</v>
      </c>
      <c r="L87" s="33" t="s">
        <v>39</v>
      </c>
      <c r="M87" s="33" t="s">
        <v>39</v>
      </c>
      <c r="N87" s="33" t="s">
        <v>39</v>
      </c>
      <c r="O87" s="33" t="s">
        <v>39</v>
      </c>
      <c r="P87" s="33" t="s">
        <v>39</v>
      </c>
      <c r="Q87" s="41"/>
      <c r="R87" s="41"/>
      <c r="S87" s="41"/>
      <c r="T87" s="41"/>
      <c r="U87" s="41"/>
      <c r="V87" s="41"/>
      <c r="W87" s="41"/>
      <c r="X87" s="41"/>
      <c r="Y87" s="41"/>
      <c r="Z87" s="41"/>
      <c r="AA87" s="41"/>
      <c r="AB87" s="41"/>
      <c r="AC87" s="41"/>
      <c r="AD87" s="41"/>
    </row>
    <row r="88" spans="1:30">
      <c r="A88" s="32" t="s">
        <v>547</v>
      </c>
      <c r="B88" s="50">
        <v>-0.36645</v>
      </c>
      <c r="C88" s="50">
        <v>0.22</v>
      </c>
      <c r="D88" s="50">
        <v>0.17068</v>
      </c>
      <c r="E88" s="50">
        <v>0.40010000000000001</v>
      </c>
      <c r="F88" s="50">
        <v>0.92654999999999998</v>
      </c>
      <c r="G88" s="50">
        <v>1.3</v>
      </c>
      <c r="H88" s="50">
        <v>1.3787</v>
      </c>
      <c r="I88" s="50">
        <v>1.925</v>
      </c>
      <c r="J88" s="50">
        <v>3.03</v>
      </c>
      <c r="K88" s="33" t="s">
        <v>39</v>
      </c>
      <c r="L88" s="33" t="s">
        <v>39</v>
      </c>
      <c r="M88" s="33" t="s">
        <v>39</v>
      </c>
      <c r="N88" s="33" t="s">
        <v>39</v>
      </c>
      <c r="O88" s="33" t="s">
        <v>39</v>
      </c>
      <c r="P88" s="33" t="s">
        <v>39</v>
      </c>
      <c r="Q88" s="41"/>
      <c r="R88" s="41"/>
      <c r="S88" s="41"/>
      <c r="T88" s="41"/>
      <c r="U88" s="41"/>
      <c r="V88" s="41"/>
      <c r="W88" s="41"/>
      <c r="X88" s="41"/>
      <c r="Y88" s="41"/>
      <c r="Z88" s="41"/>
      <c r="AA88" s="41"/>
      <c r="AB88" s="41"/>
      <c r="AC88" s="41"/>
      <c r="AD88" s="41"/>
    </row>
    <row r="89" spans="1:30">
      <c r="A89" s="32" t="s">
        <v>548</v>
      </c>
      <c r="B89" s="50">
        <v>-0.36645</v>
      </c>
      <c r="C89" s="50">
        <v>0.22405</v>
      </c>
      <c r="D89" s="50">
        <v>0.47136</v>
      </c>
      <c r="E89" s="50">
        <v>0.43143999999999999</v>
      </c>
      <c r="F89" s="50">
        <v>1.02</v>
      </c>
      <c r="G89" s="50">
        <v>1.8427500000000001</v>
      </c>
      <c r="H89" s="50">
        <v>1.82</v>
      </c>
      <c r="I89" s="50">
        <v>2.5299999999999998</v>
      </c>
      <c r="J89" s="50">
        <v>3.03</v>
      </c>
      <c r="K89" s="33" t="s">
        <v>39</v>
      </c>
      <c r="L89" s="33" t="s">
        <v>39</v>
      </c>
      <c r="M89" s="33" t="s">
        <v>39</v>
      </c>
      <c r="N89" s="33" t="s">
        <v>39</v>
      </c>
      <c r="O89" s="33" t="s">
        <v>39</v>
      </c>
      <c r="P89" s="33" t="s">
        <v>39</v>
      </c>
      <c r="Q89" s="41"/>
      <c r="R89" s="41"/>
      <c r="S89" s="41"/>
      <c r="T89" s="41"/>
      <c r="U89" s="41"/>
      <c r="V89" s="41"/>
      <c r="W89" s="41"/>
      <c r="X89" s="41"/>
      <c r="Y89" s="41"/>
      <c r="Z89" s="41"/>
      <c r="AA89" s="41"/>
      <c r="AB89" s="41"/>
      <c r="AC89" s="41"/>
      <c r="AD89" s="41"/>
    </row>
    <row r="90" spans="1:30">
      <c r="A90" s="32" t="s">
        <v>549</v>
      </c>
      <c r="B90" s="50">
        <v>-0.36645</v>
      </c>
      <c r="C90" s="50">
        <v>0.15028</v>
      </c>
      <c r="D90" s="50">
        <v>-0.13</v>
      </c>
      <c r="E90" s="50">
        <v>0.36875000000000002</v>
      </c>
      <c r="F90" s="50">
        <v>0.70735999999999999</v>
      </c>
      <c r="G90" s="50">
        <v>1.23</v>
      </c>
      <c r="H90" s="50">
        <v>1.1200000000000001</v>
      </c>
      <c r="I90" s="50">
        <v>1.32</v>
      </c>
      <c r="J90" s="50">
        <v>3.03</v>
      </c>
      <c r="K90" s="33" t="s">
        <v>39</v>
      </c>
      <c r="L90" s="33" t="s">
        <v>39</v>
      </c>
      <c r="M90" s="33" t="s">
        <v>39</v>
      </c>
      <c r="N90" s="33" t="s">
        <v>39</v>
      </c>
      <c r="O90" s="33" t="s">
        <v>39</v>
      </c>
      <c r="P90" s="33" t="s">
        <v>39</v>
      </c>
      <c r="Q90" s="41"/>
      <c r="R90" s="41"/>
      <c r="S90" s="41"/>
      <c r="T90" s="41"/>
      <c r="U90" s="41"/>
      <c r="V90" s="41"/>
      <c r="W90" s="41"/>
      <c r="X90" s="41"/>
      <c r="Y90" s="41"/>
      <c r="Z90" s="41"/>
      <c r="AA90" s="41"/>
      <c r="AB90" s="41"/>
      <c r="AC90" s="41"/>
      <c r="AD90" s="41"/>
    </row>
    <row r="91" spans="1:30">
      <c r="A91" s="32" t="s">
        <v>550</v>
      </c>
      <c r="B91" s="45">
        <v>0</v>
      </c>
      <c r="C91" s="45">
        <v>3.3860000000000001E-2</v>
      </c>
      <c r="D91" s="45">
        <v>0.30068</v>
      </c>
      <c r="E91" s="45">
        <v>3.134E-2</v>
      </c>
      <c r="F91" s="45">
        <v>0.11551</v>
      </c>
      <c r="G91" s="45">
        <v>0.27384999999999998</v>
      </c>
      <c r="H91" s="45">
        <v>0.25813999999999998</v>
      </c>
      <c r="I91" s="45">
        <v>0.60499999999999998</v>
      </c>
      <c r="J91" s="45">
        <v>0</v>
      </c>
      <c r="K91" s="33" t="s">
        <v>39</v>
      </c>
      <c r="L91" s="33" t="s">
        <v>39</v>
      </c>
      <c r="M91" s="33" t="s">
        <v>39</v>
      </c>
      <c r="N91" s="33" t="s">
        <v>39</v>
      </c>
      <c r="O91" s="33" t="s">
        <v>39</v>
      </c>
      <c r="P91" s="33" t="s">
        <v>39</v>
      </c>
      <c r="Q91" s="41"/>
      <c r="R91" s="41"/>
      <c r="S91" s="41"/>
      <c r="T91" s="41"/>
      <c r="U91" s="41"/>
      <c r="V91" s="41"/>
      <c r="W91" s="41"/>
      <c r="X91" s="41"/>
      <c r="Y91" s="41"/>
      <c r="Z91" s="41"/>
      <c r="AA91" s="41"/>
      <c r="AB91" s="41"/>
      <c r="AC91" s="41"/>
      <c r="AD91" s="41"/>
    </row>
    <row r="92" spans="1:30">
      <c r="A92" s="32" t="s">
        <v>551</v>
      </c>
      <c r="B92" s="33" t="s">
        <v>575</v>
      </c>
      <c r="C92" s="33" t="s">
        <v>577</v>
      </c>
      <c r="D92" s="33" t="s">
        <v>586</v>
      </c>
      <c r="E92" s="33" t="s">
        <v>587</v>
      </c>
      <c r="F92" s="33" t="s">
        <v>588</v>
      </c>
      <c r="G92" s="33" t="s">
        <v>589</v>
      </c>
      <c r="H92" s="33" t="s">
        <v>590</v>
      </c>
      <c r="I92" s="33" t="s">
        <v>591</v>
      </c>
      <c r="J92" s="33" t="s">
        <v>575</v>
      </c>
      <c r="K92" s="33" t="s">
        <v>39</v>
      </c>
      <c r="L92" s="33" t="s">
        <v>39</v>
      </c>
      <c r="M92" s="33" t="s">
        <v>39</v>
      </c>
      <c r="N92" s="33" t="s">
        <v>39</v>
      </c>
      <c r="O92" s="33" t="s">
        <v>39</v>
      </c>
      <c r="P92" s="33" t="s">
        <v>39</v>
      </c>
      <c r="Q92" s="41"/>
      <c r="R92" s="41"/>
      <c r="S92" s="41"/>
      <c r="T92" s="41"/>
      <c r="U92" s="41"/>
      <c r="V92" s="41"/>
      <c r="W92" s="41"/>
      <c r="X92" s="41"/>
      <c r="Y92" s="41"/>
      <c r="Z92" s="41"/>
      <c r="AA92" s="41"/>
      <c r="AB92" s="41"/>
      <c r="AC92" s="41"/>
      <c r="AD92" s="41"/>
    </row>
    <row r="93" spans="1:30">
      <c r="A93" s="32" t="s">
        <v>563</v>
      </c>
      <c r="B93" s="33" t="s">
        <v>564</v>
      </c>
      <c r="C93" s="33" t="s">
        <v>564</v>
      </c>
      <c r="D93" s="33" t="s">
        <v>564</v>
      </c>
      <c r="E93" s="33" t="s">
        <v>564</v>
      </c>
      <c r="F93" s="33" t="s">
        <v>564</v>
      </c>
      <c r="G93" s="33" t="s">
        <v>564</v>
      </c>
      <c r="H93" s="33" t="s">
        <v>564</v>
      </c>
      <c r="I93" s="33" t="s">
        <v>564</v>
      </c>
      <c r="J93" s="33" t="s">
        <v>564</v>
      </c>
      <c r="K93" s="33" t="s">
        <v>39</v>
      </c>
      <c r="L93" s="33" t="s">
        <v>39</v>
      </c>
      <c r="M93" s="33" t="s">
        <v>39</v>
      </c>
      <c r="N93" s="33" t="s">
        <v>39</v>
      </c>
      <c r="O93" s="33" t="s">
        <v>39</v>
      </c>
      <c r="P93" s="33" t="s">
        <v>39</v>
      </c>
      <c r="Q93" s="41"/>
      <c r="R93" s="41"/>
      <c r="S93" s="41"/>
      <c r="T93" s="41"/>
      <c r="U93" s="41"/>
      <c r="V93" s="41"/>
      <c r="W93" s="41"/>
      <c r="X93" s="41"/>
      <c r="Y93" s="41"/>
      <c r="Z93" s="41"/>
      <c r="AA93" s="41"/>
      <c r="AB93" s="41"/>
      <c r="AC93" s="41"/>
      <c r="AD93" s="41"/>
    </row>
    <row r="94" spans="1:30">
      <c r="A94" s="32"/>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row>
    <row r="95" spans="1:30" ht="14">
      <c r="A95" s="47" t="s">
        <v>592</v>
      </c>
      <c r="B95" s="48">
        <v>2015</v>
      </c>
      <c r="C95" s="48">
        <v>2016</v>
      </c>
      <c r="D95" s="48">
        <v>2017</v>
      </c>
      <c r="E95" s="48">
        <v>2018</v>
      </c>
      <c r="F95" s="48">
        <v>2019</v>
      </c>
      <c r="G95" s="48">
        <v>2020</v>
      </c>
      <c r="H95" s="48">
        <v>2021</v>
      </c>
      <c r="I95" s="48">
        <v>2022</v>
      </c>
      <c r="J95" s="48">
        <v>2023</v>
      </c>
      <c r="K95" s="48">
        <v>2024</v>
      </c>
      <c r="L95" s="48">
        <v>2025</v>
      </c>
      <c r="M95" s="48">
        <v>2026</v>
      </c>
      <c r="N95" s="48">
        <v>2027</v>
      </c>
      <c r="O95" s="48">
        <v>2028</v>
      </c>
      <c r="P95" s="48">
        <v>2029</v>
      </c>
      <c r="Q95" s="41"/>
      <c r="R95" s="41"/>
      <c r="S95" s="41"/>
      <c r="T95" s="41"/>
      <c r="U95" s="41"/>
      <c r="V95" s="41"/>
      <c r="W95" s="41"/>
      <c r="X95" s="41"/>
      <c r="Y95" s="41"/>
      <c r="Z95" s="41"/>
      <c r="AA95" s="41"/>
      <c r="AB95" s="41"/>
      <c r="AC95" s="41"/>
      <c r="AD95" s="41"/>
    </row>
    <row r="96" spans="1:30" s="4" customFormat="1">
      <c r="A96" s="4" t="s">
        <v>36</v>
      </c>
      <c r="B96" s="364">
        <v>452.16800000000001</v>
      </c>
      <c r="C96" s="364">
        <v>686.61800000000005</v>
      </c>
      <c r="D96" s="364">
        <v>983.96299999999997</v>
      </c>
      <c r="E96" s="364">
        <v>1587.6410000000001</v>
      </c>
      <c r="F96" s="364">
        <v>2274.7469999999998</v>
      </c>
      <c r="G96" s="365">
        <v>9358.25065</v>
      </c>
      <c r="H96" s="365">
        <v>12434.854090000001</v>
      </c>
      <c r="I96" s="365">
        <v>14853.023660000001</v>
      </c>
      <c r="J96" s="365">
        <v>16125.5</v>
      </c>
      <c r="K96" s="366" t="s">
        <v>39</v>
      </c>
      <c r="L96" s="366" t="s">
        <v>39</v>
      </c>
      <c r="M96" s="366" t="s">
        <v>39</v>
      </c>
      <c r="N96" s="366" t="s">
        <v>39</v>
      </c>
      <c r="O96" s="366" t="s">
        <v>39</v>
      </c>
      <c r="P96" s="366" t="s">
        <v>39</v>
      </c>
      <c r="Q96" s="367"/>
      <c r="R96" s="367"/>
      <c r="S96" s="367"/>
      <c r="T96" s="367"/>
      <c r="U96" s="367"/>
      <c r="V96" s="367"/>
      <c r="W96" s="367"/>
      <c r="X96" s="367"/>
      <c r="Y96" s="367"/>
      <c r="Z96" s="367"/>
      <c r="AA96" s="367"/>
      <c r="AB96" s="367"/>
      <c r="AC96" s="367"/>
      <c r="AD96" s="367"/>
    </row>
    <row r="97" spans="1:30">
      <c r="A97" s="32" t="s">
        <v>546</v>
      </c>
      <c r="B97" s="50">
        <v>441.57655999999997</v>
      </c>
      <c r="C97" s="50">
        <v>682.47667000000001</v>
      </c>
      <c r="D97" s="50">
        <v>967.73832000000004</v>
      </c>
      <c r="E97" s="50">
        <v>1575.7218800000001</v>
      </c>
      <c r="F97" s="50">
        <v>2244.93343</v>
      </c>
      <c r="G97" s="33" t="s">
        <v>39</v>
      </c>
      <c r="H97" s="33" t="s">
        <v>39</v>
      </c>
      <c r="I97" s="33" t="s">
        <v>39</v>
      </c>
      <c r="J97" s="33" t="s">
        <v>39</v>
      </c>
      <c r="K97" s="33" t="s">
        <v>39</v>
      </c>
      <c r="L97" s="33" t="s">
        <v>39</v>
      </c>
      <c r="M97" s="33" t="s">
        <v>39</v>
      </c>
      <c r="N97" s="33" t="s">
        <v>39</v>
      </c>
      <c r="O97" s="33" t="s">
        <v>39</v>
      </c>
      <c r="P97" s="33" t="s">
        <v>39</v>
      </c>
      <c r="Q97" s="41"/>
      <c r="R97" s="41"/>
      <c r="S97" s="41"/>
      <c r="T97" s="41"/>
      <c r="U97" s="41"/>
      <c r="V97" s="41"/>
      <c r="W97" s="41"/>
      <c r="X97" s="41"/>
      <c r="Y97" s="41"/>
      <c r="Z97" s="41"/>
      <c r="AA97" s="41"/>
      <c r="AB97" s="41"/>
      <c r="AC97" s="41"/>
      <c r="AD97" s="41"/>
    </row>
    <row r="98" spans="1:30">
      <c r="A98" s="32" t="s">
        <v>547</v>
      </c>
      <c r="B98" s="50">
        <v>442.5</v>
      </c>
      <c r="C98" s="50">
        <v>681.2</v>
      </c>
      <c r="D98" s="50">
        <v>966.6</v>
      </c>
      <c r="E98" s="50">
        <v>1576</v>
      </c>
      <c r="F98" s="50">
        <v>2247.6660000000002</v>
      </c>
      <c r="G98" s="50">
        <v>9413.36</v>
      </c>
      <c r="H98" s="50">
        <v>12604.2</v>
      </c>
      <c r="I98" s="50">
        <v>14717.5</v>
      </c>
      <c r="J98" s="50">
        <v>16125.5</v>
      </c>
      <c r="K98" s="33" t="s">
        <v>39</v>
      </c>
      <c r="L98" s="33" t="s">
        <v>39</v>
      </c>
      <c r="M98" s="33" t="s">
        <v>39</v>
      </c>
      <c r="N98" s="33" t="s">
        <v>39</v>
      </c>
      <c r="O98" s="33" t="s">
        <v>39</v>
      </c>
      <c r="P98" s="33" t="s">
        <v>39</v>
      </c>
      <c r="Q98" s="41"/>
      <c r="R98" s="41"/>
      <c r="S98" s="41"/>
      <c r="T98" s="41"/>
      <c r="U98" s="41"/>
      <c r="V98" s="41"/>
      <c r="W98" s="41"/>
      <c r="X98" s="41"/>
      <c r="Y98" s="41"/>
      <c r="Z98" s="41"/>
      <c r="AA98" s="41"/>
      <c r="AB98" s="41"/>
      <c r="AC98" s="41"/>
      <c r="AD98" s="41"/>
    </row>
    <row r="99" spans="1:30">
      <c r="A99" s="32" t="s">
        <v>548</v>
      </c>
      <c r="B99" s="50">
        <v>449.8</v>
      </c>
      <c r="C99" s="50">
        <v>692</v>
      </c>
      <c r="D99" s="50">
        <v>979.67100000000005</v>
      </c>
      <c r="E99" s="50">
        <v>1599.4</v>
      </c>
      <c r="F99" s="50">
        <v>2273</v>
      </c>
      <c r="G99" s="50">
        <v>9941.5720000000001</v>
      </c>
      <c r="H99" s="50">
        <v>18185.973000000002</v>
      </c>
      <c r="I99" s="50">
        <v>23256.113000000001</v>
      </c>
      <c r="J99" s="50">
        <v>17774</v>
      </c>
      <c r="K99" s="33" t="s">
        <v>39</v>
      </c>
      <c r="L99" s="33" t="s">
        <v>39</v>
      </c>
      <c r="M99" s="33" t="s">
        <v>39</v>
      </c>
      <c r="N99" s="33" t="s">
        <v>39</v>
      </c>
      <c r="O99" s="33" t="s">
        <v>39</v>
      </c>
      <c r="P99" s="33" t="s">
        <v>39</v>
      </c>
      <c r="Q99" s="41"/>
      <c r="R99" s="41"/>
      <c r="S99" s="41"/>
      <c r="T99" s="41"/>
      <c r="U99" s="41"/>
      <c r="V99" s="41"/>
      <c r="W99" s="41"/>
      <c r="X99" s="41"/>
      <c r="Y99" s="41"/>
      <c r="Z99" s="41"/>
      <c r="AA99" s="41"/>
      <c r="AB99" s="41"/>
      <c r="AC99" s="41"/>
      <c r="AD99" s="41"/>
    </row>
    <row r="100" spans="1:30">
      <c r="A100" s="32" t="s">
        <v>549</v>
      </c>
      <c r="B100" s="50">
        <v>434.1</v>
      </c>
      <c r="C100" s="50">
        <v>679</v>
      </c>
      <c r="D100" s="50">
        <v>963.6</v>
      </c>
      <c r="E100" s="50">
        <v>1561.4</v>
      </c>
      <c r="F100" s="50">
        <v>2101.8220999999999</v>
      </c>
      <c r="G100" s="50">
        <v>8028</v>
      </c>
      <c r="H100" s="50">
        <v>6369.2049999999999</v>
      </c>
      <c r="I100" s="50">
        <v>8416.4179999999997</v>
      </c>
      <c r="J100" s="50">
        <v>14477</v>
      </c>
      <c r="K100" s="33" t="s">
        <v>39</v>
      </c>
      <c r="L100" s="33" t="s">
        <v>39</v>
      </c>
      <c r="M100" s="33" t="s">
        <v>39</v>
      </c>
      <c r="N100" s="33" t="s">
        <v>39</v>
      </c>
      <c r="O100" s="33" t="s">
        <v>39</v>
      </c>
      <c r="P100" s="33" t="s">
        <v>39</v>
      </c>
      <c r="Q100" s="41"/>
      <c r="R100" s="41"/>
      <c r="S100" s="41"/>
      <c r="T100" s="41"/>
      <c r="U100" s="41"/>
      <c r="V100" s="41"/>
      <c r="W100" s="41"/>
      <c r="X100" s="41"/>
      <c r="Y100" s="41"/>
      <c r="Z100" s="41"/>
      <c r="AA100" s="41"/>
      <c r="AB100" s="41"/>
      <c r="AC100" s="41"/>
      <c r="AD100" s="41"/>
    </row>
    <row r="101" spans="1:30">
      <c r="A101" s="32" t="s">
        <v>550</v>
      </c>
      <c r="B101" s="45">
        <v>4.8358100000000004</v>
      </c>
      <c r="C101" s="45">
        <v>3.1228400000000001</v>
      </c>
      <c r="D101" s="45">
        <v>3.7750400000000002</v>
      </c>
      <c r="E101" s="45">
        <v>7.7343400000000004</v>
      </c>
      <c r="F101" s="45">
        <v>27.727930000000001</v>
      </c>
      <c r="G101" s="45">
        <v>353.60705000000002</v>
      </c>
      <c r="H101" s="45">
        <v>2437.42659</v>
      </c>
      <c r="I101" s="45">
        <v>3153.1907700000002</v>
      </c>
      <c r="J101" s="45">
        <v>1648.5</v>
      </c>
      <c r="K101" s="33" t="s">
        <v>39</v>
      </c>
      <c r="L101" s="33" t="s">
        <v>39</v>
      </c>
      <c r="M101" s="33" t="s">
        <v>39</v>
      </c>
      <c r="N101" s="33" t="s">
        <v>39</v>
      </c>
      <c r="O101" s="33" t="s">
        <v>39</v>
      </c>
      <c r="P101" s="33" t="s">
        <v>39</v>
      </c>
      <c r="Q101" s="41"/>
      <c r="R101" s="41"/>
      <c r="S101" s="41"/>
      <c r="T101" s="41"/>
      <c r="U101" s="41"/>
      <c r="V101" s="41"/>
      <c r="W101" s="41"/>
      <c r="X101" s="41"/>
      <c r="Y101" s="41"/>
      <c r="Z101" s="41"/>
      <c r="AA101" s="41"/>
      <c r="AB101" s="41"/>
      <c r="AC101" s="41"/>
      <c r="AD101" s="41"/>
    </row>
    <row r="102" spans="1:30">
      <c r="A102" s="32" t="s">
        <v>551</v>
      </c>
      <c r="B102" s="33" t="s">
        <v>593</v>
      </c>
      <c r="C102" s="33" t="s">
        <v>594</v>
      </c>
      <c r="D102" s="33" t="s">
        <v>595</v>
      </c>
      <c r="E102" s="33" t="s">
        <v>596</v>
      </c>
      <c r="F102" s="33" t="s">
        <v>597</v>
      </c>
      <c r="G102" s="33" t="s">
        <v>598</v>
      </c>
      <c r="H102" s="33" t="s">
        <v>599</v>
      </c>
      <c r="I102" s="33" t="s">
        <v>600</v>
      </c>
      <c r="J102" s="33" t="s">
        <v>586</v>
      </c>
      <c r="K102" s="33" t="s">
        <v>39</v>
      </c>
      <c r="L102" s="33" t="s">
        <v>39</v>
      </c>
      <c r="M102" s="33" t="s">
        <v>39</v>
      </c>
      <c r="N102" s="33" t="s">
        <v>39</v>
      </c>
      <c r="O102" s="33" t="s">
        <v>39</v>
      </c>
      <c r="P102" s="33" t="s">
        <v>39</v>
      </c>
      <c r="Q102" s="41"/>
      <c r="R102" s="41"/>
      <c r="S102" s="41"/>
      <c r="T102" s="41"/>
      <c r="U102" s="41"/>
      <c r="V102" s="41"/>
      <c r="W102" s="41"/>
      <c r="X102" s="41"/>
      <c r="Y102" s="41"/>
      <c r="Z102" s="41"/>
      <c r="AA102" s="41"/>
      <c r="AB102" s="41"/>
      <c r="AC102" s="41"/>
      <c r="AD102" s="41"/>
    </row>
    <row r="103" spans="1:30">
      <c r="A103" s="32" t="s">
        <v>561</v>
      </c>
      <c r="B103" s="33" t="s">
        <v>39</v>
      </c>
      <c r="C103" s="51">
        <v>677</v>
      </c>
      <c r="D103" s="51">
        <v>963.30499999999995</v>
      </c>
      <c r="E103" s="51">
        <v>1569</v>
      </c>
      <c r="F103" s="51">
        <v>2240</v>
      </c>
      <c r="G103" s="33" t="s">
        <v>39</v>
      </c>
      <c r="H103" s="33" t="s">
        <v>39</v>
      </c>
      <c r="I103" s="33" t="s">
        <v>39</v>
      </c>
      <c r="J103" s="33" t="s">
        <v>39</v>
      </c>
      <c r="K103" s="33" t="s">
        <v>39</v>
      </c>
      <c r="L103" s="33" t="s">
        <v>39</v>
      </c>
      <c r="M103" s="33" t="s">
        <v>39</v>
      </c>
      <c r="N103" s="33" t="s">
        <v>39</v>
      </c>
      <c r="O103" s="33" t="s">
        <v>39</v>
      </c>
      <c r="P103" s="33" t="s">
        <v>39</v>
      </c>
      <c r="Q103" s="41"/>
      <c r="R103" s="41"/>
      <c r="S103" s="41"/>
      <c r="T103" s="41"/>
      <c r="U103" s="41"/>
      <c r="V103" s="41"/>
      <c r="W103" s="41"/>
      <c r="X103" s="41"/>
      <c r="Y103" s="41"/>
      <c r="Z103" s="41"/>
      <c r="AA103" s="41"/>
      <c r="AB103" s="41"/>
      <c r="AC103" s="41"/>
      <c r="AD103" s="41"/>
    </row>
    <row r="104" spans="1:30">
      <c r="A104" s="32" t="s">
        <v>562</v>
      </c>
      <c r="B104" s="33" t="s">
        <v>39</v>
      </c>
      <c r="C104" s="52">
        <v>680</v>
      </c>
      <c r="D104" s="52">
        <v>966.30499999999995</v>
      </c>
      <c r="E104" s="52">
        <v>1574</v>
      </c>
      <c r="F104" s="52">
        <v>2250</v>
      </c>
      <c r="G104" s="33" t="s">
        <v>39</v>
      </c>
      <c r="H104" s="33" t="s">
        <v>39</v>
      </c>
      <c r="I104" s="33" t="s">
        <v>39</v>
      </c>
      <c r="J104" s="33" t="s">
        <v>39</v>
      </c>
      <c r="K104" s="33" t="s">
        <v>39</v>
      </c>
      <c r="L104" s="33" t="s">
        <v>39</v>
      </c>
      <c r="M104" s="33" t="s">
        <v>39</v>
      </c>
      <c r="N104" s="33" t="s">
        <v>39</v>
      </c>
      <c r="O104" s="33" t="s">
        <v>39</v>
      </c>
      <c r="P104" s="33" t="s">
        <v>39</v>
      </c>
      <c r="Q104" s="41"/>
      <c r="R104" s="41"/>
      <c r="S104" s="41"/>
      <c r="T104" s="41"/>
      <c r="U104" s="41"/>
      <c r="V104" s="41"/>
      <c r="W104" s="41"/>
      <c r="X104" s="41"/>
      <c r="Y104" s="41"/>
      <c r="Z104" s="41"/>
      <c r="AA104" s="41"/>
      <c r="AB104" s="41"/>
      <c r="AC104" s="41"/>
      <c r="AD104" s="41"/>
    </row>
    <row r="105" spans="1:30">
      <c r="A105" s="32" t="s">
        <v>563</v>
      </c>
      <c r="B105" s="33" t="s">
        <v>564</v>
      </c>
      <c r="C105" s="33" t="s">
        <v>564</v>
      </c>
      <c r="D105" s="33" t="s">
        <v>564</v>
      </c>
      <c r="E105" s="33" t="s">
        <v>564</v>
      </c>
      <c r="F105" s="33" t="s">
        <v>564</v>
      </c>
      <c r="G105" s="33" t="s">
        <v>564</v>
      </c>
      <c r="H105" s="33" t="s">
        <v>564</v>
      </c>
      <c r="I105" s="33" t="s">
        <v>564</v>
      </c>
      <c r="J105" s="33" t="s">
        <v>564</v>
      </c>
      <c r="K105" s="33" t="s">
        <v>39</v>
      </c>
      <c r="L105" s="33" t="s">
        <v>39</v>
      </c>
      <c r="M105" s="33" t="s">
        <v>39</v>
      </c>
      <c r="N105" s="33" t="s">
        <v>39</v>
      </c>
      <c r="O105" s="33" t="s">
        <v>39</v>
      </c>
      <c r="P105" s="33" t="s">
        <v>39</v>
      </c>
      <c r="Q105" s="41"/>
      <c r="R105" s="41"/>
      <c r="S105" s="41"/>
      <c r="T105" s="41"/>
      <c r="U105" s="41"/>
      <c r="V105" s="41"/>
      <c r="W105" s="41"/>
      <c r="X105" s="41"/>
      <c r="Y105" s="41"/>
      <c r="Z105" s="41"/>
      <c r="AA105" s="41"/>
      <c r="AB105" s="41"/>
      <c r="AC105" s="41"/>
      <c r="AD105" s="41"/>
    </row>
    <row r="106" spans="1:30" s="4" customFormat="1">
      <c r="A106" s="4" t="s">
        <v>48</v>
      </c>
      <c r="B106" s="364">
        <v>-41.115000000000002</v>
      </c>
      <c r="C106" s="364">
        <v>44.887</v>
      </c>
      <c r="D106" s="364">
        <v>139.00899999999999</v>
      </c>
      <c r="E106" s="364">
        <v>256.52300000000002</v>
      </c>
      <c r="F106" s="364">
        <v>416.85300000000001</v>
      </c>
      <c r="G106" s="365">
        <v>435.30290000000002</v>
      </c>
      <c r="H106" s="365">
        <v>642.92898000000002</v>
      </c>
      <c r="I106" s="365">
        <v>1063.0639100000001</v>
      </c>
      <c r="J106" s="365">
        <v>1293.6666700000001</v>
      </c>
      <c r="K106" s="366" t="s">
        <v>39</v>
      </c>
      <c r="L106" s="366" t="s">
        <v>39</v>
      </c>
      <c r="M106" s="366" t="s">
        <v>39</v>
      </c>
      <c r="N106" s="366" t="s">
        <v>39</v>
      </c>
      <c r="O106" s="366" t="s">
        <v>39</v>
      </c>
      <c r="P106" s="366" t="s">
        <v>39</v>
      </c>
      <c r="Q106" s="367"/>
      <c r="R106" s="367"/>
      <c r="S106" s="367"/>
      <c r="T106" s="367"/>
      <c r="U106" s="367"/>
      <c r="V106" s="367"/>
      <c r="W106" s="367"/>
      <c r="X106" s="367"/>
      <c r="Y106" s="367"/>
      <c r="Z106" s="367"/>
      <c r="AA106" s="367"/>
      <c r="AB106" s="367"/>
      <c r="AC106" s="367"/>
      <c r="AD106" s="367"/>
    </row>
    <row r="107" spans="1:30">
      <c r="A107" s="32" t="s">
        <v>546</v>
      </c>
      <c r="B107" s="50">
        <v>-51.019120000000001</v>
      </c>
      <c r="C107" s="50">
        <v>33.302399999999999</v>
      </c>
      <c r="D107" s="50">
        <v>136.13767999999999</v>
      </c>
      <c r="E107" s="50">
        <v>254.99985000000001</v>
      </c>
      <c r="F107" s="50">
        <v>414.43947000000003</v>
      </c>
      <c r="G107" s="33" t="s">
        <v>39</v>
      </c>
      <c r="H107" s="33" t="s">
        <v>39</v>
      </c>
      <c r="I107" s="33" t="s">
        <v>39</v>
      </c>
      <c r="J107" s="33" t="s">
        <v>39</v>
      </c>
      <c r="K107" s="33" t="s">
        <v>39</v>
      </c>
      <c r="L107" s="33" t="s">
        <v>39</v>
      </c>
      <c r="M107" s="33" t="s">
        <v>39</v>
      </c>
      <c r="N107" s="33" t="s">
        <v>39</v>
      </c>
      <c r="O107" s="33" t="s">
        <v>39</v>
      </c>
      <c r="P107" s="33" t="s">
        <v>39</v>
      </c>
      <c r="Q107" s="41"/>
      <c r="R107" s="41"/>
      <c r="S107" s="41"/>
      <c r="T107" s="41"/>
      <c r="U107" s="41"/>
      <c r="V107" s="41"/>
      <c r="W107" s="41"/>
      <c r="X107" s="41"/>
      <c r="Y107" s="41"/>
      <c r="Z107" s="41"/>
      <c r="AA107" s="41"/>
      <c r="AB107" s="41"/>
      <c r="AC107" s="41"/>
      <c r="AD107" s="41"/>
    </row>
    <row r="108" spans="1:30">
      <c r="A108" s="32" t="s">
        <v>547</v>
      </c>
      <c r="B108" s="50">
        <v>-52.463500000000003</v>
      </c>
      <c r="C108" s="50">
        <v>33.094000000000001</v>
      </c>
      <c r="D108" s="50">
        <v>135.75</v>
      </c>
      <c r="E108" s="50">
        <v>255</v>
      </c>
      <c r="F108" s="50">
        <v>414.48</v>
      </c>
      <c r="G108" s="50">
        <v>426.79750000000001</v>
      </c>
      <c r="H108" s="50">
        <v>691.62049999999999</v>
      </c>
      <c r="I108" s="50">
        <v>1083.6400000000001</v>
      </c>
      <c r="J108" s="50">
        <v>1327</v>
      </c>
      <c r="K108" s="33" t="s">
        <v>39</v>
      </c>
      <c r="L108" s="33" t="s">
        <v>39</v>
      </c>
      <c r="M108" s="33" t="s">
        <v>39</v>
      </c>
      <c r="N108" s="33" t="s">
        <v>39</v>
      </c>
      <c r="O108" s="33" t="s">
        <v>39</v>
      </c>
      <c r="P108" s="33" t="s">
        <v>39</v>
      </c>
      <c r="Q108" s="41"/>
      <c r="R108" s="41"/>
      <c r="S108" s="41"/>
      <c r="T108" s="41"/>
      <c r="U108" s="41"/>
      <c r="V108" s="41"/>
      <c r="W108" s="41"/>
      <c r="X108" s="41"/>
      <c r="Y108" s="41"/>
      <c r="Z108" s="41"/>
      <c r="AA108" s="41"/>
      <c r="AB108" s="41"/>
      <c r="AC108" s="41"/>
      <c r="AD108" s="41"/>
    </row>
    <row r="109" spans="1:30">
      <c r="A109" s="32" t="s">
        <v>548</v>
      </c>
      <c r="B109" s="50">
        <v>-41.910449999999997</v>
      </c>
      <c r="C109" s="50">
        <v>36.57</v>
      </c>
      <c r="D109" s="50">
        <v>143.30000000000001</v>
      </c>
      <c r="E109" s="50">
        <v>277.5</v>
      </c>
      <c r="F109" s="50">
        <v>423.03899999999999</v>
      </c>
      <c r="G109" s="50">
        <v>523</v>
      </c>
      <c r="H109" s="50">
        <v>864.1</v>
      </c>
      <c r="I109" s="50">
        <v>1396.4</v>
      </c>
      <c r="J109" s="50">
        <v>1858</v>
      </c>
      <c r="K109" s="33" t="s">
        <v>39</v>
      </c>
      <c r="L109" s="33" t="s">
        <v>39</v>
      </c>
      <c r="M109" s="33" t="s">
        <v>39</v>
      </c>
      <c r="N109" s="33" t="s">
        <v>39</v>
      </c>
      <c r="O109" s="33" t="s">
        <v>39</v>
      </c>
      <c r="P109" s="33" t="s">
        <v>39</v>
      </c>
      <c r="Q109" s="41"/>
      <c r="R109" s="41"/>
      <c r="S109" s="41"/>
      <c r="T109" s="41"/>
      <c r="U109" s="41"/>
      <c r="V109" s="41"/>
      <c r="W109" s="41"/>
      <c r="X109" s="41"/>
      <c r="Y109" s="41"/>
      <c r="Z109" s="41"/>
      <c r="AA109" s="41"/>
      <c r="AB109" s="41"/>
      <c r="AC109" s="41"/>
      <c r="AD109" s="41"/>
    </row>
    <row r="110" spans="1:30">
      <c r="A110" s="32" t="s">
        <v>549</v>
      </c>
      <c r="B110" s="50">
        <v>-59</v>
      </c>
      <c r="C110" s="50">
        <v>30.2</v>
      </c>
      <c r="D110" s="50">
        <v>131.15852000000001</v>
      </c>
      <c r="E110" s="50">
        <v>239.321</v>
      </c>
      <c r="F110" s="50">
        <v>400.2</v>
      </c>
      <c r="G110" s="50">
        <v>341.63799999999998</v>
      </c>
      <c r="H110" s="50">
        <v>170.453</v>
      </c>
      <c r="I110" s="50">
        <v>573</v>
      </c>
      <c r="J110" s="50">
        <v>696</v>
      </c>
      <c r="K110" s="33" t="s">
        <v>39</v>
      </c>
      <c r="L110" s="33" t="s">
        <v>39</v>
      </c>
      <c r="M110" s="33" t="s">
        <v>39</v>
      </c>
      <c r="N110" s="33" t="s">
        <v>39</v>
      </c>
      <c r="O110" s="33" t="s">
        <v>39</v>
      </c>
      <c r="P110" s="33" t="s">
        <v>39</v>
      </c>
      <c r="Q110" s="41"/>
      <c r="R110" s="41"/>
      <c r="S110" s="41"/>
      <c r="T110" s="41"/>
      <c r="U110" s="41"/>
      <c r="V110" s="41"/>
      <c r="W110" s="41"/>
      <c r="X110" s="41"/>
      <c r="Y110" s="41"/>
      <c r="Z110" s="41"/>
      <c r="AA110" s="41"/>
      <c r="AB110" s="41"/>
      <c r="AC110" s="41"/>
      <c r="AD110" s="41"/>
    </row>
    <row r="111" spans="1:30">
      <c r="A111" s="32" t="s">
        <v>550</v>
      </c>
      <c r="B111" s="45">
        <v>4.91967</v>
      </c>
      <c r="C111" s="45">
        <v>1.3220799999999999</v>
      </c>
      <c r="D111" s="45">
        <v>2.7488999999999999</v>
      </c>
      <c r="E111" s="45">
        <v>5.7341699999999998</v>
      </c>
      <c r="F111" s="45">
        <v>4.0223000000000004</v>
      </c>
      <c r="G111" s="45">
        <v>42.558010000000003</v>
      </c>
      <c r="H111" s="45">
        <v>169.00748999999999</v>
      </c>
      <c r="I111" s="45">
        <v>193.20018999999999</v>
      </c>
      <c r="J111" s="45">
        <v>474.96971000000002</v>
      </c>
      <c r="K111" s="33" t="s">
        <v>39</v>
      </c>
      <c r="L111" s="33" t="s">
        <v>39</v>
      </c>
      <c r="M111" s="33" t="s">
        <v>39</v>
      </c>
      <c r="N111" s="33" t="s">
        <v>39</v>
      </c>
      <c r="O111" s="33" t="s">
        <v>39</v>
      </c>
      <c r="P111" s="33" t="s">
        <v>39</v>
      </c>
      <c r="Q111" s="41"/>
      <c r="R111" s="41"/>
      <c r="S111" s="41"/>
      <c r="T111" s="41"/>
      <c r="U111" s="41"/>
      <c r="V111" s="41"/>
      <c r="W111" s="41"/>
      <c r="X111" s="41"/>
      <c r="Y111" s="41"/>
      <c r="Z111" s="41"/>
      <c r="AA111" s="41"/>
      <c r="AB111" s="41"/>
      <c r="AC111" s="41"/>
      <c r="AD111" s="41"/>
    </row>
    <row r="112" spans="1:30">
      <c r="A112" s="32" t="s">
        <v>551</v>
      </c>
      <c r="B112" s="33" t="s">
        <v>601</v>
      </c>
      <c r="C112" s="33" t="s">
        <v>602</v>
      </c>
      <c r="D112" s="33" t="s">
        <v>603</v>
      </c>
      <c r="E112" s="33" t="s">
        <v>604</v>
      </c>
      <c r="F112" s="33" t="s">
        <v>605</v>
      </c>
      <c r="G112" s="33" t="s">
        <v>606</v>
      </c>
      <c r="H112" s="33" t="s">
        <v>607</v>
      </c>
      <c r="I112" s="33" t="s">
        <v>608</v>
      </c>
      <c r="J112" s="33" t="s">
        <v>609</v>
      </c>
      <c r="K112" s="33" t="s">
        <v>39</v>
      </c>
      <c r="L112" s="33" t="s">
        <v>39</v>
      </c>
      <c r="M112" s="33" t="s">
        <v>39</v>
      </c>
      <c r="N112" s="33" t="s">
        <v>39</v>
      </c>
      <c r="O112" s="33" t="s">
        <v>39</v>
      </c>
      <c r="P112" s="33" t="s">
        <v>39</v>
      </c>
      <c r="Q112" s="41"/>
      <c r="R112" s="41"/>
      <c r="S112" s="41"/>
      <c r="T112" s="41"/>
      <c r="U112" s="41"/>
      <c r="V112" s="41"/>
      <c r="W112" s="41"/>
      <c r="X112" s="41"/>
      <c r="Y112" s="41"/>
      <c r="Z112" s="41"/>
      <c r="AA112" s="41"/>
      <c r="AB112" s="41"/>
      <c r="AC112" s="41"/>
      <c r="AD112" s="41"/>
    </row>
    <row r="113" spans="1:30">
      <c r="A113" s="32" t="s">
        <v>561</v>
      </c>
      <c r="B113" s="33" t="s">
        <v>39</v>
      </c>
      <c r="C113" s="51">
        <v>31</v>
      </c>
      <c r="D113" s="51">
        <v>132</v>
      </c>
      <c r="E113" s="51">
        <v>250</v>
      </c>
      <c r="F113" s="51">
        <v>410</v>
      </c>
      <c r="G113" s="33" t="s">
        <v>39</v>
      </c>
      <c r="H113" s="33" t="s">
        <v>39</v>
      </c>
      <c r="I113" s="33" t="s">
        <v>39</v>
      </c>
      <c r="J113" s="33" t="s">
        <v>39</v>
      </c>
      <c r="K113" s="33" t="s">
        <v>39</v>
      </c>
      <c r="L113" s="33" t="s">
        <v>39</v>
      </c>
      <c r="M113" s="33" t="s">
        <v>39</v>
      </c>
      <c r="N113" s="33" t="s">
        <v>39</v>
      </c>
      <c r="O113" s="33" t="s">
        <v>39</v>
      </c>
      <c r="P113" s="33" t="s">
        <v>39</v>
      </c>
      <c r="Q113" s="41"/>
      <c r="R113" s="41"/>
      <c r="S113" s="41"/>
      <c r="T113" s="41"/>
      <c r="U113" s="41"/>
      <c r="V113" s="41"/>
      <c r="W113" s="41"/>
      <c r="X113" s="41"/>
      <c r="Y113" s="41"/>
      <c r="Z113" s="41"/>
      <c r="AA113" s="41"/>
      <c r="AB113" s="41"/>
      <c r="AC113" s="41"/>
      <c r="AD113" s="41"/>
    </row>
    <row r="114" spans="1:30">
      <c r="A114" s="32" t="s">
        <v>562</v>
      </c>
      <c r="B114" s="33" t="s">
        <v>39</v>
      </c>
      <c r="C114" s="52">
        <v>33</v>
      </c>
      <c r="D114" s="52">
        <v>135</v>
      </c>
      <c r="E114" s="52">
        <v>255</v>
      </c>
      <c r="F114" s="52">
        <v>415</v>
      </c>
      <c r="G114" s="33" t="s">
        <v>39</v>
      </c>
      <c r="H114" s="33" t="s">
        <v>39</v>
      </c>
      <c r="I114" s="33" t="s">
        <v>39</v>
      </c>
      <c r="J114" s="33" t="s">
        <v>39</v>
      </c>
      <c r="K114" s="33" t="s">
        <v>39</v>
      </c>
      <c r="L114" s="33" t="s">
        <v>39</v>
      </c>
      <c r="M114" s="33" t="s">
        <v>39</v>
      </c>
      <c r="N114" s="33" t="s">
        <v>39</v>
      </c>
      <c r="O114" s="33" t="s">
        <v>39</v>
      </c>
      <c r="P114" s="33" t="s">
        <v>39</v>
      </c>
      <c r="Q114" s="41"/>
      <c r="R114" s="41"/>
      <c r="S114" s="41"/>
      <c r="T114" s="41"/>
      <c r="U114" s="41"/>
      <c r="V114" s="41"/>
      <c r="W114" s="41"/>
      <c r="X114" s="41"/>
      <c r="Y114" s="41"/>
      <c r="Z114" s="41"/>
      <c r="AA114" s="41"/>
      <c r="AB114" s="41"/>
      <c r="AC114" s="41"/>
      <c r="AD114" s="41"/>
    </row>
    <row r="115" spans="1:30">
      <c r="A115" s="32" t="s">
        <v>563</v>
      </c>
      <c r="B115" s="33" t="s">
        <v>564</v>
      </c>
      <c r="C115" s="33" t="s">
        <v>564</v>
      </c>
      <c r="D115" s="33" t="s">
        <v>564</v>
      </c>
      <c r="E115" s="33" t="s">
        <v>564</v>
      </c>
      <c r="F115" s="33" t="s">
        <v>564</v>
      </c>
      <c r="G115" s="33" t="s">
        <v>564</v>
      </c>
      <c r="H115" s="33" t="s">
        <v>564</v>
      </c>
      <c r="I115" s="33" t="s">
        <v>564</v>
      </c>
      <c r="J115" s="33" t="s">
        <v>564</v>
      </c>
      <c r="K115" s="33" t="s">
        <v>39</v>
      </c>
      <c r="L115" s="33" t="s">
        <v>39</v>
      </c>
      <c r="M115" s="33" t="s">
        <v>39</v>
      </c>
      <c r="N115" s="33" t="s">
        <v>39</v>
      </c>
      <c r="O115" s="33" t="s">
        <v>39</v>
      </c>
      <c r="P115" s="33" t="s">
        <v>39</v>
      </c>
      <c r="Q115" s="41"/>
      <c r="R115" s="41"/>
      <c r="S115" s="41"/>
      <c r="T115" s="41"/>
      <c r="U115" s="41"/>
      <c r="V115" s="41"/>
      <c r="W115" s="41"/>
      <c r="X115" s="41"/>
      <c r="Y115" s="41"/>
      <c r="Z115" s="41"/>
      <c r="AA115" s="41"/>
      <c r="AB115" s="41"/>
      <c r="AC115" s="41"/>
      <c r="AD115" s="41"/>
    </row>
    <row r="116" spans="1:30" s="4" customFormat="1">
      <c r="A116" s="4" t="s">
        <v>50</v>
      </c>
      <c r="B116" s="364">
        <v>-174.458</v>
      </c>
      <c r="C116" s="364">
        <v>-170.453</v>
      </c>
      <c r="D116" s="364">
        <v>-54.206000000000003</v>
      </c>
      <c r="E116" s="364">
        <v>-36.613999999999997</v>
      </c>
      <c r="F116" s="364">
        <v>26.556999999999999</v>
      </c>
      <c r="G116" s="365">
        <v>-63.459000000000003</v>
      </c>
      <c r="H116" s="365">
        <v>59.141469999999998</v>
      </c>
      <c r="I116" s="365">
        <v>405.90724</v>
      </c>
      <c r="J116" s="365">
        <v>494</v>
      </c>
      <c r="K116" s="366" t="s">
        <v>39</v>
      </c>
      <c r="L116" s="366" t="s">
        <v>39</v>
      </c>
      <c r="M116" s="366" t="s">
        <v>39</v>
      </c>
      <c r="N116" s="366" t="s">
        <v>39</v>
      </c>
      <c r="O116" s="366" t="s">
        <v>39</v>
      </c>
      <c r="P116" s="366" t="s">
        <v>39</v>
      </c>
      <c r="Q116" s="367"/>
      <c r="R116" s="367"/>
      <c r="S116" s="367"/>
      <c r="T116" s="367"/>
      <c r="U116" s="367"/>
      <c r="V116" s="367"/>
      <c r="W116" s="367"/>
      <c r="X116" s="367"/>
      <c r="Y116" s="367"/>
      <c r="Z116" s="367"/>
      <c r="AA116" s="367"/>
      <c r="AB116" s="367"/>
      <c r="AC116" s="367"/>
      <c r="AD116" s="367"/>
    </row>
    <row r="117" spans="1:30">
      <c r="A117" s="32" t="s">
        <v>546</v>
      </c>
      <c r="B117" s="50">
        <v>-152.14458999999999</v>
      </c>
      <c r="C117" s="50">
        <v>-187.81292999999999</v>
      </c>
      <c r="D117" s="50">
        <v>-53.630450000000003</v>
      </c>
      <c r="E117" s="50">
        <v>-47.32264</v>
      </c>
      <c r="F117" s="50">
        <v>21.121729999999999</v>
      </c>
      <c r="G117" s="33" t="s">
        <v>39</v>
      </c>
      <c r="H117" s="33" t="s">
        <v>39</v>
      </c>
      <c r="I117" s="33" t="s">
        <v>39</v>
      </c>
      <c r="J117" s="33" t="s">
        <v>39</v>
      </c>
      <c r="K117" s="33" t="s">
        <v>39</v>
      </c>
      <c r="L117" s="33" t="s">
        <v>39</v>
      </c>
      <c r="M117" s="33" t="s">
        <v>39</v>
      </c>
      <c r="N117" s="33" t="s">
        <v>39</v>
      </c>
      <c r="O117" s="33" t="s">
        <v>39</v>
      </c>
      <c r="P117" s="33" t="s">
        <v>39</v>
      </c>
      <c r="Q117" s="41"/>
      <c r="R117" s="41"/>
      <c r="S117" s="41"/>
      <c r="T117" s="41"/>
      <c r="U117" s="41"/>
      <c r="V117" s="41"/>
      <c r="W117" s="41"/>
      <c r="X117" s="41"/>
      <c r="Y117" s="41"/>
      <c r="Z117" s="41"/>
      <c r="AA117" s="41"/>
      <c r="AB117" s="41"/>
      <c r="AC117" s="41"/>
      <c r="AD117" s="41"/>
    </row>
    <row r="118" spans="1:30">
      <c r="A118" s="32" t="s">
        <v>547</v>
      </c>
      <c r="B118" s="50">
        <v>-176.4</v>
      </c>
      <c r="C118" s="50">
        <v>-187.3</v>
      </c>
      <c r="D118" s="50">
        <v>-53.2</v>
      </c>
      <c r="E118" s="50">
        <v>-41.644799999999996</v>
      </c>
      <c r="F118" s="50">
        <v>19.898879999999998</v>
      </c>
      <c r="G118" s="50">
        <v>-56.838999999999999</v>
      </c>
      <c r="H118" s="50">
        <v>108</v>
      </c>
      <c r="I118" s="50">
        <v>404.65800000000002</v>
      </c>
      <c r="J118" s="50">
        <v>494</v>
      </c>
      <c r="K118" s="33" t="s">
        <v>39</v>
      </c>
      <c r="L118" s="33" t="s">
        <v>39</v>
      </c>
      <c r="M118" s="33" t="s">
        <v>39</v>
      </c>
      <c r="N118" s="33" t="s">
        <v>39</v>
      </c>
      <c r="O118" s="33" t="s">
        <v>39</v>
      </c>
      <c r="P118" s="33" t="s">
        <v>39</v>
      </c>
      <c r="Q118" s="41"/>
      <c r="R118" s="41"/>
      <c r="S118" s="41"/>
      <c r="T118" s="41"/>
      <c r="U118" s="41"/>
      <c r="V118" s="41"/>
      <c r="W118" s="41"/>
      <c r="X118" s="41"/>
      <c r="Y118" s="41"/>
      <c r="Z118" s="41"/>
      <c r="AA118" s="41"/>
      <c r="AB118" s="41"/>
      <c r="AC118" s="41"/>
      <c r="AD118" s="41"/>
    </row>
    <row r="119" spans="1:30">
      <c r="A119" s="32" t="s">
        <v>548</v>
      </c>
      <c r="B119" s="50">
        <v>-67.823070000000001</v>
      </c>
      <c r="C119" s="50">
        <v>-181.53700000000001</v>
      </c>
      <c r="D119" s="50">
        <v>-44.6</v>
      </c>
      <c r="E119" s="50">
        <v>-29.068999999999999</v>
      </c>
      <c r="F119" s="50">
        <v>33.259</v>
      </c>
      <c r="G119" s="50">
        <v>48</v>
      </c>
      <c r="H119" s="50">
        <v>305.8</v>
      </c>
      <c r="I119" s="50">
        <v>744.5</v>
      </c>
      <c r="J119" s="50">
        <v>494</v>
      </c>
      <c r="K119" s="33" t="s">
        <v>39</v>
      </c>
      <c r="L119" s="33" t="s">
        <v>39</v>
      </c>
      <c r="M119" s="33" t="s">
        <v>39</v>
      </c>
      <c r="N119" s="33" t="s">
        <v>39</v>
      </c>
      <c r="O119" s="33" t="s">
        <v>39</v>
      </c>
      <c r="P119" s="33" t="s">
        <v>39</v>
      </c>
      <c r="Q119" s="41"/>
      <c r="R119" s="41"/>
      <c r="S119" s="41"/>
      <c r="T119" s="41"/>
      <c r="U119" s="41"/>
      <c r="V119" s="41"/>
      <c r="W119" s="41"/>
      <c r="X119" s="41"/>
      <c r="Y119" s="41"/>
      <c r="Z119" s="41"/>
      <c r="AA119" s="41"/>
      <c r="AB119" s="41"/>
      <c r="AC119" s="41"/>
      <c r="AD119" s="41"/>
    </row>
    <row r="120" spans="1:30">
      <c r="A120" s="32" t="s">
        <v>549</v>
      </c>
      <c r="B120" s="50">
        <v>-185.9</v>
      </c>
      <c r="C120" s="50">
        <v>-200</v>
      </c>
      <c r="D120" s="50">
        <v>-61.4</v>
      </c>
      <c r="E120" s="50">
        <v>-83</v>
      </c>
      <c r="F120" s="50">
        <v>7</v>
      </c>
      <c r="G120" s="50">
        <v>-165.2</v>
      </c>
      <c r="H120" s="50">
        <v>-443.91399999999999</v>
      </c>
      <c r="I120" s="50">
        <v>-80.5</v>
      </c>
      <c r="J120" s="50">
        <v>494</v>
      </c>
      <c r="K120" s="33" t="s">
        <v>39</v>
      </c>
      <c r="L120" s="33" t="s">
        <v>39</v>
      </c>
      <c r="M120" s="33" t="s">
        <v>39</v>
      </c>
      <c r="N120" s="33" t="s">
        <v>39</v>
      </c>
      <c r="O120" s="33" t="s">
        <v>39</v>
      </c>
      <c r="P120" s="33" t="s">
        <v>39</v>
      </c>
      <c r="Q120" s="41"/>
      <c r="R120" s="41"/>
      <c r="S120" s="41"/>
      <c r="T120" s="41"/>
      <c r="U120" s="41"/>
      <c r="V120" s="41"/>
      <c r="W120" s="41"/>
      <c r="X120" s="41"/>
      <c r="Y120" s="41"/>
      <c r="Z120" s="41"/>
      <c r="AA120" s="41"/>
      <c r="AB120" s="41"/>
      <c r="AC120" s="41"/>
      <c r="AD120" s="41"/>
    </row>
    <row r="121" spans="1:30">
      <c r="A121" s="32" t="s">
        <v>550</v>
      </c>
      <c r="B121" s="45">
        <v>46.950519999999997</v>
      </c>
      <c r="C121" s="45">
        <v>4.4593400000000001</v>
      </c>
      <c r="D121" s="45">
        <v>3.7351999999999999</v>
      </c>
      <c r="E121" s="45">
        <v>16.011849999999999</v>
      </c>
      <c r="F121" s="45">
        <v>6.8127399999999998</v>
      </c>
      <c r="G121" s="45">
        <v>47.667409999999997</v>
      </c>
      <c r="H121" s="45">
        <v>176.17320000000001</v>
      </c>
      <c r="I121" s="45">
        <v>196.27411000000001</v>
      </c>
      <c r="J121" s="45">
        <v>0</v>
      </c>
      <c r="K121" s="33" t="s">
        <v>39</v>
      </c>
      <c r="L121" s="33" t="s">
        <v>39</v>
      </c>
      <c r="M121" s="33" t="s">
        <v>39</v>
      </c>
      <c r="N121" s="33" t="s">
        <v>39</v>
      </c>
      <c r="O121" s="33" t="s">
        <v>39</v>
      </c>
      <c r="P121" s="33" t="s">
        <v>39</v>
      </c>
      <c r="Q121" s="41"/>
      <c r="R121" s="41"/>
      <c r="S121" s="41"/>
      <c r="T121" s="41"/>
      <c r="U121" s="41"/>
      <c r="V121" s="41"/>
      <c r="W121" s="41"/>
      <c r="X121" s="41"/>
      <c r="Y121" s="41"/>
      <c r="Z121" s="41"/>
      <c r="AA121" s="41"/>
      <c r="AB121" s="41"/>
      <c r="AC121" s="41"/>
      <c r="AD121" s="41"/>
    </row>
    <row r="122" spans="1:30">
      <c r="A122" s="32" t="s">
        <v>551</v>
      </c>
      <c r="B122" s="33" t="s">
        <v>610</v>
      </c>
      <c r="C122" s="33" t="s">
        <v>611</v>
      </c>
      <c r="D122" s="33" t="s">
        <v>612</v>
      </c>
      <c r="E122" s="33" t="s">
        <v>613</v>
      </c>
      <c r="F122" s="33" t="s">
        <v>614</v>
      </c>
      <c r="G122" s="33" t="s">
        <v>615</v>
      </c>
      <c r="H122" s="33" t="s">
        <v>616</v>
      </c>
      <c r="I122" s="33" t="s">
        <v>617</v>
      </c>
      <c r="J122" s="33" t="s">
        <v>573</v>
      </c>
      <c r="K122" s="33" t="s">
        <v>39</v>
      </c>
      <c r="L122" s="33" t="s">
        <v>39</v>
      </c>
      <c r="M122" s="33" t="s">
        <v>39</v>
      </c>
      <c r="N122" s="33" t="s">
        <v>39</v>
      </c>
      <c r="O122" s="33" t="s">
        <v>39</v>
      </c>
      <c r="P122" s="33" t="s">
        <v>39</v>
      </c>
      <c r="Q122" s="41"/>
      <c r="R122" s="41"/>
      <c r="S122" s="41"/>
      <c r="T122" s="41"/>
      <c r="U122" s="41"/>
      <c r="V122" s="41"/>
      <c r="W122" s="41"/>
      <c r="X122" s="41"/>
      <c r="Y122" s="41"/>
      <c r="Z122" s="41"/>
      <c r="AA122" s="41"/>
      <c r="AB122" s="41"/>
      <c r="AC122" s="41"/>
      <c r="AD122" s="41"/>
    </row>
    <row r="123" spans="1:30">
      <c r="A123" s="32" t="s">
        <v>563</v>
      </c>
      <c r="B123" s="33" t="s">
        <v>564</v>
      </c>
      <c r="C123" s="33" t="s">
        <v>564</v>
      </c>
      <c r="D123" s="33" t="s">
        <v>564</v>
      </c>
      <c r="E123" s="33" t="s">
        <v>564</v>
      </c>
      <c r="F123" s="33" t="s">
        <v>564</v>
      </c>
      <c r="G123" s="33" t="s">
        <v>564</v>
      </c>
      <c r="H123" s="33" t="s">
        <v>564</v>
      </c>
      <c r="I123" s="33" t="s">
        <v>564</v>
      </c>
      <c r="J123" s="33" t="s">
        <v>564</v>
      </c>
      <c r="K123" s="33" t="s">
        <v>39</v>
      </c>
      <c r="L123" s="33" t="s">
        <v>39</v>
      </c>
      <c r="M123" s="33" t="s">
        <v>39</v>
      </c>
      <c r="N123" s="33" t="s">
        <v>39</v>
      </c>
      <c r="O123" s="33" t="s">
        <v>39</v>
      </c>
      <c r="P123" s="33" t="s">
        <v>39</v>
      </c>
      <c r="Q123" s="41"/>
      <c r="R123" s="41"/>
      <c r="S123" s="41"/>
      <c r="T123" s="41"/>
      <c r="U123" s="41"/>
      <c r="V123" s="41"/>
      <c r="W123" s="41"/>
      <c r="X123" s="41"/>
      <c r="Y123" s="41"/>
      <c r="Z123" s="41"/>
      <c r="AA123" s="41"/>
      <c r="AB123" s="41"/>
      <c r="AC123" s="41"/>
      <c r="AD123" s="41"/>
    </row>
    <row r="124" spans="1:30">
      <c r="A124" s="4" t="s">
        <v>293</v>
      </c>
      <c r="B124" s="49">
        <v>-1.163</v>
      </c>
      <c r="C124" s="49">
        <v>0.78</v>
      </c>
      <c r="D124" s="49">
        <v>-8.4580000000000002</v>
      </c>
      <c r="E124" s="49">
        <v>-17.981999999999999</v>
      </c>
      <c r="F124" s="49">
        <v>-21.515999999999998</v>
      </c>
      <c r="G124" s="50">
        <v>-51.63232</v>
      </c>
      <c r="H124" s="50">
        <v>-49.042140000000003</v>
      </c>
      <c r="I124" s="50">
        <v>-51.016759999999998</v>
      </c>
      <c r="J124" s="50">
        <v>-28.85</v>
      </c>
      <c r="K124" s="50">
        <v>-20</v>
      </c>
      <c r="L124" s="50">
        <v>-20</v>
      </c>
      <c r="M124" s="50">
        <v>-20</v>
      </c>
      <c r="N124" s="50">
        <v>-20</v>
      </c>
      <c r="O124" s="50">
        <v>-20</v>
      </c>
      <c r="P124" s="50">
        <v>-20</v>
      </c>
      <c r="Q124" s="41"/>
      <c r="R124" s="41"/>
      <c r="S124" s="41"/>
      <c r="T124" s="41"/>
      <c r="U124" s="41"/>
      <c r="V124" s="41"/>
      <c r="W124" s="41"/>
      <c r="X124" s="41"/>
      <c r="Y124" s="41"/>
      <c r="Z124" s="41"/>
      <c r="AA124" s="41"/>
      <c r="AB124" s="41"/>
      <c r="AC124" s="41"/>
      <c r="AD124" s="41"/>
    </row>
    <row r="125" spans="1:30">
      <c r="A125" s="32" t="s">
        <v>546</v>
      </c>
      <c r="B125" s="50">
        <v>-1.04789</v>
      </c>
      <c r="C125" s="50">
        <v>-0.27367000000000002</v>
      </c>
      <c r="D125" s="50">
        <v>-6.8353999999999999</v>
      </c>
      <c r="E125" s="50">
        <v>-20.21031</v>
      </c>
      <c r="F125" s="50">
        <v>-21.44265</v>
      </c>
      <c r="G125" s="33" t="s">
        <v>39</v>
      </c>
      <c r="H125" s="33" t="s">
        <v>39</v>
      </c>
      <c r="I125" s="33" t="s">
        <v>39</v>
      </c>
      <c r="J125" s="33" t="s">
        <v>39</v>
      </c>
      <c r="K125" s="33" t="s">
        <v>39</v>
      </c>
      <c r="L125" s="33" t="s">
        <v>39</v>
      </c>
      <c r="M125" s="33" t="s">
        <v>39</v>
      </c>
      <c r="N125" s="33" t="s">
        <v>39</v>
      </c>
      <c r="O125" s="33" t="s">
        <v>39</v>
      </c>
      <c r="P125" s="33" t="s">
        <v>39</v>
      </c>
      <c r="Q125" s="41"/>
      <c r="R125" s="41"/>
      <c r="S125" s="41"/>
      <c r="T125" s="41"/>
      <c r="U125" s="41"/>
      <c r="V125" s="41"/>
      <c r="W125" s="41"/>
      <c r="X125" s="41"/>
      <c r="Y125" s="41"/>
      <c r="Z125" s="41"/>
      <c r="AA125" s="41"/>
      <c r="AB125" s="41"/>
      <c r="AC125" s="41"/>
      <c r="AD125" s="41"/>
    </row>
    <row r="126" spans="1:30">
      <c r="A126" s="32" t="s">
        <v>547</v>
      </c>
      <c r="B126" s="50">
        <v>-1</v>
      </c>
      <c r="C126" s="50">
        <v>-0.221</v>
      </c>
      <c r="D126" s="50">
        <v>-7.4729999999999999</v>
      </c>
      <c r="E126" s="50">
        <v>-19.899999999999999</v>
      </c>
      <c r="F126" s="50">
        <v>-21</v>
      </c>
      <c r="G126" s="50">
        <v>-53.935000000000002</v>
      </c>
      <c r="H126" s="50">
        <v>-57</v>
      </c>
      <c r="I126" s="50">
        <v>-56.8</v>
      </c>
      <c r="J126" s="50">
        <v>-28.85</v>
      </c>
      <c r="K126" s="50">
        <v>-20</v>
      </c>
      <c r="L126" s="50">
        <v>-20</v>
      </c>
      <c r="M126" s="50">
        <v>-20</v>
      </c>
      <c r="N126" s="50">
        <v>-20</v>
      </c>
      <c r="O126" s="50">
        <v>-20</v>
      </c>
      <c r="P126" s="50">
        <v>-20</v>
      </c>
      <c r="Q126" s="41"/>
      <c r="R126" s="41"/>
      <c r="S126" s="41"/>
      <c r="T126" s="41"/>
      <c r="U126" s="41"/>
      <c r="V126" s="41"/>
      <c r="W126" s="41"/>
      <c r="X126" s="41"/>
      <c r="Y126" s="41"/>
      <c r="Z126" s="41"/>
      <c r="AA126" s="41"/>
      <c r="AB126" s="41"/>
      <c r="AC126" s="41"/>
      <c r="AD126" s="41"/>
    </row>
    <row r="127" spans="1:30">
      <c r="A127" s="32" t="s">
        <v>548</v>
      </c>
      <c r="B127" s="50">
        <v>-1.1359999999999999</v>
      </c>
      <c r="C127" s="50">
        <v>-0.4</v>
      </c>
      <c r="D127" s="50">
        <v>-10.3</v>
      </c>
      <c r="E127" s="50">
        <v>-28</v>
      </c>
      <c r="F127" s="50">
        <v>-28</v>
      </c>
      <c r="G127" s="50">
        <v>-58.2</v>
      </c>
      <c r="H127" s="50">
        <v>-66.22</v>
      </c>
      <c r="I127" s="50">
        <v>-73.42</v>
      </c>
      <c r="J127" s="50">
        <v>-37.700000000000003</v>
      </c>
      <c r="K127" s="50">
        <v>-20</v>
      </c>
      <c r="L127" s="50">
        <v>-20</v>
      </c>
      <c r="M127" s="50">
        <v>-20</v>
      </c>
      <c r="N127" s="50">
        <v>-20</v>
      </c>
      <c r="O127" s="50">
        <v>-20</v>
      </c>
      <c r="P127" s="50">
        <v>-20</v>
      </c>
      <c r="Q127" s="41"/>
      <c r="R127" s="41"/>
      <c r="S127" s="41"/>
      <c r="T127" s="41"/>
      <c r="U127" s="41"/>
      <c r="V127" s="41"/>
      <c r="W127" s="41"/>
      <c r="X127" s="41"/>
      <c r="Y127" s="41"/>
      <c r="Z127" s="41"/>
      <c r="AA127" s="41"/>
      <c r="AB127" s="41"/>
      <c r="AC127" s="41"/>
      <c r="AD127" s="41"/>
    </row>
    <row r="128" spans="1:30">
      <c r="A128" s="32" t="s">
        <v>549</v>
      </c>
      <c r="B128" s="50">
        <v>-0.995</v>
      </c>
      <c r="C128" s="50">
        <v>-0.2</v>
      </c>
      <c r="D128" s="50">
        <v>-2</v>
      </c>
      <c r="E128" s="50">
        <v>-14.448</v>
      </c>
      <c r="F128" s="50">
        <v>-19</v>
      </c>
      <c r="G128" s="50">
        <v>-39</v>
      </c>
      <c r="H128" s="50">
        <v>-20</v>
      </c>
      <c r="I128" s="50">
        <v>-20</v>
      </c>
      <c r="J128" s="50">
        <v>-20</v>
      </c>
      <c r="K128" s="50">
        <v>-20</v>
      </c>
      <c r="L128" s="50">
        <v>-20</v>
      </c>
      <c r="M128" s="50">
        <v>-20</v>
      </c>
      <c r="N128" s="50">
        <v>-20</v>
      </c>
      <c r="O128" s="50">
        <v>-20</v>
      </c>
      <c r="P128" s="50">
        <v>-20</v>
      </c>
      <c r="Q128" s="41"/>
      <c r="R128" s="41"/>
      <c r="S128" s="41"/>
      <c r="T128" s="41"/>
      <c r="U128" s="41"/>
      <c r="V128" s="41"/>
      <c r="W128" s="41"/>
      <c r="X128" s="41"/>
      <c r="Y128" s="41"/>
      <c r="Z128" s="41"/>
      <c r="AA128" s="41"/>
      <c r="AB128" s="41"/>
      <c r="AC128" s="41"/>
      <c r="AD128" s="41"/>
    </row>
    <row r="129" spans="1:30">
      <c r="A129" s="32" t="s">
        <v>550</v>
      </c>
      <c r="B129" s="45">
        <v>5.5660000000000001E-2</v>
      </c>
      <c r="C129" s="45">
        <v>8.974E-2</v>
      </c>
      <c r="D129" s="45">
        <v>1.9553</v>
      </c>
      <c r="E129" s="45">
        <v>3.5522499999999999</v>
      </c>
      <c r="F129" s="45">
        <v>2.2329300000000001</v>
      </c>
      <c r="G129" s="45">
        <v>4.9028499999999999</v>
      </c>
      <c r="H129" s="45">
        <v>14.523250000000001</v>
      </c>
      <c r="I129" s="45">
        <v>13.45392</v>
      </c>
      <c r="J129" s="45">
        <v>8.85</v>
      </c>
      <c r="K129" s="45">
        <v>0</v>
      </c>
      <c r="L129" s="45">
        <v>0</v>
      </c>
      <c r="M129" s="45">
        <v>0</v>
      </c>
      <c r="N129" s="45">
        <v>0</v>
      </c>
      <c r="O129" s="45">
        <v>0</v>
      </c>
      <c r="P129" s="45">
        <v>0</v>
      </c>
      <c r="Q129" s="41"/>
      <c r="R129" s="41"/>
      <c r="S129" s="41"/>
      <c r="T129" s="41"/>
      <c r="U129" s="41"/>
      <c r="V129" s="41"/>
      <c r="W129" s="41"/>
      <c r="X129" s="41"/>
      <c r="Y129" s="41"/>
      <c r="Z129" s="41"/>
      <c r="AA129" s="41"/>
      <c r="AB129" s="41"/>
      <c r="AC129" s="41"/>
      <c r="AD129" s="41"/>
    </row>
    <row r="130" spans="1:30">
      <c r="A130" s="32" t="s">
        <v>551</v>
      </c>
      <c r="B130" s="33" t="s">
        <v>618</v>
      </c>
      <c r="C130" s="33" t="s">
        <v>560</v>
      </c>
      <c r="D130" s="33" t="s">
        <v>570</v>
      </c>
      <c r="E130" s="33" t="s">
        <v>619</v>
      </c>
      <c r="F130" s="33" t="s">
        <v>620</v>
      </c>
      <c r="G130" s="33" t="s">
        <v>621</v>
      </c>
      <c r="H130" s="33" t="s">
        <v>622</v>
      </c>
      <c r="I130" s="33" t="s">
        <v>623</v>
      </c>
      <c r="J130" s="33" t="s">
        <v>587</v>
      </c>
      <c r="K130" s="33" t="s">
        <v>575</v>
      </c>
      <c r="L130" s="33" t="s">
        <v>575</v>
      </c>
      <c r="M130" s="33" t="s">
        <v>575</v>
      </c>
      <c r="N130" s="33" t="s">
        <v>575</v>
      </c>
      <c r="O130" s="33" t="s">
        <v>575</v>
      </c>
      <c r="P130" s="33" t="s">
        <v>575</v>
      </c>
      <c r="Q130" s="41"/>
      <c r="R130" s="41"/>
      <c r="S130" s="41"/>
      <c r="T130" s="41"/>
      <c r="U130" s="41"/>
      <c r="V130" s="41"/>
      <c r="W130" s="41"/>
      <c r="X130" s="41"/>
      <c r="Y130" s="41"/>
      <c r="Z130" s="41"/>
      <c r="AA130" s="41"/>
      <c r="AB130" s="41"/>
      <c r="AC130" s="41"/>
      <c r="AD130" s="41"/>
    </row>
    <row r="131" spans="1:30">
      <c r="A131" s="32" t="s">
        <v>563</v>
      </c>
      <c r="B131" s="33" t="s">
        <v>564</v>
      </c>
      <c r="C131" s="33" t="s">
        <v>564</v>
      </c>
      <c r="D131" s="33" t="s">
        <v>564</v>
      </c>
      <c r="E131" s="33" t="s">
        <v>564</v>
      </c>
      <c r="F131" s="33" t="s">
        <v>564</v>
      </c>
      <c r="G131" s="33" t="s">
        <v>564</v>
      </c>
      <c r="H131" s="33" t="s">
        <v>564</v>
      </c>
      <c r="I131" s="33" t="s">
        <v>564</v>
      </c>
      <c r="J131" s="33" t="s">
        <v>564</v>
      </c>
      <c r="K131" s="33" t="s">
        <v>564</v>
      </c>
      <c r="L131" s="33" t="s">
        <v>564</v>
      </c>
      <c r="M131" s="33" t="s">
        <v>564</v>
      </c>
      <c r="N131" s="33" t="s">
        <v>564</v>
      </c>
      <c r="O131" s="33" t="s">
        <v>564</v>
      </c>
      <c r="P131" s="33" t="s">
        <v>564</v>
      </c>
      <c r="Q131" s="41"/>
      <c r="R131" s="41"/>
      <c r="S131" s="41"/>
      <c r="T131" s="41"/>
      <c r="U131" s="41"/>
      <c r="V131" s="41"/>
      <c r="W131" s="41"/>
      <c r="X131" s="41"/>
      <c r="Y131" s="41"/>
      <c r="Z131" s="41"/>
      <c r="AA131" s="41"/>
      <c r="AB131" s="41"/>
      <c r="AC131" s="41"/>
      <c r="AD131" s="41"/>
    </row>
    <row r="132" spans="1:30">
      <c r="A132" s="4" t="s">
        <v>624</v>
      </c>
      <c r="B132" s="49">
        <v>-176.071</v>
      </c>
      <c r="C132" s="49">
        <v>-169.673</v>
      </c>
      <c r="D132" s="49">
        <v>115.11</v>
      </c>
      <c r="E132" s="49">
        <v>226.69399999999999</v>
      </c>
      <c r="F132" s="49">
        <v>385.93099999999998</v>
      </c>
      <c r="G132" s="50">
        <v>407.59649999999999</v>
      </c>
      <c r="H132" s="50">
        <v>573.86447999999996</v>
      </c>
      <c r="I132" s="50">
        <v>926.91376000000002</v>
      </c>
      <c r="J132" s="50">
        <v>1310</v>
      </c>
      <c r="K132" s="33" t="s">
        <v>39</v>
      </c>
      <c r="L132" s="50">
        <v>1695</v>
      </c>
      <c r="M132" s="50">
        <v>2237</v>
      </c>
      <c r="N132" s="50">
        <v>2880</v>
      </c>
      <c r="O132" s="50">
        <v>3371</v>
      </c>
      <c r="P132" s="50">
        <v>3900</v>
      </c>
      <c r="Q132" s="41"/>
      <c r="R132" s="41"/>
      <c r="S132" s="41"/>
      <c r="T132" s="41"/>
      <c r="U132" s="41"/>
      <c r="V132" s="41"/>
      <c r="W132" s="41"/>
      <c r="X132" s="41"/>
      <c r="Y132" s="41"/>
      <c r="Z132" s="41"/>
      <c r="AA132" s="41"/>
      <c r="AB132" s="41"/>
      <c r="AC132" s="41"/>
      <c r="AD132" s="41"/>
    </row>
    <row r="133" spans="1:30">
      <c r="A133" s="32" t="s">
        <v>546</v>
      </c>
      <c r="B133" s="50">
        <v>-182.42212000000001</v>
      </c>
      <c r="C133" s="50">
        <v>-167.50067000000001</v>
      </c>
      <c r="D133" s="50">
        <v>109.63333</v>
      </c>
      <c r="E133" s="50">
        <v>229.98665</v>
      </c>
      <c r="F133" s="50">
        <v>388.48163</v>
      </c>
      <c r="G133" s="33" t="s">
        <v>39</v>
      </c>
      <c r="H133" s="33" t="s">
        <v>39</v>
      </c>
      <c r="I133" s="33" t="s">
        <v>39</v>
      </c>
      <c r="J133" s="33" t="s">
        <v>39</v>
      </c>
      <c r="K133" s="33" t="s">
        <v>39</v>
      </c>
      <c r="L133" s="33" t="s">
        <v>39</v>
      </c>
      <c r="M133" s="33" t="s">
        <v>39</v>
      </c>
      <c r="N133" s="33" t="s">
        <v>39</v>
      </c>
      <c r="O133" s="33" t="s">
        <v>39</v>
      </c>
      <c r="P133" s="33" t="s">
        <v>39</v>
      </c>
      <c r="Q133" s="41"/>
      <c r="R133" s="41"/>
      <c r="S133" s="41"/>
      <c r="T133" s="41"/>
      <c r="U133" s="41"/>
      <c r="V133" s="41"/>
      <c r="W133" s="41"/>
      <c r="X133" s="41"/>
      <c r="Y133" s="41"/>
      <c r="Z133" s="41"/>
      <c r="AA133" s="41"/>
      <c r="AB133" s="41"/>
      <c r="AC133" s="41"/>
      <c r="AD133" s="41"/>
    </row>
    <row r="134" spans="1:30">
      <c r="A134" s="32" t="s">
        <v>547</v>
      </c>
      <c r="B134" s="50">
        <v>-182.83</v>
      </c>
      <c r="C134" s="50">
        <v>-185.08349999999999</v>
      </c>
      <c r="D134" s="50">
        <v>111.8</v>
      </c>
      <c r="E134" s="50">
        <v>228.3733</v>
      </c>
      <c r="F134" s="50">
        <v>389.53100000000001</v>
      </c>
      <c r="G134" s="50">
        <v>410.72800000000001</v>
      </c>
      <c r="H134" s="50">
        <v>612.51494000000002</v>
      </c>
      <c r="I134" s="50">
        <v>930.85350000000005</v>
      </c>
      <c r="J134" s="50">
        <v>1310</v>
      </c>
      <c r="K134" s="33" t="s">
        <v>39</v>
      </c>
      <c r="L134" s="50">
        <v>1695</v>
      </c>
      <c r="M134" s="50">
        <v>2237</v>
      </c>
      <c r="N134" s="50">
        <v>2880</v>
      </c>
      <c r="O134" s="50">
        <v>3371</v>
      </c>
      <c r="P134" s="50">
        <v>3900</v>
      </c>
      <c r="Q134" s="41"/>
      <c r="R134" s="41"/>
      <c r="S134" s="41"/>
      <c r="T134" s="41"/>
      <c r="U134" s="41"/>
      <c r="V134" s="41"/>
      <c r="W134" s="41"/>
      <c r="X134" s="41"/>
      <c r="Y134" s="41"/>
      <c r="Z134" s="41"/>
      <c r="AA134" s="41"/>
      <c r="AB134" s="41"/>
      <c r="AC134" s="41"/>
      <c r="AD134" s="41"/>
    </row>
    <row r="135" spans="1:30">
      <c r="A135" s="32" t="s">
        <v>548</v>
      </c>
      <c r="B135" s="50">
        <v>-176.35</v>
      </c>
      <c r="C135" s="50">
        <v>-2.7</v>
      </c>
      <c r="D135" s="50">
        <v>117</v>
      </c>
      <c r="E135" s="50">
        <v>239.6</v>
      </c>
      <c r="F135" s="50">
        <v>392.42459000000002</v>
      </c>
      <c r="G135" s="50">
        <v>430.93</v>
      </c>
      <c r="H135" s="50">
        <v>793.69</v>
      </c>
      <c r="I135" s="50">
        <v>1036.94804</v>
      </c>
      <c r="J135" s="50">
        <v>1310</v>
      </c>
      <c r="K135" s="33" t="s">
        <v>39</v>
      </c>
      <c r="L135" s="50">
        <v>1695</v>
      </c>
      <c r="M135" s="50">
        <v>2237</v>
      </c>
      <c r="N135" s="50">
        <v>2880</v>
      </c>
      <c r="O135" s="50">
        <v>3371</v>
      </c>
      <c r="P135" s="50">
        <v>3900</v>
      </c>
      <c r="Q135" s="41"/>
      <c r="R135" s="41"/>
      <c r="S135" s="41"/>
      <c r="T135" s="41"/>
      <c r="U135" s="41"/>
      <c r="V135" s="41"/>
      <c r="W135" s="41"/>
      <c r="X135" s="41"/>
      <c r="Y135" s="41"/>
      <c r="Z135" s="41"/>
      <c r="AA135" s="41"/>
      <c r="AB135" s="41"/>
      <c r="AC135" s="41"/>
      <c r="AD135" s="41"/>
    </row>
    <row r="136" spans="1:30">
      <c r="A136" s="32" t="s">
        <v>549</v>
      </c>
      <c r="B136" s="50">
        <v>-188.40485000000001</v>
      </c>
      <c r="C136" s="50">
        <v>-199</v>
      </c>
      <c r="D136" s="50">
        <v>100.1</v>
      </c>
      <c r="E136" s="50">
        <v>223.6</v>
      </c>
      <c r="F136" s="50">
        <v>382.45256999999998</v>
      </c>
      <c r="G136" s="50">
        <v>378</v>
      </c>
      <c r="H136" s="50">
        <v>310.01202999999998</v>
      </c>
      <c r="I136" s="50">
        <v>809</v>
      </c>
      <c r="J136" s="50">
        <v>1310</v>
      </c>
      <c r="K136" s="33" t="s">
        <v>39</v>
      </c>
      <c r="L136" s="50">
        <v>1695</v>
      </c>
      <c r="M136" s="50">
        <v>2237</v>
      </c>
      <c r="N136" s="50">
        <v>2880</v>
      </c>
      <c r="O136" s="50">
        <v>3371</v>
      </c>
      <c r="P136" s="50">
        <v>3900</v>
      </c>
      <c r="Q136" s="41"/>
      <c r="R136" s="41"/>
      <c r="S136" s="41"/>
      <c r="T136" s="41"/>
      <c r="U136" s="41"/>
      <c r="V136" s="41"/>
      <c r="W136" s="41"/>
      <c r="X136" s="41"/>
      <c r="Y136" s="41"/>
      <c r="Z136" s="41"/>
      <c r="AA136" s="41"/>
      <c r="AB136" s="41"/>
      <c r="AC136" s="41"/>
      <c r="AD136" s="41"/>
    </row>
    <row r="137" spans="1:30">
      <c r="A137" s="32" t="s">
        <v>550</v>
      </c>
      <c r="B137" s="45">
        <v>3.7600199999999999</v>
      </c>
      <c r="C137" s="45">
        <v>51.485109999999999</v>
      </c>
      <c r="D137" s="45">
        <v>7.06745</v>
      </c>
      <c r="E137" s="45">
        <v>5.9924799999999996</v>
      </c>
      <c r="F137" s="45">
        <v>3.7824599999999999</v>
      </c>
      <c r="G137" s="45">
        <v>19.825150000000001</v>
      </c>
      <c r="H137" s="45">
        <v>150.18535</v>
      </c>
      <c r="I137" s="45">
        <v>82.374709999999993</v>
      </c>
      <c r="J137" s="45">
        <v>0</v>
      </c>
      <c r="K137" s="33" t="s">
        <v>39</v>
      </c>
      <c r="L137" s="45">
        <v>0</v>
      </c>
      <c r="M137" s="45">
        <v>0</v>
      </c>
      <c r="N137" s="45">
        <v>0</v>
      </c>
      <c r="O137" s="45">
        <v>0</v>
      </c>
      <c r="P137" s="45">
        <v>0</v>
      </c>
      <c r="Q137" s="41"/>
      <c r="R137" s="41"/>
      <c r="S137" s="41"/>
      <c r="T137" s="41"/>
      <c r="U137" s="41"/>
      <c r="V137" s="41"/>
      <c r="W137" s="41"/>
      <c r="X137" s="41"/>
      <c r="Y137" s="41"/>
      <c r="Z137" s="41"/>
      <c r="AA137" s="41"/>
      <c r="AB137" s="41"/>
      <c r="AC137" s="41"/>
      <c r="AD137" s="41"/>
    </row>
    <row r="138" spans="1:30">
      <c r="A138" s="32" t="s">
        <v>551</v>
      </c>
      <c r="B138" s="33" t="s">
        <v>625</v>
      </c>
      <c r="C138" s="33" t="s">
        <v>626</v>
      </c>
      <c r="D138" s="33" t="s">
        <v>627</v>
      </c>
      <c r="E138" s="33" t="s">
        <v>628</v>
      </c>
      <c r="F138" s="33" t="s">
        <v>629</v>
      </c>
      <c r="G138" s="33" t="s">
        <v>630</v>
      </c>
      <c r="H138" s="33" t="s">
        <v>631</v>
      </c>
      <c r="I138" s="33" t="s">
        <v>628</v>
      </c>
      <c r="J138" s="33" t="s">
        <v>575</v>
      </c>
      <c r="K138" s="33" t="s">
        <v>39</v>
      </c>
      <c r="L138" s="33" t="s">
        <v>575</v>
      </c>
      <c r="M138" s="33" t="s">
        <v>575</v>
      </c>
      <c r="N138" s="33" t="s">
        <v>575</v>
      </c>
      <c r="O138" s="33" t="s">
        <v>575</v>
      </c>
      <c r="P138" s="33" t="s">
        <v>575</v>
      </c>
      <c r="Q138" s="41"/>
      <c r="R138" s="41"/>
      <c r="S138" s="41"/>
      <c r="T138" s="41"/>
      <c r="U138" s="41"/>
      <c r="V138" s="41"/>
      <c r="W138" s="41"/>
      <c r="X138" s="41"/>
      <c r="Y138" s="41"/>
      <c r="Z138" s="41"/>
      <c r="AA138" s="41"/>
      <c r="AB138" s="41"/>
      <c r="AC138" s="41"/>
      <c r="AD138" s="41"/>
    </row>
    <row r="139" spans="1:30">
      <c r="A139" s="32" t="s">
        <v>563</v>
      </c>
      <c r="B139" s="33" t="s">
        <v>564</v>
      </c>
      <c r="C139" s="33" t="s">
        <v>564</v>
      </c>
      <c r="D139" s="33" t="s">
        <v>564</v>
      </c>
      <c r="E139" s="33" t="s">
        <v>564</v>
      </c>
      <c r="F139" s="33" t="s">
        <v>564</v>
      </c>
      <c r="G139" s="33" t="s">
        <v>564</v>
      </c>
      <c r="H139" s="33" t="s">
        <v>564</v>
      </c>
      <c r="I139" s="33" t="s">
        <v>564</v>
      </c>
      <c r="J139" s="33" t="s">
        <v>564</v>
      </c>
      <c r="K139" s="33" t="s">
        <v>39</v>
      </c>
      <c r="L139" s="33" t="s">
        <v>564</v>
      </c>
      <c r="M139" s="33" t="s">
        <v>564</v>
      </c>
      <c r="N139" s="33" t="s">
        <v>564</v>
      </c>
      <c r="O139" s="33" t="s">
        <v>564</v>
      </c>
      <c r="P139" s="33" t="s">
        <v>564</v>
      </c>
      <c r="Q139" s="41"/>
      <c r="R139" s="41"/>
      <c r="S139" s="41"/>
      <c r="T139" s="41"/>
      <c r="U139" s="41"/>
      <c r="V139" s="41"/>
      <c r="W139" s="41"/>
      <c r="X139" s="41"/>
      <c r="Y139" s="41"/>
      <c r="Z139" s="41"/>
      <c r="AA139" s="41"/>
      <c r="AB139" s="41"/>
      <c r="AC139" s="41"/>
      <c r="AD139" s="41"/>
    </row>
    <row r="140" spans="1:30">
      <c r="A140" s="4" t="s">
        <v>632</v>
      </c>
      <c r="B140" s="49">
        <v>-176.071</v>
      </c>
      <c r="C140" s="49">
        <v>-169.673</v>
      </c>
      <c r="D140" s="49">
        <v>-62.664000000000001</v>
      </c>
      <c r="E140" s="49">
        <v>-36.127000000000002</v>
      </c>
      <c r="F140" s="49">
        <v>378.21300000000002</v>
      </c>
      <c r="G140" s="50">
        <v>-91.537999999999997</v>
      </c>
      <c r="H140" s="50">
        <v>12.033659999999999</v>
      </c>
      <c r="I140" s="50">
        <v>360.83551</v>
      </c>
      <c r="J140" s="50">
        <v>527</v>
      </c>
      <c r="K140" s="33" t="s">
        <v>39</v>
      </c>
      <c r="L140" s="33" t="s">
        <v>39</v>
      </c>
      <c r="M140" s="33" t="s">
        <v>39</v>
      </c>
      <c r="N140" s="33" t="s">
        <v>39</v>
      </c>
      <c r="O140" s="33" t="s">
        <v>39</v>
      </c>
      <c r="P140" s="33" t="s">
        <v>39</v>
      </c>
      <c r="Q140" s="41"/>
      <c r="R140" s="41"/>
      <c r="S140" s="41"/>
      <c r="T140" s="41"/>
      <c r="U140" s="41"/>
      <c r="V140" s="41"/>
      <c r="W140" s="41"/>
      <c r="X140" s="41"/>
      <c r="Y140" s="41"/>
      <c r="Z140" s="41"/>
      <c r="AA140" s="41"/>
      <c r="AB140" s="41"/>
      <c r="AC140" s="41"/>
      <c r="AD140" s="41"/>
    </row>
    <row r="141" spans="1:30">
      <c r="A141" s="32" t="s">
        <v>546</v>
      </c>
      <c r="B141" s="50">
        <v>-170.23988</v>
      </c>
      <c r="C141" s="50">
        <v>-187.30104</v>
      </c>
      <c r="D141" s="50">
        <v>-61.010260000000002</v>
      </c>
      <c r="E141" s="50">
        <v>-43.251640000000002</v>
      </c>
      <c r="F141" s="50">
        <v>-6.9707100000000004</v>
      </c>
      <c r="G141" s="33" t="s">
        <v>39</v>
      </c>
      <c r="H141" s="33" t="s">
        <v>39</v>
      </c>
      <c r="I141" s="33" t="s">
        <v>39</v>
      </c>
      <c r="J141" s="33" t="s">
        <v>39</v>
      </c>
      <c r="K141" s="33" t="s">
        <v>39</v>
      </c>
      <c r="L141" s="33" t="s">
        <v>39</v>
      </c>
      <c r="M141" s="33" t="s">
        <v>39</v>
      </c>
      <c r="N141" s="33" t="s">
        <v>39</v>
      </c>
      <c r="O141" s="33" t="s">
        <v>39</v>
      </c>
      <c r="P141" s="33" t="s">
        <v>39</v>
      </c>
      <c r="Q141" s="41"/>
      <c r="R141" s="41"/>
      <c r="S141" s="41"/>
      <c r="T141" s="41"/>
      <c r="U141" s="41"/>
      <c r="V141" s="41"/>
      <c r="W141" s="41"/>
      <c r="X141" s="41"/>
      <c r="Y141" s="41"/>
      <c r="Z141" s="41"/>
      <c r="AA141" s="41"/>
      <c r="AB141" s="41"/>
      <c r="AC141" s="41"/>
      <c r="AD141" s="41"/>
    </row>
    <row r="142" spans="1:30">
      <c r="A142" s="32" t="s">
        <v>547</v>
      </c>
      <c r="B142" s="50">
        <v>-179.85</v>
      </c>
      <c r="C142" s="50">
        <v>-186.7</v>
      </c>
      <c r="D142" s="50">
        <v>-60.566000000000003</v>
      </c>
      <c r="E142" s="50">
        <v>-44.1265</v>
      </c>
      <c r="F142" s="50">
        <v>-6.2880000000000003</v>
      </c>
      <c r="G142" s="50">
        <v>-88.6</v>
      </c>
      <c r="H142" s="50">
        <v>61.18</v>
      </c>
      <c r="I142" s="50">
        <v>359.733</v>
      </c>
      <c r="J142" s="50">
        <v>527</v>
      </c>
      <c r="K142" s="33" t="s">
        <v>39</v>
      </c>
      <c r="L142" s="33" t="s">
        <v>39</v>
      </c>
      <c r="M142" s="33" t="s">
        <v>39</v>
      </c>
      <c r="N142" s="33" t="s">
        <v>39</v>
      </c>
      <c r="O142" s="33" t="s">
        <v>39</v>
      </c>
      <c r="P142" s="33" t="s">
        <v>39</v>
      </c>
      <c r="Q142" s="41"/>
      <c r="R142" s="41"/>
      <c r="S142" s="41"/>
      <c r="T142" s="41"/>
      <c r="U142" s="41"/>
      <c r="V142" s="41"/>
      <c r="W142" s="41"/>
      <c r="X142" s="41"/>
      <c r="Y142" s="41"/>
      <c r="Z142" s="41"/>
      <c r="AA142" s="41"/>
      <c r="AB142" s="41"/>
      <c r="AC142" s="41"/>
      <c r="AD142" s="41"/>
    </row>
    <row r="143" spans="1:30">
      <c r="A143" s="32" t="s">
        <v>548</v>
      </c>
      <c r="B143" s="50">
        <v>-70</v>
      </c>
      <c r="C143" s="50">
        <v>-182.797</v>
      </c>
      <c r="D143" s="50">
        <v>-52.08</v>
      </c>
      <c r="E143" s="50">
        <v>-14.147</v>
      </c>
      <c r="F143" s="50">
        <v>0.6</v>
      </c>
      <c r="G143" s="50">
        <v>16</v>
      </c>
      <c r="H143" s="50">
        <v>232</v>
      </c>
      <c r="I143" s="50">
        <v>670.6</v>
      </c>
      <c r="J143" s="50">
        <v>527</v>
      </c>
      <c r="K143" s="33" t="s">
        <v>39</v>
      </c>
      <c r="L143" s="33" t="s">
        <v>39</v>
      </c>
      <c r="M143" s="33" t="s">
        <v>39</v>
      </c>
      <c r="N143" s="33" t="s">
        <v>39</v>
      </c>
      <c r="O143" s="33" t="s">
        <v>39</v>
      </c>
      <c r="P143" s="33" t="s">
        <v>39</v>
      </c>
      <c r="Q143" s="41"/>
      <c r="R143" s="41"/>
      <c r="S143" s="41"/>
      <c r="T143" s="41"/>
      <c r="U143" s="41"/>
      <c r="V143" s="41"/>
      <c r="W143" s="41"/>
      <c r="X143" s="41"/>
      <c r="Y143" s="41"/>
      <c r="Z143" s="41"/>
      <c r="AA143" s="41"/>
      <c r="AB143" s="41"/>
      <c r="AC143" s="41"/>
      <c r="AD143" s="41"/>
    </row>
    <row r="144" spans="1:30">
      <c r="A144" s="32" t="s">
        <v>549</v>
      </c>
      <c r="B144" s="50">
        <v>-189.1</v>
      </c>
      <c r="C144" s="50">
        <v>-199</v>
      </c>
      <c r="D144" s="50">
        <v>-67.5</v>
      </c>
      <c r="E144" s="50">
        <v>-73</v>
      </c>
      <c r="F144" s="50">
        <v>-18.911000000000001</v>
      </c>
      <c r="G144" s="50">
        <v>-183.6</v>
      </c>
      <c r="H144" s="50">
        <v>-514.52700000000004</v>
      </c>
      <c r="I144" s="50">
        <v>-120.5</v>
      </c>
      <c r="J144" s="50">
        <v>527</v>
      </c>
      <c r="K144" s="33" t="s">
        <v>39</v>
      </c>
      <c r="L144" s="33" t="s">
        <v>39</v>
      </c>
      <c r="M144" s="33" t="s">
        <v>39</v>
      </c>
      <c r="N144" s="33" t="s">
        <v>39</v>
      </c>
      <c r="O144" s="33" t="s">
        <v>39</v>
      </c>
      <c r="P144" s="33" t="s">
        <v>39</v>
      </c>
      <c r="Q144" s="41"/>
      <c r="R144" s="41"/>
      <c r="S144" s="41"/>
      <c r="T144" s="41"/>
      <c r="U144" s="41"/>
      <c r="V144" s="41"/>
      <c r="W144" s="41"/>
      <c r="X144" s="41"/>
      <c r="Y144" s="41"/>
      <c r="Z144" s="41"/>
      <c r="AA144" s="41"/>
      <c r="AB144" s="41"/>
      <c r="AC144" s="41"/>
      <c r="AD144" s="41"/>
    </row>
    <row r="145" spans="1:30">
      <c r="A145" s="32" t="s">
        <v>550</v>
      </c>
      <c r="B145" s="45">
        <v>33.79034</v>
      </c>
      <c r="C145" s="45">
        <v>4.3001899999999997</v>
      </c>
      <c r="D145" s="45">
        <v>3.77441</v>
      </c>
      <c r="E145" s="45">
        <v>21.34132</v>
      </c>
      <c r="F145" s="45">
        <v>5.9884500000000003</v>
      </c>
      <c r="G145" s="45">
        <v>42.504570000000001</v>
      </c>
      <c r="H145" s="45">
        <v>181.50851</v>
      </c>
      <c r="I145" s="45">
        <v>192.34903</v>
      </c>
      <c r="J145" s="45">
        <v>0</v>
      </c>
      <c r="K145" s="33" t="s">
        <v>39</v>
      </c>
      <c r="L145" s="33" t="s">
        <v>39</v>
      </c>
      <c r="M145" s="33" t="s">
        <v>39</v>
      </c>
      <c r="N145" s="33" t="s">
        <v>39</v>
      </c>
      <c r="O145" s="33" t="s">
        <v>39</v>
      </c>
      <c r="P145" s="33" t="s">
        <v>39</v>
      </c>
      <c r="Q145" s="41"/>
      <c r="R145" s="41"/>
      <c r="S145" s="41"/>
      <c r="T145" s="41"/>
      <c r="U145" s="41"/>
      <c r="V145" s="41"/>
      <c r="W145" s="41"/>
      <c r="X145" s="41"/>
      <c r="Y145" s="41"/>
      <c r="Z145" s="41"/>
      <c r="AA145" s="41"/>
      <c r="AB145" s="41"/>
      <c r="AC145" s="41"/>
      <c r="AD145" s="41"/>
    </row>
    <row r="146" spans="1:30">
      <c r="A146" s="32" t="s">
        <v>551</v>
      </c>
      <c r="B146" s="33" t="s">
        <v>633</v>
      </c>
      <c r="C146" s="33" t="s">
        <v>634</v>
      </c>
      <c r="D146" s="33" t="s">
        <v>635</v>
      </c>
      <c r="E146" s="33" t="s">
        <v>636</v>
      </c>
      <c r="F146" s="33" t="s">
        <v>637</v>
      </c>
      <c r="G146" s="33" t="s">
        <v>638</v>
      </c>
      <c r="H146" s="33" t="s">
        <v>639</v>
      </c>
      <c r="I146" s="33" t="s">
        <v>640</v>
      </c>
      <c r="J146" s="33" t="s">
        <v>575</v>
      </c>
      <c r="K146" s="33" t="s">
        <v>39</v>
      </c>
      <c r="L146" s="33" t="s">
        <v>39</v>
      </c>
      <c r="M146" s="33" t="s">
        <v>39</v>
      </c>
      <c r="N146" s="33" t="s">
        <v>39</v>
      </c>
      <c r="O146" s="33" t="s">
        <v>39</v>
      </c>
      <c r="P146" s="33" t="s">
        <v>39</v>
      </c>
      <c r="Q146" s="41"/>
      <c r="R146" s="41"/>
      <c r="S146" s="41"/>
      <c r="T146" s="41"/>
      <c r="U146" s="41"/>
      <c r="V146" s="41"/>
      <c r="W146" s="41"/>
      <c r="X146" s="41"/>
      <c r="Y146" s="41"/>
      <c r="Z146" s="41"/>
      <c r="AA146" s="41"/>
      <c r="AB146" s="41"/>
      <c r="AC146" s="41"/>
      <c r="AD146" s="41"/>
    </row>
    <row r="147" spans="1:30">
      <c r="A147" s="32" t="s">
        <v>563</v>
      </c>
      <c r="B147" s="33" t="s">
        <v>564</v>
      </c>
      <c r="C147" s="33" t="s">
        <v>564</v>
      </c>
      <c r="D147" s="33" t="s">
        <v>564</v>
      </c>
      <c r="E147" s="33" t="s">
        <v>564</v>
      </c>
      <c r="F147" s="33" t="s">
        <v>564</v>
      </c>
      <c r="G147" s="33" t="s">
        <v>564</v>
      </c>
      <c r="H147" s="33" t="s">
        <v>564</v>
      </c>
      <c r="I147" s="33" t="s">
        <v>564</v>
      </c>
      <c r="J147" s="33" t="s">
        <v>564</v>
      </c>
      <c r="K147" s="33" t="s">
        <v>39</v>
      </c>
      <c r="L147" s="33" t="s">
        <v>39</v>
      </c>
      <c r="M147" s="33" t="s">
        <v>39</v>
      </c>
      <c r="N147" s="33" t="s">
        <v>39</v>
      </c>
      <c r="O147" s="33" t="s">
        <v>39</v>
      </c>
      <c r="P147" s="33" t="s">
        <v>39</v>
      </c>
      <c r="Q147" s="41"/>
      <c r="R147" s="41"/>
      <c r="S147" s="41"/>
      <c r="T147" s="41"/>
      <c r="U147" s="41"/>
      <c r="V147" s="41"/>
      <c r="W147" s="41"/>
      <c r="X147" s="41"/>
      <c r="Y147" s="41"/>
      <c r="Z147" s="41"/>
      <c r="AA147" s="41"/>
      <c r="AB147" s="41"/>
      <c r="AC147" s="41"/>
      <c r="AD147" s="41"/>
    </row>
    <row r="148" spans="1:30">
      <c r="A148" s="4" t="s">
        <v>641</v>
      </c>
      <c r="B148" s="49">
        <v>-179.81700000000001</v>
      </c>
      <c r="C148" s="49">
        <v>-171.59</v>
      </c>
      <c r="D148" s="49">
        <v>114.961</v>
      </c>
      <c r="E148" s="49">
        <v>224.36799999999999</v>
      </c>
      <c r="F148" s="49">
        <v>383.16399999999999</v>
      </c>
      <c r="G148" s="50">
        <v>384.85651999999999</v>
      </c>
      <c r="H148" s="50">
        <v>577.85311999999999</v>
      </c>
      <c r="I148" s="50">
        <v>960.77966000000004</v>
      </c>
      <c r="J148" s="50">
        <v>1310</v>
      </c>
      <c r="K148" s="33" t="s">
        <v>39</v>
      </c>
      <c r="L148" s="33" t="s">
        <v>39</v>
      </c>
      <c r="M148" s="33" t="s">
        <v>39</v>
      </c>
      <c r="N148" s="33" t="s">
        <v>39</v>
      </c>
      <c r="O148" s="33" t="s">
        <v>39</v>
      </c>
      <c r="P148" s="33" t="s">
        <v>39</v>
      </c>
      <c r="Q148" s="41"/>
      <c r="R148" s="41"/>
      <c r="S148" s="41"/>
      <c r="T148" s="41"/>
      <c r="U148" s="41"/>
      <c r="V148" s="41"/>
      <c r="W148" s="41"/>
      <c r="X148" s="41"/>
      <c r="Y148" s="41"/>
      <c r="Z148" s="41"/>
      <c r="AA148" s="41"/>
      <c r="AB148" s="41"/>
      <c r="AC148" s="41"/>
      <c r="AD148" s="41"/>
    </row>
    <row r="149" spans="1:30">
      <c r="A149" s="32" t="s">
        <v>546</v>
      </c>
      <c r="B149" s="50">
        <v>-178.57126</v>
      </c>
      <c r="C149" s="50">
        <v>-137.73436000000001</v>
      </c>
      <c r="D149" s="50">
        <v>110.04447</v>
      </c>
      <c r="E149" s="50">
        <v>223.83244999999999</v>
      </c>
      <c r="F149" s="50">
        <v>379.83629999999999</v>
      </c>
      <c r="G149" s="33" t="s">
        <v>39</v>
      </c>
      <c r="H149" s="33" t="s">
        <v>39</v>
      </c>
      <c r="I149" s="33" t="s">
        <v>39</v>
      </c>
      <c r="J149" s="33" t="s">
        <v>39</v>
      </c>
      <c r="K149" s="33" t="s">
        <v>39</v>
      </c>
      <c r="L149" s="33" t="s">
        <v>39</v>
      </c>
      <c r="M149" s="33" t="s">
        <v>39</v>
      </c>
      <c r="N149" s="33" t="s">
        <v>39</v>
      </c>
      <c r="O149" s="33" t="s">
        <v>39</v>
      </c>
      <c r="P149" s="33" t="s">
        <v>39</v>
      </c>
      <c r="Q149" s="41"/>
      <c r="R149" s="41"/>
      <c r="S149" s="41"/>
      <c r="T149" s="41"/>
      <c r="U149" s="41"/>
      <c r="V149" s="41"/>
      <c r="W149" s="41"/>
      <c r="X149" s="41"/>
      <c r="Y149" s="41"/>
      <c r="Z149" s="41"/>
      <c r="AA149" s="41"/>
      <c r="AB149" s="41"/>
      <c r="AC149" s="41"/>
      <c r="AD149" s="41"/>
    </row>
    <row r="150" spans="1:30">
      <c r="A150" s="32" t="s">
        <v>547</v>
      </c>
      <c r="B150" s="50">
        <v>-183</v>
      </c>
      <c r="C150" s="50">
        <v>-186.9</v>
      </c>
      <c r="D150" s="50">
        <v>110.05</v>
      </c>
      <c r="E150" s="50">
        <v>222.7</v>
      </c>
      <c r="F150" s="50">
        <v>380.54500000000002</v>
      </c>
      <c r="G150" s="50">
        <v>385.54500000000002</v>
      </c>
      <c r="H150" s="50">
        <v>624</v>
      </c>
      <c r="I150" s="50">
        <v>974.86400000000003</v>
      </c>
      <c r="J150" s="50">
        <v>1310</v>
      </c>
      <c r="K150" s="33" t="s">
        <v>39</v>
      </c>
      <c r="L150" s="33" t="s">
        <v>39</v>
      </c>
      <c r="M150" s="33" t="s">
        <v>39</v>
      </c>
      <c r="N150" s="33" t="s">
        <v>39</v>
      </c>
      <c r="O150" s="33" t="s">
        <v>39</v>
      </c>
      <c r="P150" s="33" t="s">
        <v>39</v>
      </c>
      <c r="Q150" s="41"/>
      <c r="R150" s="41"/>
      <c r="S150" s="41"/>
      <c r="T150" s="41"/>
      <c r="U150" s="41"/>
      <c r="V150" s="41"/>
      <c r="W150" s="41"/>
      <c r="X150" s="41"/>
      <c r="Y150" s="41"/>
      <c r="Z150" s="41"/>
      <c r="AA150" s="41"/>
      <c r="AB150" s="41"/>
      <c r="AC150" s="41"/>
      <c r="AD150" s="41"/>
    </row>
    <row r="151" spans="1:30">
      <c r="A151" s="32" t="s">
        <v>548</v>
      </c>
      <c r="B151" s="50">
        <v>-139.44200000000001</v>
      </c>
      <c r="C151" s="50">
        <v>6.6980000000000004</v>
      </c>
      <c r="D151" s="50">
        <v>116</v>
      </c>
      <c r="E151" s="50">
        <v>264.45100000000002</v>
      </c>
      <c r="F151" s="50">
        <v>390.16559000000001</v>
      </c>
      <c r="G151" s="50">
        <v>466.5</v>
      </c>
      <c r="H151" s="50">
        <v>785.69</v>
      </c>
      <c r="I151" s="50">
        <v>1225.5</v>
      </c>
      <c r="J151" s="50">
        <v>1506</v>
      </c>
      <c r="K151" s="33" t="s">
        <v>39</v>
      </c>
      <c r="L151" s="33" t="s">
        <v>39</v>
      </c>
      <c r="M151" s="33" t="s">
        <v>39</v>
      </c>
      <c r="N151" s="33" t="s">
        <v>39</v>
      </c>
      <c r="O151" s="33" t="s">
        <v>39</v>
      </c>
      <c r="P151" s="33" t="s">
        <v>39</v>
      </c>
      <c r="Q151" s="41"/>
      <c r="R151" s="41"/>
      <c r="S151" s="41"/>
      <c r="T151" s="41"/>
      <c r="U151" s="41"/>
      <c r="V151" s="41"/>
      <c r="W151" s="41"/>
      <c r="X151" s="41"/>
      <c r="Y151" s="41"/>
      <c r="Z151" s="41"/>
      <c r="AA151" s="41"/>
      <c r="AB151" s="41"/>
      <c r="AC151" s="41"/>
      <c r="AD151" s="41"/>
    </row>
    <row r="152" spans="1:30">
      <c r="A152" s="32" t="s">
        <v>549</v>
      </c>
      <c r="B152" s="50">
        <v>-190.90684999999999</v>
      </c>
      <c r="C152" s="50">
        <v>-200</v>
      </c>
      <c r="D152" s="50">
        <v>102.6</v>
      </c>
      <c r="E152" s="50">
        <v>195</v>
      </c>
      <c r="F152" s="50">
        <v>364.9</v>
      </c>
      <c r="G152" s="50">
        <v>323</v>
      </c>
      <c r="H152" s="50">
        <v>106.989</v>
      </c>
      <c r="I152" s="50">
        <v>563.98400000000004</v>
      </c>
      <c r="J152" s="50">
        <v>1114</v>
      </c>
      <c r="K152" s="33" t="s">
        <v>39</v>
      </c>
      <c r="L152" s="33" t="s">
        <v>39</v>
      </c>
      <c r="M152" s="33" t="s">
        <v>39</v>
      </c>
      <c r="N152" s="33" t="s">
        <v>39</v>
      </c>
      <c r="O152" s="33" t="s">
        <v>39</v>
      </c>
      <c r="P152" s="33" t="s">
        <v>39</v>
      </c>
      <c r="Q152" s="41"/>
      <c r="R152" s="41"/>
      <c r="S152" s="41"/>
      <c r="T152" s="41"/>
      <c r="U152" s="41"/>
      <c r="V152" s="41"/>
      <c r="W152" s="41"/>
      <c r="X152" s="41"/>
      <c r="Y152" s="41"/>
      <c r="Z152" s="41"/>
      <c r="AA152" s="41"/>
      <c r="AB152" s="41"/>
      <c r="AC152" s="41"/>
      <c r="AD152" s="41"/>
    </row>
    <row r="153" spans="1:30">
      <c r="A153" s="32" t="s">
        <v>550</v>
      </c>
      <c r="B153" s="45">
        <v>16.417169999999999</v>
      </c>
      <c r="C153" s="45">
        <v>83.432500000000005</v>
      </c>
      <c r="D153" s="45">
        <v>3.1306799999999999</v>
      </c>
      <c r="E153" s="45">
        <v>10.71381</v>
      </c>
      <c r="F153" s="45">
        <v>5.8488899999999999</v>
      </c>
      <c r="G153" s="45">
        <v>35.78172</v>
      </c>
      <c r="H153" s="45">
        <v>159.82387</v>
      </c>
      <c r="I153" s="45">
        <v>183.60515000000001</v>
      </c>
      <c r="J153" s="45">
        <v>196</v>
      </c>
      <c r="K153" s="33" t="s">
        <v>39</v>
      </c>
      <c r="L153" s="33" t="s">
        <v>39</v>
      </c>
      <c r="M153" s="33" t="s">
        <v>39</v>
      </c>
      <c r="N153" s="33" t="s">
        <v>39</v>
      </c>
      <c r="O153" s="33" t="s">
        <v>39</v>
      </c>
      <c r="P153" s="33" t="s">
        <v>39</v>
      </c>
      <c r="Q153" s="41"/>
      <c r="R153" s="41"/>
      <c r="S153" s="41"/>
      <c r="T153" s="41"/>
      <c r="U153" s="41"/>
      <c r="V153" s="41"/>
      <c r="W153" s="41"/>
      <c r="X153" s="41"/>
      <c r="Y153" s="41"/>
      <c r="Z153" s="41"/>
      <c r="AA153" s="41"/>
      <c r="AB153" s="41"/>
      <c r="AC153" s="41"/>
      <c r="AD153" s="41"/>
    </row>
    <row r="154" spans="1:30">
      <c r="A154" s="32" t="s">
        <v>551</v>
      </c>
      <c r="B154" s="33" t="s">
        <v>625</v>
      </c>
      <c r="C154" s="33" t="s">
        <v>642</v>
      </c>
      <c r="D154" s="33" t="s">
        <v>643</v>
      </c>
      <c r="E154" s="33" t="s">
        <v>644</v>
      </c>
      <c r="F154" s="33" t="s">
        <v>645</v>
      </c>
      <c r="G154" s="33" t="s">
        <v>646</v>
      </c>
      <c r="H154" s="33" t="s">
        <v>608</v>
      </c>
      <c r="I154" s="33" t="s">
        <v>647</v>
      </c>
      <c r="J154" s="33" t="s">
        <v>586</v>
      </c>
      <c r="K154" s="33" t="s">
        <v>39</v>
      </c>
      <c r="L154" s="33" t="s">
        <v>39</v>
      </c>
      <c r="M154" s="33" t="s">
        <v>39</v>
      </c>
      <c r="N154" s="33" t="s">
        <v>39</v>
      </c>
      <c r="O154" s="33" t="s">
        <v>39</v>
      </c>
      <c r="P154" s="33" t="s">
        <v>39</v>
      </c>
      <c r="Q154" s="41"/>
      <c r="R154" s="41"/>
      <c r="S154" s="41"/>
      <c r="T154" s="41"/>
      <c r="U154" s="41"/>
      <c r="V154" s="41"/>
      <c r="W154" s="41"/>
      <c r="X154" s="41"/>
      <c r="Y154" s="41"/>
      <c r="Z154" s="41"/>
      <c r="AA154" s="41"/>
      <c r="AB154" s="41"/>
      <c r="AC154" s="41"/>
      <c r="AD154" s="41"/>
    </row>
    <row r="155" spans="1:30">
      <c r="A155" s="32" t="s">
        <v>563</v>
      </c>
      <c r="B155" s="33" t="s">
        <v>564</v>
      </c>
      <c r="C155" s="33" t="s">
        <v>564</v>
      </c>
      <c r="D155" s="33" t="s">
        <v>564</v>
      </c>
      <c r="E155" s="33" t="s">
        <v>564</v>
      </c>
      <c r="F155" s="33" t="s">
        <v>564</v>
      </c>
      <c r="G155" s="33" t="s">
        <v>564</v>
      </c>
      <c r="H155" s="33" t="s">
        <v>564</v>
      </c>
      <c r="I155" s="33" t="s">
        <v>564</v>
      </c>
      <c r="J155" s="33" t="s">
        <v>564</v>
      </c>
      <c r="K155" s="33" t="s">
        <v>39</v>
      </c>
      <c r="L155" s="33" t="s">
        <v>39</v>
      </c>
      <c r="M155" s="33" t="s">
        <v>39</v>
      </c>
      <c r="N155" s="33" t="s">
        <v>39</v>
      </c>
      <c r="O155" s="33" t="s">
        <v>39</v>
      </c>
      <c r="P155" s="33" t="s">
        <v>39</v>
      </c>
      <c r="Q155" s="41"/>
      <c r="R155" s="41"/>
      <c r="S155" s="41"/>
      <c r="T155" s="41"/>
      <c r="U155" s="41"/>
      <c r="V155" s="41"/>
      <c r="W155" s="41"/>
      <c r="X155" s="41"/>
      <c r="Y155" s="41"/>
      <c r="Z155" s="41"/>
      <c r="AA155" s="41"/>
      <c r="AB155" s="41"/>
      <c r="AC155" s="41"/>
      <c r="AD155" s="41"/>
    </row>
    <row r="156" spans="1:30">
      <c r="A156" s="4" t="s">
        <v>648</v>
      </c>
      <c r="B156" s="49">
        <v>-212.017</v>
      </c>
      <c r="C156" s="49">
        <v>-171.59</v>
      </c>
      <c r="D156" s="49">
        <v>-62.813000000000002</v>
      </c>
      <c r="E156" s="49">
        <v>-38.453000000000003</v>
      </c>
      <c r="F156" s="49">
        <v>375.44600000000003</v>
      </c>
      <c r="G156" s="50">
        <v>-83.357150000000004</v>
      </c>
      <c r="H156" s="50">
        <v>40.28913</v>
      </c>
      <c r="I156" s="50">
        <v>313.81590999999997</v>
      </c>
      <c r="J156" s="50">
        <v>527</v>
      </c>
      <c r="K156" s="33" t="s">
        <v>39</v>
      </c>
      <c r="L156" s="33" t="s">
        <v>39</v>
      </c>
      <c r="M156" s="33" t="s">
        <v>39</v>
      </c>
      <c r="N156" s="33" t="s">
        <v>39</v>
      </c>
      <c r="O156" s="33" t="s">
        <v>39</v>
      </c>
      <c r="P156" s="33" t="s">
        <v>39</v>
      </c>
      <c r="Q156" s="41"/>
      <c r="R156" s="41"/>
      <c r="S156" s="41"/>
      <c r="T156" s="41"/>
      <c r="U156" s="41"/>
      <c r="V156" s="41"/>
      <c r="W156" s="41"/>
      <c r="X156" s="41"/>
      <c r="Y156" s="41"/>
      <c r="Z156" s="41"/>
      <c r="AA156" s="41"/>
      <c r="AB156" s="41"/>
      <c r="AC156" s="41"/>
      <c r="AD156" s="41"/>
    </row>
    <row r="157" spans="1:30">
      <c r="A157" s="32" t="s">
        <v>546</v>
      </c>
      <c r="B157" s="50">
        <v>-184.27297999999999</v>
      </c>
      <c r="C157" s="50">
        <v>-185.40559999999999</v>
      </c>
      <c r="D157" s="50">
        <v>-61.951970000000003</v>
      </c>
      <c r="E157" s="50">
        <v>-48.00074</v>
      </c>
      <c r="F157" s="50">
        <v>-11.51159</v>
      </c>
      <c r="G157" s="33" t="s">
        <v>39</v>
      </c>
      <c r="H157" s="33" t="s">
        <v>39</v>
      </c>
      <c r="I157" s="33" t="s">
        <v>39</v>
      </c>
      <c r="J157" s="33" t="s">
        <v>39</v>
      </c>
      <c r="K157" s="33" t="s">
        <v>39</v>
      </c>
      <c r="L157" s="33" t="s">
        <v>39</v>
      </c>
      <c r="M157" s="33" t="s">
        <v>39</v>
      </c>
      <c r="N157" s="33" t="s">
        <v>39</v>
      </c>
      <c r="O157" s="33" t="s">
        <v>39</v>
      </c>
      <c r="P157" s="33" t="s">
        <v>39</v>
      </c>
      <c r="Q157" s="41"/>
      <c r="R157" s="41"/>
      <c r="S157" s="41"/>
      <c r="T157" s="41"/>
      <c r="U157" s="41"/>
      <c r="V157" s="41"/>
      <c r="W157" s="41"/>
      <c r="X157" s="41"/>
      <c r="Y157" s="41"/>
      <c r="Z157" s="41"/>
      <c r="AA157" s="41"/>
      <c r="AB157" s="41"/>
      <c r="AC157" s="41"/>
      <c r="AD157" s="41"/>
    </row>
    <row r="158" spans="1:30">
      <c r="A158" s="32" t="s">
        <v>547</v>
      </c>
      <c r="B158" s="50">
        <v>-183</v>
      </c>
      <c r="C158" s="50">
        <v>-187.048</v>
      </c>
      <c r="D158" s="50">
        <v>-61.8</v>
      </c>
      <c r="E158" s="50">
        <v>-58.3</v>
      </c>
      <c r="F158" s="50">
        <v>-9.8000000000000007</v>
      </c>
      <c r="G158" s="50">
        <v>-88.18</v>
      </c>
      <c r="H158" s="50">
        <v>55.59</v>
      </c>
      <c r="I158" s="50">
        <v>339.61399999999998</v>
      </c>
      <c r="J158" s="50">
        <v>527</v>
      </c>
      <c r="K158" s="33" t="s">
        <v>39</v>
      </c>
      <c r="L158" s="33" t="s">
        <v>39</v>
      </c>
      <c r="M158" s="33" t="s">
        <v>39</v>
      </c>
      <c r="N158" s="33" t="s">
        <v>39</v>
      </c>
      <c r="O158" s="33" t="s">
        <v>39</v>
      </c>
      <c r="P158" s="33" t="s">
        <v>39</v>
      </c>
      <c r="Q158" s="41"/>
      <c r="R158" s="41"/>
      <c r="S158" s="41"/>
      <c r="T158" s="41"/>
      <c r="U158" s="41"/>
      <c r="V158" s="41"/>
      <c r="W158" s="41"/>
      <c r="X158" s="41"/>
      <c r="Y158" s="41"/>
      <c r="Z158" s="41"/>
      <c r="AA158" s="41"/>
      <c r="AB158" s="41"/>
      <c r="AC158" s="41"/>
      <c r="AD158" s="41"/>
    </row>
    <row r="159" spans="1:30">
      <c r="A159" s="32" t="s">
        <v>548</v>
      </c>
      <c r="B159" s="50">
        <v>-174.7</v>
      </c>
      <c r="C159" s="50">
        <v>-136.041</v>
      </c>
      <c r="D159" s="50">
        <v>-54.296999999999997</v>
      </c>
      <c r="E159" s="50">
        <v>-15.992000000000001</v>
      </c>
      <c r="F159" s="50">
        <v>-1.7</v>
      </c>
      <c r="G159" s="50">
        <v>105.42796</v>
      </c>
      <c r="H159" s="50">
        <v>785.68619000000001</v>
      </c>
      <c r="I159" s="50">
        <v>611</v>
      </c>
      <c r="J159" s="50">
        <v>527</v>
      </c>
      <c r="K159" s="33" t="s">
        <v>39</v>
      </c>
      <c r="L159" s="33" t="s">
        <v>39</v>
      </c>
      <c r="M159" s="33" t="s">
        <v>39</v>
      </c>
      <c r="N159" s="33" t="s">
        <v>39</v>
      </c>
      <c r="O159" s="33" t="s">
        <v>39</v>
      </c>
      <c r="P159" s="33" t="s">
        <v>39</v>
      </c>
      <c r="Q159" s="41"/>
      <c r="R159" s="41"/>
      <c r="S159" s="41"/>
      <c r="T159" s="41"/>
      <c r="U159" s="41"/>
      <c r="V159" s="41"/>
      <c r="W159" s="41"/>
      <c r="X159" s="41"/>
      <c r="Y159" s="41"/>
      <c r="Z159" s="41"/>
      <c r="AA159" s="41"/>
      <c r="AB159" s="41"/>
      <c r="AC159" s="41"/>
      <c r="AD159" s="41"/>
    </row>
    <row r="160" spans="1:30">
      <c r="A160" s="32" t="s">
        <v>549</v>
      </c>
      <c r="B160" s="50">
        <v>-191.6</v>
      </c>
      <c r="C160" s="50">
        <v>-200</v>
      </c>
      <c r="D160" s="50">
        <v>-67.900000000000006</v>
      </c>
      <c r="E160" s="50">
        <v>-76.513000000000005</v>
      </c>
      <c r="F160" s="50">
        <v>-27</v>
      </c>
      <c r="G160" s="50">
        <v>-182.1</v>
      </c>
      <c r="H160" s="50">
        <v>-514.52700000000004</v>
      </c>
      <c r="I160" s="50">
        <v>-120.5</v>
      </c>
      <c r="J160" s="50">
        <v>527</v>
      </c>
      <c r="K160" s="33" t="s">
        <v>39</v>
      </c>
      <c r="L160" s="33" t="s">
        <v>39</v>
      </c>
      <c r="M160" s="33" t="s">
        <v>39</v>
      </c>
      <c r="N160" s="33" t="s">
        <v>39</v>
      </c>
      <c r="O160" s="33" t="s">
        <v>39</v>
      </c>
      <c r="P160" s="33" t="s">
        <v>39</v>
      </c>
      <c r="Q160" s="41"/>
      <c r="R160" s="41"/>
      <c r="S160" s="41"/>
      <c r="T160" s="41"/>
      <c r="U160" s="41"/>
      <c r="V160" s="41"/>
      <c r="W160" s="41"/>
      <c r="X160" s="41"/>
      <c r="Y160" s="41"/>
      <c r="Z160" s="41"/>
      <c r="AA160" s="41"/>
      <c r="AB160" s="41"/>
      <c r="AC160" s="41"/>
      <c r="AD160" s="41"/>
    </row>
    <row r="161" spans="1:30">
      <c r="A161" s="32" t="s">
        <v>550</v>
      </c>
      <c r="B161" s="45">
        <v>5.3425599999999998</v>
      </c>
      <c r="C161" s="45">
        <v>11.80636</v>
      </c>
      <c r="D161" s="45">
        <v>3.3660600000000001</v>
      </c>
      <c r="E161" s="45">
        <v>22.682510000000001</v>
      </c>
      <c r="F161" s="45">
        <v>7.5213000000000001</v>
      </c>
      <c r="G161" s="45">
        <v>56.722560000000001</v>
      </c>
      <c r="H161" s="45">
        <v>233.11394999999999</v>
      </c>
      <c r="I161" s="45">
        <v>168.06502</v>
      </c>
      <c r="J161" s="45">
        <v>0</v>
      </c>
      <c r="K161" s="33" t="s">
        <v>39</v>
      </c>
      <c r="L161" s="33" t="s">
        <v>39</v>
      </c>
      <c r="M161" s="33" t="s">
        <v>39</v>
      </c>
      <c r="N161" s="33" t="s">
        <v>39</v>
      </c>
      <c r="O161" s="33" t="s">
        <v>39</v>
      </c>
      <c r="P161" s="33" t="s">
        <v>39</v>
      </c>
      <c r="Q161" s="41"/>
      <c r="R161" s="41"/>
      <c r="S161" s="41"/>
      <c r="T161" s="41"/>
      <c r="U161" s="41"/>
      <c r="V161" s="41"/>
      <c r="W161" s="41"/>
      <c r="X161" s="41"/>
      <c r="Y161" s="41"/>
      <c r="Z161" s="41"/>
      <c r="AA161" s="41"/>
      <c r="AB161" s="41"/>
      <c r="AC161" s="41"/>
      <c r="AD161" s="41"/>
    </row>
    <row r="162" spans="1:30">
      <c r="A162" s="32" t="s">
        <v>551</v>
      </c>
      <c r="B162" s="33" t="s">
        <v>649</v>
      </c>
      <c r="C162" s="33" t="s">
        <v>647</v>
      </c>
      <c r="D162" s="33" t="s">
        <v>635</v>
      </c>
      <c r="E162" s="33" t="s">
        <v>640</v>
      </c>
      <c r="F162" s="33" t="s">
        <v>650</v>
      </c>
      <c r="G162" s="33" t="s">
        <v>643</v>
      </c>
      <c r="H162" s="33" t="s">
        <v>651</v>
      </c>
      <c r="I162" s="33" t="s">
        <v>640</v>
      </c>
      <c r="J162" s="33" t="s">
        <v>575</v>
      </c>
      <c r="K162" s="33" t="s">
        <v>39</v>
      </c>
      <c r="L162" s="33" t="s">
        <v>39</v>
      </c>
      <c r="M162" s="33" t="s">
        <v>39</v>
      </c>
      <c r="N162" s="33" t="s">
        <v>39</v>
      </c>
      <c r="O162" s="33" t="s">
        <v>39</v>
      </c>
      <c r="P162" s="33" t="s">
        <v>39</v>
      </c>
      <c r="Q162" s="41"/>
      <c r="R162" s="41"/>
      <c r="S162" s="41"/>
      <c r="T162" s="41"/>
      <c r="U162" s="41"/>
      <c r="V162" s="41"/>
      <c r="W162" s="41"/>
      <c r="X162" s="41"/>
      <c r="Y162" s="41"/>
      <c r="Z162" s="41"/>
      <c r="AA162" s="41"/>
      <c r="AB162" s="41"/>
      <c r="AC162" s="41"/>
      <c r="AD162" s="41"/>
    </row>
    <row r="163" spans="1:30">
      <c r="A163" s="32" t="s">
        <v>563</v>
      </c>
      <c r="B163" s="33" t="s">
        <v>564</v>
      </c>
      <c r="C163" s="33" t="s">
        <v>564</v>
      </c>
      <c r="D163" s="33" t="s">
        <v>564</v>
      </c>
      <c r="E163" s="33" t="s">
        <v>564</v>
      </c>
      <c r="F163" s="33" t="s">
        <v>564</v>
      </c>
      <c r="G163" s="33" t="s">
        <v>564</v>
      </c>
      <c r="H163" s="33" t="s">
        <v>564</v>
      </c>
      <c r="I163" s="33" t="s">
        <v>564</v>
      </c>
      <c r="J163" s="33" t="s">
        <v>564</v>
      </c>
      <c r="K163" s="33" t="s">
        <v>39</v>
      </c>
      <c r="L163" s="33" t="s">
        <v>39</v>
      </c>
      <c r="M163" s="33" t="s">
        <v>39</v>
      </c>
      <c r="N163" s="33" t="s">
        <v>39</v>
      </c>
      <c r="O163" s="33" t="s">
        <v>39</v>
      </c>
      <c r="P163" s="33" t="s">
        <v>39</v>
      </c>
      <c r="Q163" s="41"/>
      <c r="R163" s="41"/>
      <c r="S163" s="41"/>
      <c r="T163" s="41"/>
      <c r="U163" s="41"/>
      <c r="V163" s="41"/>
      <c r="W163" s="41"/>
      <c r="X163" s="41"/>
      <c r="Y163" s="41"/>
      <c r="Z163" s="41"/>
      <c r="AA163" s="41"/>
      <c r="AB163" s="41"/>
      <c r="AC163" s="41"/>
      <c r="AD163" s="41"/>
    </row>
    <row r="164" spans="1:30">
      <c r="A164" s="4" t="s">
        <v>410</v>
      </c>
      <c r="B164" s="49">
        <v>-470.77499999999998</v>
      </c>
      <c r="C164" s="49">
        <v>-511.93099999999998</v>
      </c>
      <c r="D164" s="49">
        <v>-335.25200000000001</v>
      </c>
      <c r="E164" s="49">
        <v>-224.46899999999999</v>
      </c>
      <c r="F164" s="49">
        <v>-600.74199999999996</v>
      </c>
      <c r="G164" s="50">
        <v>-891.92586000000006</v>
      </c>
      <c r="H164" s="50">
        <v>-1342.75144</v>
      </c>
      <c r="I164" s="50">
        <v>-2292.9281999999998</v>
      </c>
      <c r="J164" s="50">
        <v>-4078.5</v>
      </c>
      <c r="K164" s="33" t="s">
        <v>39</v>
      </c>
      <c r="L164" s="33" t="s">
        <v>39</v>
      </c>
      <c r="M164" s="33" t="s">
        <v>39</v>
      </c>
      <c r="N164" s="33" t="s">
        <v>39</v>
      </c>
      <c r="O164" s="33" t="s">
        <v>39</v>
      </c>
      <c r="P164" s="33" t="s">
        <v>39</v>
      </c>
      <c r="Q164" s="41"/>
      <c r="R164" s="41"/>
      <c r="S164" s="41"/>
      <c r="T164" s="41"/>
      <c r="U164" s="41"/>
      <c r="V164" s="41"/>
      <c r="W164" s="41"/>
      <c r="X164" s="41"/>
      <c r="Y164" s="41"/>
      <c r="Z164" s="41"/>
      <c r="AA164" s="41"/>
      <c r="AB164" s="41"/>
      <c r="AC164" s="41"/>
      <c r="AD164" s="41"/>
    </row>
    <row r="165" spans="1:30">
      <c r="A165" s="32" t="s">
        <v>546</v>
      </c>
      <c r="B165" s="50">
        <v>-385.31063</v>
      </c>
      <c r="C165" s="50">
        <v>-444.72239999999999</v>
      </c>
      <c r="D165" s="50">
        <v>-201.1755</v>
      </c>
      <c r="E165" s="50">
        <v>-363.95370000000003</v>
      </c>
      <c r="F165" s="50">
        <v>-427.23759999999999</v>
      </c>
      <c r="G165" s="33" t="s">
        <v>39</v>
      </c>
      <c r="H165" s="33" t="s">
        <v>39</v>
      </c>
      <c r="I165" s="33" t="s">
        <v>39</v>
      </c>
      <c r="J165" s="33" t="s">
        <v>39</v>
      </c>
      <c r="K165" s="33" t="s">
        <v>39</v>
      </c>
      <c r="L165" s="33" t="s">
        <v>39</v>
      </c>
      <c r="M165" s="33" t="s">
        <v>39</v>
      </c>
      <c r="N165" s="33" t="s">
        <v>39</v>
      </c>
      <c r="O165" s="33" t="s">
        <v>39</v>
      </c>
      <c r="P165" s="33" t="s">
        <v>39</v>
      </c>
      <c r="Q165" s="41"/>
      <c r="R165" s="41"/>
      <c r="S165" s="41"/>
      <c r="T165" s="41"/>
      <c r="U165" s="41"/>
      <c r="V165" s="41"/>
      <c r="W165" s="41"/>
      <c r="X165" s="41"/>
      <c r="Y165" s="41"/>
      <c r="Z165" s="41"/>
      <c r="AA165" s="41"/>
      <c r="AB165" s="41"/>
      <c r="AC165" s="41"/>
      <c r="AD165" s="41"/>
    </row>
    <row r="166" spans="1:30">
      <c r="A166" s="32" t="s">
        <v>547</v>
      </c>
      <c r="B166" s="50">
        <v>-413.21800000000002</v>
      </c>
      <c r="C166" s="50">
        <v>-439.07810999999998</v>
      </c>
      <c r="D166" s="50">
        <v>-201.1755</v>
      </c>
      <c r="E166" s="50">
        <v>-363.95370000000003</v>
      </c>
      <c r="F166" s="50">
        <v>-439</v>
      </c>
      <c r="G166" s="50">
        <v>-1075.2870800000001</v>
      </c>
      <c r="H166" s="50">
        <v>-1593.2646199999999</v>
      </c>
      <c r="I166" s="50">
        <v>-2370.16102</v>
      </c>
      <c r="J166" s="50">
        <v>-4078.5</v>
      </c>
      <c r="K166" s="33" t="s">
        <v>39</v>
      </c>
      <c r="L166" s="33" t="s">
        <v>39</v>
      </c>
      <c r="M166" s="33" t="s">
        <v>39</v>
      </c>
      <c r="N166" s="33" t="s">
        <v>39</v>
      </c>
      <c r="O166" s="33" t="s">
        <v>39</v>
      </c>
      <c r="P166" s="33" t="s">
        <v>39</v>
      </c>
      <c r="Q166" s="41"/>
      <c r="R166" s="41"/>
      <c r="S166" s="41"/>
      <c r="T166" s="41"/>
      <c r="U166" s="41"/>
      <c r="V166" s="41"/>
      <c r="W166" s="41"/>
      <c r="X166" s="41"/>
      <c r="Y166" s="41"/>
      <c r="Z166" s="41"/>
      <c r="AA166" s="41"/>
      <c r="AB166" s="41"/>
      <c r="AC166" s="41"/>
      <c r="AD166" s="41"/>
    </row>
    <row r="167" spans="1:30">
      <c r="A167" s="32" t="s">
        <v>548</v>
      </c>
      <c r="B167" s="50">
        <v>-327.94501000000002</v>
      </c>
      <c r="C167" s="50">
        <v>-392.72699999999998</v>
      </c>
      <c r="D167" s="50">
        <v>-87</v>
      </c>
      <c r="E167" s="50">
        <v>-283.92122000000001</v>
      </c>
      <c r="F167" s="50">
        <v>-379.11599999999999</v>
      </c>
      <c r="G167" s="50">
        <v>142.58597</v>
      </c>
      <c r="H167" s="50">
        <v>-97.926410000000004</v>
      </c>
      <c r="I167" s="50">
        <v>-1100</v>
      </c>
      <c r="J167" s="50">
        <v>-3497</v>
      </c>
      <c r="K167" s="33" t="s">
        <v>39</v>
      </c>
      <c r="L167" s="33" t="s">
        <v>39</v>
      </c>
      <c r="M167" s="33" t="s">
        <v>39</v>
      </c>
      <c r="N167" s="33" t="s">
        <v>39</v>
      </c>
      <c r="O167" s="33" t="s">
        <v>39</v>
      </c>
      <c r="P167" s="33" t="s">
        <v>39</v>
      </c>
      <c r="Q167" s="41"/>
      <c r="R167" s="41"/>
      <c r="S167" s="41"/>
      <c r="T167" s="41"/>
      <c r="U167" s="41"/>
      <c r="V167" s="41"/>
      <c r="W167" s="41"/>
      <c r="X167" s="41"/>
      <c r="Y167" s="41"/>
      <c r="Z167" s="41"/>
      <c r="AA167" s="41"/>
      <c r="AB167" s="41"/>
      <c r="AC167" s="41"/>
      <c r="AD167" s="41"/>
    </row>
    <row r="168" spans="1:30">
      <c r="A168" s="32" t="s">
        <v>549</v>
      </c>
      <c r="B168" s="50">
        <v>-414.76889</v>
      </c>
      <c r="C168" s="50">
        <v>-513.48456999999996</v>
      </c>
      <c r="D168" s="50">
        <v>-315.351</v>
      </c>
      <c r="E168" s="50">
        <v>-443.98617000000002</v>
      </c>
      <c r="F168" s="50">
        <v>-463.59681</v>
      </c>
      <c r="G168" s="50">
        <v>-1268.567</v>
      </c>
      <c r="H168" s="50">
        <v>-2022</v>
      </c>
      <c r="I168" s="50">
        <v>-3237</v>
      </c>
      <c r="J168" s="50">
        <v>-4660</v>
      </c>
      <c r="K168" s="33" t="s">
        <v>39</v>
      </c>
      <c r="L168" s="33" t="s">
        <v>39</v>
      </c>
      <c r="M168" s="33" t="s">
        <v>39</v>
      </c>
      <c r="N168" s="33" t="s">
        <v>39</v>
      </c>
      <c r="O168" s="33" t="s">
        <v>39</v>
      </c>
      <c r="P168" s="33" t="s">
        <v>39</v>
      </c>
      <c r="Q168" s="41"/>
      <c r="R168" s="41"/>
      <c r="S168" s="41"/>
      <c r="T168" s="41"/>
      <c r="U168" s="41"/>
      <c r="V168" s="41"/>
      <c r="W168" s="41"/>
      <c r="X168" s="41"/>
      <c r="Y168" s="41"/>
      <c r="Z168" s="41"/>
      <c r="AA168" s="41"/>
      <c r="AB168" s="41"/>
      <c r="AC168" s="41"/>
      <c r="AD168" s="41"/>
    </row>
    <row r="169" spans="1:30">
      <c r="A169" s="32" t="s">
        <v>550</v>
      </c>
      <c r="B169" s="45">
        <v>40.568559999999998</v>
      </c>
      <c r="C169" s="45">
        <v>36.228639999999999</v>
      </c>
      <c r="D169" s="45">
        <v>114.1755</v>
      </c>
      <c r="E169" s="45">
        <v>80.032480000000007</v>
      </c>
      <c r="F169" s="45">
        <v>35.47786</v>
      </c>
      <c r="G169" s="45">
        <v>484.83850000000001</v>
      </c>
      <c r="H169" s="45">
        <v>656.82024000000001</v>
      </c>
      <c r="I169" s="45">
        <v>692.11776999999995</v>
      </c>
      <c r="J169" s="45">
        <v>581.5</v>
      </c>
      <c r="K169" s="33" t="s">
        <v>39</v>
      </c>
      <c r="L169" s="33" t="s">
        <v>39</v>
      </c>
      <c r="M169" s="33" t="s">
        <v>39</v>
      </c>
      <c r="N169" s="33" t="s">
        <v>39</v>
      </c>
      <c r="O169" s="33" t="s">
        <v>39</v>
      </c>
      <c r="P169" s="33" t="s">
        <v>39</v>
      </c>
      <c r="Q169" s="41"/>
      <c r="R169" s="41"/>
      <c r="S169" s="41"/>
      <c r="T169" s="41"/>
      <c r="U169" s="41"/>
      <c r="V169" s="41"/>
      <c r="W169" s="41"/>
      <c r="X169" s="41"/>
      <c r="Y169" s="41"/>
      <c r="Z169" s="41"/>
      <c r="AA169" s="41"/>
      <c r="AB169" s="41"/>
      <c r="AC169" s="41"/>
      <c r="AD169" s="41"/>
    </row>
    <row r="170" spans="1:30">
      <c r="A170" s="32" t="s">
        <v>551</v>
      </c>
      <c r="B170" s="33" t="s">
        <v>609</v>
      </c>
      <c r="C170" s="33" t="s">
        <v>580</v>
      </c>
      <c r="D170" s="33" t="s">
        <v>652</v>
      </c>
      <c r="E170" s="33" t="s">
        <v>591</v>
      </c>
      <c r="F170" s="33" t="s">
        <v>653</v>
      </c>
      <c r="G170" s="33" t="s">
        <v>566</v>
      </c>
      <c r="H170" s="33" t="s">
        <v>566</v>
      </c>
      <c r="I170" s="33" t="s">
        <v>654</v>
      </c>
      <c r="J170" s="33" t="s">
        <v>587</v>
      </c>
      <c r="K170" s="33" t="s">
        <v>39</v>
      </c>
      <c r="L170" s="33" t="s">
        <v>39</v>
      </c>
      <c r="M170" s="33" t="s">
        <v>39</v>
      </c>
      <c r="N170" s="33" t="s">
        <v>39</v>
      </c>
      <c r="O170" s="33" t="s">
        <v>39</v>
      </c>
      <c r="P170" s="33" t="s">
        <v>39</v>
      </c>
      <c r="Q170" s="41"/>
      <c r="R170" s="41"/>
      <c r="S170" s="41"/>
      <c r="T170" s="41"/>
      <c r="U170" s="41"/>
      <c r="V170" s="41"/>
      <c r="W170" s="41"/>
      <c r="X170" s="41"/>
      <c r="Y170" s="41"/>
      <c r="Z170" s="41"/>
      <c r="AA170" s="41"/>
      <c r="AB170" s="41"/>
      <c r="AC170" s="41"/>
      <c r="AD170" s="41"/>
    </row>
    <row r="171" spans="1:30">
      <c r="A171" s="32" t="s">
        <v>563</v>
      </c>
      <c r="B171" s="33" t="s">
        <v>564</v>
      </c>
      <c r="C171" s="33" t="s">
        <v>564</v>
      </c>
      <c r="D171" s="33" t="s">
        <v>564</v>
      </c>
      <c r="E171" s="33" t="s">
        <v>564</v>
      </c>
      <c r="F171" s="33" t="s">
        <v>564</v>
      </c>
      <c r="G171" s="33" t="s">
        <v>564</v>
      </c>
      <c r="H171" s="33" t="s">
        <v>564</v>
      </c>
      <c r="I171" s="33" t="s">
        <v>564</v>
      </c>
      <c r="J171" s="33" t="s">
        <v>564</v>
      </c>
      <c r="K171" s="33" t="s">
        <v>39</v>
      </c>
      <c r="L171" s="33" t="s">
        <v>39</v>
      </c>
      <c r="M171" s="33" t="s">
        <v>39</v>
      </c>
      <c r="N171" s="33" t="s">
        <v>39</v>
      </c>
      <c r="O171" s="33" t="s">
        <v>39</v>
      </c>
      <c r="P171" s="33" t="s">
        <v>39</v>
      </c>
      <c r="Q171" s="41"/>
      <c r="R171" s="41"/>
      <c r="S171" s="41"/>
      <c r="T171" s="41"/>
      <c r="U171" s="41"/>
      <c r="V171" s="41"/>
      <c r="W171" s="41"/>
      <c r="X171" s="41"/>
      <c r="Y171" s="41"/>
      <c r="Z171" s="41"/>
      <c r="AA171" s="41"/>
      <c r="AB171" s="41"/>
      <c r="AC171" s="41"/>
      <c r="AD171" s="41"/>
    </row>
    <row r="172" spans="1:30">
      <c r="A172" s="4" t="s">
        <v>655</v>
      </c>
      <c r="B172" s="33" t="s">
        <v>39</v>
      </c>
      <c r="C172" s="49">
        <v>499.68799999999999</v>
      </c>
      <c r="D172" s="33" t="s">
        <v>39</v>
      </c>
      <c r="E172" s="33" t="s">
        <v>39</v>
      </c>
      <c r="F172" s="33" t="s">
        <v>39</v>
      </c>
      <c r="G172" s="33" t="s">
        <v>39</v>
      </c>
      <c r="H172" s="33" t="s">
        <v>39</v>
      </c>
      <c r="I172" s="33" t="s">
        <v>39</v>
      </c>
      <c r="J172" s="33" t="s">
        <v>39</v>
      </c>
      <c r="K172" s="33" t="s">
        <v>39</v>
      </c>
      <c r="L172" s="33" t="s">
        <v>39</v>
      </c>
      <c r="M172" s="33" t="s">
        <v>39</v>
      </c>
      <c r="N172" s="33" t="s">
        <v>39</v>
      </c>
      <c r="O172" s="33" t="s">
        <v>39</v>
      </c>
      <c r="P172" s="33" t="s">
        <v>39</v>
      </c>
      <c r="Q172" s="41"/>
      <c r="R172" s="41"/>
      <c r="S172" s="41"/>
      <c r="T172" s="41"/>
      <c r="U172" s="41"/>
      <c r="V172" s="41"/>
      <c r="W172" s="41"/>
      <c r="X172" s="41"/>
      <c r="Y172" s="41"/>
      <c r="Z172" s="41"/>
      <c r="AA172" s="41"/>
      <c r="AB172" s="41"/>
      <c r="AC172" s="41"/>
      <c r="AD172" s="41"/>
    </row>
    <row r="173" spans="1:30">
      <c r="A173" s="32" t="s">
        <v>546</v>
      </c>
      <c r="B173" s="33" t="s">
        <v>39</v>
      </c>
      <c r="C173" s="50">
        <v>403.97430000000003</v>
      </c>
      <c r="D173" s="33" t="s">
        <v>39</v>
      </c>
      <c r="E173" s="33" t="s">
        <v>39</v>
      </c>
      <c r="F173" s="33" t="s">
        <v>39</v>
      </c>
      <c r="G173" s="33" t="s">
        <v>39</v>
      </c>
      <c r="H173" s="33" t="s">
        <v>39</v>
      </c>
      <c r="I173" s="33" t="s">
        <v>39</v>
      </c>
      <c r="J173" s="33" t="s">
        <v>39</v>
      </c>
      <c r="K173" s="33" t="s">
        <v>39</v>
      </c>
      <c r="L173" s="33" t="s">
        <v>39</v>
      </c>
      <c r="M173" s="33" t="s">
        <v>39</v>
      </c>
      <c r="N173" s="33" t="s">
        <v>39</v>
      </c>
      <c r="O173" s="33" t="s">
        <v>39</v>
      </c>
      <c r="P173" s="33" t="s">
        <v>39</v>
      </c>
      <c r="Q173" s="41"/>
      <c r="R173" s="41"/>
      <c r="S173" s="41"/>
      <c r="T173" s="41"/>
      <c r="U173" s="41"/>
      <c r="V173" s="41"/>
      <c r="W173" s="41"/>
      <c r="X173" s="41"/>
      <c r="Y173" s="41"/>
      <c r="Z173" s="41"/>
      <c r="AA173" s="41"/>
      <c r="AB173" s="41"/>
      <c r="AC173" s="41"/>
      <c r="AD173" s="41"/>
    </row>
    <row r="174" spans="1:30">
      <c r="A174" s="32" t="s">
        <v>547</v>
      </c>
      <c r="B174" s="33" t="s">
        <v>39</v>
      </c>
      <c r="C174" s="50">
        <v>403.97430000000003</v>
      </c>
      <c r="D174" s="33" t="s">
        <v>39</v>
      </c>
      <c r="E174" s="33" t="s">
        <v>39</v>
      </c>
      <c r="F174" s="33" t="s">
        <v>39</v>
      </c>
      <c r="G174" s="33" t="s">
        <v>39</v>
      </c>
      <c r="H174" s="33" t="s">
        <v>39</v>
      </c>
      <c r="I174" s="33" t="s">
        <v>39</v>
      </c>
      <c r="J174" s="33" t="s">
        <v>39</v>
      </c>
      <c r="K174" s="33" t="s">
        <v>39</v>
      </c>
      <c r="L174" s="33" t="s">
        <v>39</v>
      </c>
      <c r="M174" s="33" t="s">
        <v>39</v>
      </c>
      <c r="N174" s="33" t="s">
        <v>39</v>
      </c>
      <c r="O174" s="33" t="s">
        <v>39</v>
      </c>
      <c r="P174" s="33" t="s">
        <v>39</v>
      </c>
      <c r="Q174" s="41"/>
      <c r="R174" s="41"/>
      <c r="S174" s="41"/>
      <c r="T174" s="41"/>
      <c r="U174" s="41"/>
      <c r="V174" s="41"/>
      <c r="W174" s="41"/>
      <c r="X174" s="41"/>
      <c r="Y174" s="41"/>
      <c r="Z174" s="41"/>
      <c r="AA174" s="41"/>
      <c r="AB174" s="41"/>
      <c r="AC174" s="41"/>
      <c r="AD174" s="41"/>
    </row>
    <row r="175" spans="1:30">
      <c r="A175" s="32" t="s">
        <v>548</v>
      </c>
      <c r="B175" s="33" t="s">
        <v>39</v>
      </c>
      <c r="C175" s="50">
        <v>403.97430000000003</v>
      </c>
      <c r="D175" s="33" t="s">
        <v>39</v>
      </c>
      <c r="E175" s="33" t="s">
        <v>39</v>
      </c>
      <c r="F175" s="33" t="s">
        <v>39</v>
      </c>
      <c r="G175" s="33" t="s">
        <v>39</v>
      </c>
      <c r="H175" s="33" t="s">
        <v>39</v>
      </c>
      <c r="I175" s="33" t="s">
        <v>39</v>
      </c>
      <c r="J175" s="33" t="s">
        <v>39</v>
      </c>
      <c r="K175" s="33" t="s">
        <v>39</v>
      </c>
      <c r="L175" s="33" t="s">
        <v>39</v>
      </c>
      <c r="M175" s="33" t="s">
        <v>39</v>
      </c>
      <c r="N175" s="33" t="s">
        <v>39</v>
      </c>
      <c r="O175" s="33" t="s">
        <v>39</v>
      </c>
      <c r="P175" s="33" t="s">
        <v>39</v>
      </c>
      <c r="Q175" s="41"/>
      <c r="R175" s="41"/>
      <c r="S175" s="41"/>
      <c r="T175" s="41"/>
      <c r="U175" s="41"/>
      <c r="V175" s="41"/>
      <c r="W175" s="41"/>
      <c r="X175" s="41"/>
      <c r="Y175" s="41"/>
      <c r="Z175" s="41"/>
      <c r="AA175" s="41"/>
      <c r="AB175" s="41"/>
      <c r="AC175" s="41"/>
      <c r="AD175" s="41"/>
    </row>
    <row r="176" spans="1:30">
      <c r="A176" s="32" t="s">
        <v>549</v>
      </c>
      <c r="B176" s="33" t="s">
        <v>39</v>
      </c>
      <c r="C176" s="50">
        <v>403.97430000000003</v>
      </c>
      <c r="D176" s="33" t="s">
        <v>39</v>
      </c>
      <c r="E176" s="33" t="s">
        <v>39</v>
      </c>
      <c r="F176" s="33" t="s">
        <v>39</v>
      </c>
      <c r="G176" s="33" t="s">
        <v>39</v>
      </c>
      <c r="H176" s="33" t="s">
        <v>39</v>
      </c>
      <c r="I176" s="33" t="s">
        <v>39</v>
      </c>
      <c r="J176" s="33" t="s">
        <v>39</v>
      </c>
      <c r="K176" s="33" t="s">
        <v>39</v>
      </c>
      <c r="L176" s="33" t="s">
        <v>39</v>
      </c>
      <c r="M176" s="33" t="s">
        <v>39</v>
      </c>
      <c r="N176" s="33" t="s">
        <v>39</v>
      </c>
      <c r="O176" s="33" t="s">
        <v>39</v>
      </c>
      <c r="P176" s="33" t="s">
        <v>39</v>
      </c>
      <c r="Q176" s="41"/>
      <c r="R176" s="41"/>
      <c r="S176" s="41"/>
      <c r="T176" s="41"/>
      <c r="U176" s="41"/>
      <c r="V176" s="41"/>
      <c r="W176" s="41"/>
      <c r="X176" s="41"/>
      <c r="Y176" s="41"/>
      <c r="Z176" s="41"/>
      <c r="AA176" s="41"/>
      <c r="AB176" s="41"/>
      <c r="AC176" s="41"/>
      <c r="AD176" s="41"/>
    </row>
    <row r="177" spans="1:30">
      <c r="A177" s="32" t="s">
        <v>550</v>
      </c>
      <c r="B177" s="33" t="s">
        <v>39</v>
      </c>
      <c r="C177" s="45">
        <v>0</v>
      </c>
      <c r="D177" s="33" t="s">
        <v>39</v>
      </c>
      <c r="E177" s="33" t="s">
        <v>39</v>
      </c>
      <c r="F177" s="33" t="s">
        <v>39</v>
      </c>
      <c r="G177" s="33" t="s">
        <v>39</v>
      </c>
      <c r="H177" s="33" t="s">
        <v>39</v>
      </c>
      <c r="I177" s="33" t="s">
        <v>39</v>
      </c>
      <c r="J177" s="33" t="s">
        <v>39</v>
      </c>
      <c r="K177" s="33" t="s">
        <v>39</v>
      </c>
      <c r="L177" s="33" t="s">
        <v>39</v>
      </c>
      <c r="M177" s="33" t="s">
        <v>39</v>
      </c>
      <c r="N177" s="33" t="s">
        <v>39</v>
      </c>
      <c r="O177" s="33" t="s">
        <v>39</v>
      </c>
      <c r="P177" s="33" t="s">
        <v>39</v>
      </c>
      <c r="Q177" s="41"/>
      <c r="R177" s="41"/>
      <c r="S177" s="41"/>
      <c r="T177" s="41"/>
      <c r="U177" s="41"/>
      <c r="V177" s="41"/>
      <c r="W177" s="41"/>
      <c r="X177" s="41"/>
      <c r="Y177" s="41"/>
      <c r="Z177" s="41"/>
      <c r="AA177" s="41"/>
      <c r="AB177" s="41"/>
      <c r="AC177" s="41"/>
      <c r="AD177" s="41"/>
    </row>
    <row r="178" spans="1:30">
      <c r="A178" s="32" t="s">
        <v>551</v>
      </c>
      <c r="B178" s="33" t="s">
        <v>39</v>
      </c>
      <c r="C178" s="33" t="s">
        <v>575</v>
      </c>
      <c r="D178" s="33" t="s">
        <v>39</v>
      </c>
      <c r="E178" s="33" t="s">
        <v>39</v>
      </c>
      <c r="F178" s="33" t="s">
        <v>39</v>
      </c>
      <c r="G178" s="33" t="s">
        <v>39</v>
      </c>
      <c r="H178" s="33" t="s">
        <v>39</v>
      </c>
      <c r="I178" s="33" t="s">
        <v>39</v>
      </c>
      <c r="J178" s="33" t="s">
        <v>39</v>
      </c>
      <c r="K178" s="33" t="s">
        <v>39</v>
      </c>
      <c r="L178" s="33" t="s">
        <v>39</v>
      </c>
      <c r="M178" s="33" t="s">
        <v>39</v>
      </c>
      <c r="N178" s="33" t="s">
        <v>39</v>
      </c>
      <c r="O178" s="33" t="s">
        <v>39</v>
      </c>
      <c r="P178" s="33" t="s">
        <v>39</v>
      </c>
      <c r="Q178" s="41"/>
      <c r="R178" s="41"/>
      <c r="S178" s="41"/>
      <c r="T178" s="41"/>
      <c r="U178" s="41"/>
      <c r="V178" s="41"/>
      <c r="W178" s="41"/>
      <c r="X178" s="41"/>
      <c r="Y178" s="41"/>
      <c r="Z178" s="41"/>
      <c r="AA178" s="41"/>
      <c r="AB178" s="41"/>
      <c r="AC178" s="41"/>
      <c r="AD178" s="41"/>
    </row>
    <row r="179" spans="1:30">
      <c r="A179" s="32" t="s">
        <v>563</v>
      </c>
      <c r="B179" s="33" t="s">
        <v>39</v>
      </c>
      <c r="C179" s="33" t="s">
        <v>564</v>
      </c>
      <c r="D179" s="33" t="s">
        <v>39</v>
      </c>
      <c r="E179" s="33" t="s">
        <v>39</v>
      </c>
      <c r="F179" s="33" t="s">
        <v>39</v>
      </c>
      <c r="G179" s="33" t="s">
        <v>39</v>
      </c>
      <c r="H179" s="33" t="s">
        <v>39</v>
      </c>
      <c r="I179" s="33" t="s">
        <v>39</v>
      </c>
      <c r="J179" s="33" t="s">
        <v>39</v>
      </c>
      <c r="K179" s="33" t="s">
        <v>39</v>
      </c>
      <c r="L179" s="33" t="s">
        <v>39</v>
      </c>
      <c r="M179" s="33" t="s">
        <v>39</v>
      </c>
      <c r="N179" s="33" t="s">
        <v>39</v>
      </c>
      <c r="O179" s="33" t="s">
        <v>39</v>
      </c>
      <c r="P179" s="33" t="s">
        <v>39</v>
      </c>
      <c r="Q179" s="41"/>
      <c r="R179" s="41"/>
      <c r="S179" s="41"/>
      <c r="T179" s="41"/>
      <c r="U179" s="41"/>
      <c r="V179" s="41"/>
      <c r="W179" s="41"/>
      <c r="X179" s="41"/>
      <c r="Y179" s="41"/>
      <c r="Z179" s="41"/>
      <c r="AA179" s="41"/>
      <c r="AB179" s="41"/>
      <c r="AC179" s="41"/>
      <c r="AD179" s="41"/>
    </row>
    <row r="180" spans="1:30">
      <c r="A180" s="4" t="s">
        <v>656</v>
      </c>
      <c r="B180" s="49">
        <v>27.626000000000001</v>
      </c>
      <c r="C180" s="49">
        <v>37.744999999999997</v>
      </c>
      <c r="D180" s="49">
        <v>37.279000000000003</v>
      </c>
      <c r="E180" s="49">
        <v>60.960999999999999</v>
      </c>
      <c r="F180" s="49">
        <v>75.597999999999999</v>
      </c>
      <c r="G180" s="50">
        <v>81.278559999999999</v>
      </c>
      <c r="H180" s="50">
        <v>93.939310000000006</v>
      </c>
      <c r="I180" s="50">
        <v>102.32538</v>
      </c>
      <c r="J180" s="50">
        <v>155.05000000000001</v>
      </c>
      <c r="K180" s="33" t="s">
        <v>39</v>
      </c>
      <c r="L180" s="33" t="s">
        <v>39</v>
      </c>
      <c r="M180" s="33" t="s">
        <v>39</v>
      </c>
      <c r="N180" s="33" t="s">
        <v>39</v>
      </c>
      <c r="O180" s="33" t="s">
        <v>39</v>
      </c>
      <c r="P180" s="33" t="s">
        <v>39</v>
      </c>
      <c r="Q180" s="41"/>
      <c r="R180" s="41"/>
      <c r="S180" s="41"/>
      <c r="T180" s="41"/>
      <c r="U180" s="41"/>
      <c r="V180" s="41"/>
      <c r="W180" s="41"/>
      <c r="X180" s="41"/>
      <c r="Y180" s="41"/>
      <c r="Z180" s="41"/>
      <c r="AA180" s="41"/>
      <c r="AB180" s="41"/>
      <c r="AC180" s="41"/>
      <c r="AD180" s="41"/>
    </row>
    <row r="181" spans="1:30">
      <c r="A181" s="32" t="s">
        <v>546</v>
      </c>
      <c r="B181" s="50">
        <v>26.09712</v>
      </c>
      <c r="C181" s="50">
        <v>37.596710000000002</v>
      </c>
      <c r="D181" s="50">
        <v>36.673569999999998</v>
      </c>
      <c r="E181" s="50">
        <v>55.3202</v>
      </c>
      <c r="F181" s="50">
        <v>73.612359999999995</v>
      </c>
      <c r="G181" s="33" t="s">
        <v>39</v>
      </c>
      <c r="H181" s="33" t="s">
        <v>39</v>
      </c>
      <c r="I181" s="33" t="s">
        <v>39</v>
      </c>
      <c r="J181" s="33" t="s">
        <v>39</v>
      </c>
      <c r="K181" s="33" t="s">
        <v>39</v>
      </c>
      <c r="L181" s="33" t="s">
        <v>39</v>
      </c>
      <c r="M181" s="33" t="s">
        <v>39</v>
      </c>
      <c r="N181" s="33" t="s">
        <v>39</v>
      </c>
      <c r="O181" s="33" t="s">
        <v>39</v>
      </c>
      <c r="P181" s="33" t="s">
        <v>39</v>
      </c>
      <c r="Q181" s="41"/>
      <c r="R181" s="41"/>
      <c r="S181" s="41"/>
      <c r="T181" s="41"/>
      <c r="U181" s="41"/>
      <c r="V181" s="41"/>
      <c r="W181" s="41"/>
      <c r="X181" s="41"/>
      <c r="Y181" s="41"/>
      <c r="Z181" s="41"/>
      <c r="AA181" s="41"/>
      <c r="AB181" s="41"/>
      <c r="AC181" s="41"/>
      <c r="AD181" s="41"/>
    </row>
    <row r="182" spans="1:30">
      <c r="A182" s="32" t="s">
        <v>547</v>
      </c>
      <c r="B182" s="50">
        <v>26</v>
      </c>
      <c r="C182" s="50">
        <v>37.799999999999997</v>
      </c>
      <c r="D182" s="50">
        <v>37.200000000000003</v>
      </c>
      <c r="E182" s="50">
        <v>55</v>
      </c>
      <c r="F182" s="50">
        <v>76.001999999999995</v>
      </c>
      <c r="G182" s="50">
        <v>82.165999999999997</v>
      </c>
      <c r="H182" s="50">
        <v>90</v>
      </c>
      <c r="I182" s="50">
        <v>91</v>
      </c>
      <c r="J182" s="50">
        <v>155.05000000000001</v>
      </c>
      <c r="K182" s="33" t="s">
        <v>39</v>
      </c>
      <c r="L182" s="33" t="s">
        <v>39</v>
      </c>
      <c r="M182" s="33" t="s">
        <v>39</v>
      </c>
      <c r="N182" s="33" t="s">
        <v>39</v>
      </c>
      <c r="O182" s="33" t="s">
        <v>39</v>
      </c>
      <c r="P182" s="33" t="s">
        <v>39</v>
      </c>
      <c r="Q182" s="41"/>
      <c r="R182" s="41"/>
      <c r="S182" s="41"/>
      <c r="T182" s="41"/>
      <c r="U182" s="41"/>
      <c r="V182" s="41"/>
      <c r="W182" s="41"/>
      <c r="X182" s="41"/>
      <c r="Y182" s="41"/>
      <c r="Z182" s="41"/>
      <c r="AA182" s="41"/>
      <c r="AB182" s="41"/>
      <c r="AC182" s="41"/>
      <c r="AD182" s="41"/>
    </row>
    <row r="183" spans="1:30">
      <c r="A183" s="32" t="s">
        <v>548</v>
      </c>
      <c r="B183" s="50">
        <v>27.027000000000001</v>
      </c>
      <c r="C183" s="50">
        <v>39.799999999999997</v>
      </c>
      <c r="D183" s="50">
        <v>40.799999999999997</v>
      </c>
      <c r="E183" s="50">
        <v>72.900000000000006</v>
      </c>
      <c r="F183" s="50">
        <v>84.3</v>
      </c>
      <c r="G183" s="50">
        <v>96.3</v>
      </c>
      <c r="H183" s="50">
        <v>142.5</v>
      </c>
      <c r="I183" s="50">
        <v>157</v>
      </c>
      <c r="J183" s="50">
        <v>194</v>
      </c>
      <c r="K183" s="33" t="s">
        <v>39</v>
      </c>
      <c r="L183" s="33" t="s">
        <v>39</v>
      </c>
      <c r="M183" s="33" t="s">
        <v>39</v>
      </c>
      <c r="N183" s="33" t="s">
        <v>39</v>
      </c>
      <c r="O183" s="33" t="s">
        <v>39</v>
      </c>
      <c r="P183" s="33" t="s">
        <v>39</v>
      </c>
      <c r="Q183" s="41"/>
      <c r="R183" s="41"/>
      <c r="S183" s="41"/>
      <c r="T183" s="41"/>
      <c r="U183" s="41"/>
      <c r="V183" s="41"/>
      <c r="W183" s="41"/>
      <c r="X183" s="41"/>
      <c r="Y183" s="41"/>
      <c r="Z183" s="41"/>
      <c r="AA183" s="41"/>
      <c r="AB183" s="41"/>
      <c r="AC183" s="41"/>
      <c r="AD183" s="41"/>
    </row>
    <row r="184" spans="1:30">
      <c r="A184" s="32" t="s">
        <v>549</v>
      </c>
      <c r="B184" s="50">
        <v>25</v>
      </c>
      <c r="C184" s="50">
        <v>34.015000000000001</v>
      </c>
      <c r="D184" s="50">
        <v>29.2</v>
      </c>
      <c r="E184" s="50">
        <v>41.5</v>
      </c>
      <c r="F184" s="50">
        <v>55</v>
      </c>
      <c r="G184" s="50">
        <v>73</v>
      </c>
      <c r="H184" s="50">
        <v>76.5</v>
      </c>
      <c r="I184" s="50">
        <v>76.5</v>
      </c>
      <c r="J184" s="50">
        <v>116.1</v>
      </c>
      <c r="K184" s="33" t="s">
        <v>39</v>
      </c>
      <c r="L184" s="33" t="s">
        <v>39</v>
      </c>
      <c r="M184" s="33" t="s">
        <v>39</v>
      </c>
      <c r="N184" s="33" t="s">
        <v>39</v>
      </c>
      <c r="O184" s="33" t="s">
        <v>39</v>
      </c>
      <c r="P184" s="33" t="s">
        <v>39</v>
      </c>
      <c r="Q184" s="41"/>
      <c r="R184" s="41"/>
      <c r="S184" s="41"/>
      <c r="T184" s="41"/>
      <c r="U184" s="41"/>
      <c r="V184" s="41"/>
      <c r="W184" s="41"/>
      <c r="X184" s="41"/>
      <c r="Y184" s="41"/>
      <c r="Z184" s="41"/>
      <c r="AA184" s="41"/>
      <c r="AB184" s="41"/>
      <c r="AC184" s="41"/>
      <c r="AD184" s="41"/>
    </row>
    <row r="185" spans="1:30">
      <c r="A185" s="32" t="s">
        <v>550</v>
      </c>
      <c r="B185" s="45">
        <v>0.61661999999999995</v>
      </c>
      <c r="C185" s="45">
        <v>1.1501600000000001</v>
      </c>
      <c r="D185" s="45">
        <v>2.89377</v>
      </c>
      <c r="E185" s="45">
        <v>6.3750499999999999</v>
      </c>
      <c r="F185" s="45">
        <v>7.9658800000000003</v>
      </c>
      <c r="G185" s="45">
        <v>5.2220399999999998</v>
      </c>
      <c r="H185" s="45">
        <v>15.861319999999999</v>
      </c>
      <c r="I185" s="45">
        <v>23.400010000000002</v>
      </c>
      <c r="J185" s="45">
        <v>38.950000000000003</v>
      </c>
      <c r="K185" s="33" t="s">
        <v>39</v>
      </c>
      <c r="L185" s="33" t="s">
        <v>39</v>
      </c>
      <c r="M185" s="33" t="s">
        <v>39</v>
      </c>
      <c r="N185" s="33" t="s">
        <v>39</v>
      </c>
      <c r="O185" s="33" t="s">
        <v>39</v>
      </c>
      <c r="P185" s="33" t="s">
        <v>39</v>
      </c>
      <c r="Q185" s="41"/>
      <c r="R185" s="41"/>
      <c r="S185" s="41"/>
      <c r="T185" s="41"/>
      <c r="U185" s="41"/>
      <c r="V185" s="41"/>
      <c r="W185" s="41"/>
      <c r="X185" s="41"/>
      <c r="Y185" s="41"/>
      <c r="Z185" s="41"/>
      <c r="AA185" s="41"/>
      <c r="AB185" s="41"/>
      <c r="AC185" s="41"/>
      <c r="AD185" s="41"/>
    </row>
    <row r="186" spans="1:30">
      <c r="A186" s="32" t="s">
        <v>551</v>
      </c>
      <c r="B186" s="33" t="s">
        <v>582</v>
      </c>
      <c r="C186" s="33" t="s">
        <v>657</v>
      </c>
      <c r="D186" s="33" t="s">
        <v>568</v>
      </c>
      <c r="E186" s="33" t="s">
        <v>658</v>
      </c>
      <c r="F186" s="33" t="s">
        <v>659</v>
      </c>
      <c r="G186" s="33" t="s">
        <v>660</v>
      </c>
      <c r="H186" s="33" t="s">
        <v>660</v>
      </c>
      <c r="I186" s="33" t="s">
        <v>661</v>
      </c>
      <c r="J186" s="33" t="s">
        <v>591</v>
      </c>
      <c r="K186" s="33" t="s">
        <v>39</v>
      </c>
      <c r="L186" s="33" t="s">
        <v>39</v>
      </c>
      <c r="M186" s="33" t="s">
        <v>39</v>
      </c>
      <c r="N186" s="33" t="s">
        <v>39</v>
      </c>
      <c r="O186" s="33" t="s">
        <v>39</v>
      </c>
      <c r="P186" s="33" t="s">
        <v>39</v>
      </c>
      <c r="Q186" s="41"/>
      <c r="R186" s="41"/>
      <c r="S186" s="41"/>
      <c r="T186" s="41"/>
      <c r="U186" s="41"/>
      <c r="V186" s="41"/>
      <c r="W186" s="41"/>
      <c r="X186" s="41"/>
      <c r="Y186" s="41"/>
      <c r="Z186" s="41"/>
      <c r="AA186" s="41"/>
      <c r="AB186" s="41"/>
      <c r="AC186" s="41"/>
      <c r="AD186" s="41"/>
    </row>
    <row r="187" spans="1:30">
      <c r="A187" s="32" t="s">
        <v>563</v>
      </c>
      <c r="B187" s="33" t="s">
        <v>564</v>
      </c>
      <c r="C187" s="33" t="s">
        <v>564</v>
      </c>
      <c r="D187" s="33" t="s">
        <v>564</v>
      </c>
      <c r="E187" s="33" t="s">
        <v>564</v>
      </c>
      <c r="F187" s="33" t="s">
        <v>564</v>
      </c>
      <c r="G187" s="33" t="s">
        <v>564</v>
      </c>
      <c r="H187" s="33" t="s">
        <v>564</v>
      </c>
      <c r="I187" s="33" t="s">
        <v>564</v>
      </c>
      <c r="J187" s="33" t="s">
        <v>564</v>
      </c>
      <c r="K187" s="33" t="s">
        <v>39</v>
      </c>
      <c r="L187" s="33" t="s">
        <v>39</v>
      </c>
      <c r="M187" s="33" t="s">
        <v>39</v>
      </c>
      <c r="N187" s="33" t="s">
        <v>39</v>
      </c>
      <c r="O187" s="33" t="s">
        <v>39</v>
      </c>
      <c r="P187" s="33" t="s">
        <v>39</v>
      </c>
      <c r="Q187" s="41"/>
      <c r="R187" s="41"/>
      <c r="S187" s="41"/>
      <c r="T187" s="41"/>
      <c r="U187" s="41"/>
      <c r="V187" s="41"/>
      <c r="W187" s="41"/>
      <c r="X187" s="41"/>
      <c r="Y187" s="41"/>
      <c r="Z187" s="41"/>
      <c r="AA187" s="41"/>
      <c r="AB187" s="41"/>
      <c r="AC187" s="41"/>
      <c r="AD187" s="41"/>
    </row>
    <row r="188" spans="1:30">
      <c r="A188" s="4" t="s">
        <v>662</v>
      </c>
      <c r="B188" s="49">
        <v>27.584</v>
      </c>
      <c r="C188" s="49">
        <v>23.131</v>
      </c>
      <c r="D188" s="49">
        <v>127.711</v>
      </c>
      <c r="E188" s="49">
        <v>295.08</v>
      </c>
      <c r="F188" s="49">
        <v>465.69900000000001</v>
      </c>
      <c r="G188" s="50">
        <v>414.87610999999998</v>
      </c>
      <c r="H188" s="50">
        <v>656.47421999999995</v>
      </c>
      <c r="I188" s="50">
        <v>985.73685999999998</v>
      </c>
      <c r="J188" s="50">
        <v>1428</v>
      </c>
      <c r="K188" s="33" t="s">
        <v>39</v>
      </c>
      <c r="L188" s="33" t="s">
        <v>39</v>
      </c>
      <c r="M188" s="33" t="s">
        <v>39</v>
      </c>
      <c r="N188" s="33" t="s">
        <v>39</v>
      </c>
      <c r="O188" s="33" t="s">
        <v>39</v>
      </c>
      <c r="P188" s="33" t="s">
        <v>39</v>
      </c>
      <c r="Q188" s="41"/>
      <c r="R188" s="41"/>
      <c r="S188" s="41"/>
      <c r="T188" s="41"/>
      <c r="U188" s="41"/>
      <c r="V188" s="41"/>
      <c r="W188" s="41"/>
      <c r="X188" s="41"/>
      <c r="Y188" s="41"/>
      <c r="Z188" s="41"/>
      <c r="AA188" s="41"/>
      <c r="AB188" s="41"/>
      <c r="AC188" s="41"/>
      <c r="AD188" s="41"/>
    </row>
    <row r="189" spans="1:30">
      <c r="A189" s="32" t="s">
        <v>546</v>
      </c>
      <c r="B189" s="50">
        <v>-56.847000000000001</v>
      </c>
      <c r="C189" s="50">
        <v>70.655199999999994</v>
      </c>
      <c r="D189" s="50">
        <v>184.66069999999999</v>
      </c>
      <c r="E189" s="50">
        <v>176.13239999999999</v>
      </c>
      <c r="F189" s="50">
        <v>517.53216999999995</v>
      </c>
      <c r="G189" s="33" t="s">
        <v>39</v>
      </c>
      <c r="H189" s="33" t="s">
        <v>39</v>
      </c>
      <c r="I189" s="33" t="s">
        <v>39</v>
      </c>
      <c r="J189" s="33" t="s">
        <v>39</v>
      </c>
      <c r="K189" s="33" t="s">
        <v>39</v>
      </c>
      <c r="L189" s="33" t="s">
        <v>39</v>
      </c>
      <c r="M189" s="33" t="s">
        <v>39</v>
      </c>
      <c r="N189" s="33" t="s">
        <v>39</v>
      </c>
      <c r="O189" s="33" t="s">
        <v>39</v>
      </c>
      <c r="P189" s="33" t="s">
        <v>39</v>
      </c>
      <c r="Q189" s="41"/>
      <c r="R189" s="41"/>
      <c r="S189" s="41"/>
      <c r="T189" s="41"/>
      <c r="U189" s="41"/>
      <c r="V189" s="41"/>
      <c r="W189" s="41"/>
      <c r="X189" s="41"/>
      <c r="Y189" s="41"/>
      <c r="Z189" s="41"/>
      <c r="AA189" s="41"/>
      <c r="AB189" s="41"/>
      <c r="AC189" s="41"/>
      <c r="AD189" s="41"/>
    </row>
    <row r="190" spans="1:30">
      <c r="A190" s="32" t="s">
        <v>547</v>
      </c>
      <c r="B190" s="50">
        <v>-68.5</v>
      </c>
      <c r="C190" s="50">
        <v>73.650000000000006</v>
      </c>
      <c r="D190" s="50">
        <v>178.45</v>
      </c>
      <c r="E190" s="50">
        <v>153</v>
      </c>
      <c r="F190" s="50">
        <v>569.62249999999995</v>
      </c>
      <c r="G190" s="50">
        <v>436.64699999999999</v>
      </c>
      <c r="H190" s="50">
        <v>758</v>
      </c>
      <c r="I190" s="50">
        <v>854.51599999999996</v>
      </c>
      <c r="J190" s="50">
        <v>1428</v>
      </c>
      <c r="K190" s="33" t="s">
        <v>39</v>
      </c>
      <c r="L190" s="33" t="s">
        <v>39</v>
      </c>
      <c r="M190" s="33" t="s">
        <v>39</v>
      </c>
      <c r="N190" s="33" t="s">
        <v>39</v>
      </c>
      <c r="O190" s="33" t="s">
        <v>39</v>
      </c>
      <c r="P190" s="33" t="s">
        <v>39</v>
      </c>
      <c r="Q190" s="41"/>
      <c r="R190" s="41"/>
      <c r="S190" s="41"/>
      <c r="T190" s="41"/>
      <c r="U190" s="41"/>
      <c r="V190" s="41"/>
      <c r="W190" s="41"/>
      <c r="X190" s="41"/>
      <c r="Y190" s="41"/>
      <c r="Z190" s="41"/>
      <c r="AA190" s="41"/>
      <c r="AB190" s="41"/>
      <c r="AC190" s="41"/>
      <c r="AD190" s="41"/>
    </row>
    <row r="191" spans="1:30">
      <c r="A191" s="32" t="s">
        <v>548</v>
      </c>
      <c r="B191" s="50">
        <v>-19</v>
      </c>
      <c r="C191" s="50">
        <v>142.69999999999999</v>
      </c>
      <c r="D191" s="50">
        <v>302</v>
      </c>
      <c r="E191" s="50">
        <v>251.7</v>
      </c>
      <c r="F191" s="50">
        <v>704</v>
      </c>
      <c r="G191" s="50">
        <v>1075</v>
      </c>
      <c r="H191" s="50">
        <v>1145.5999999999999</v>
      </c>
      <c r="I191" s="50">
        <v>1332.9</v>
      </c>
      <c r="J191" s="50">
        <v>1428</v>
      </c>
      <c r="K191" s="33" t="s">
        <v>39</v>
      </c>
      <c r="L191" s="33" t="s">
        <v>39</v>
      </c>
      <c r="M191" s="33" t="s">
        <v>39</v>
      </c>
      <c r="N191" s="33" t="s">
        <v>39</v>
      </c>
      <c r="O191" s="33" t="s">
        <v>39</v>
      </c>
      <c r="P191" s="33" t="s">
        <v>39</v>
      </c>
      <c r="Q191" s="41"/>
      <c r="R191" s="41"/>
      <c r="S191" s="41"/>
      <c r="T191" s="41"/>
      <c r="U191" s="41"/>
      <c r="V191" s="41"/>
      <c r="W191" s="41"/>
      <c r="X191" s="41"/>
      <c r="Y191" s="41"/>
      <c r="Z191" s="41"/>
      <c r="AA191" s="41"/>
      <c r="AB191" s="41"/>
      <c r="AC191" s="41"/>
      <c r="AD191" s="41"/>
    </row>
    <row r="192" spans="1:30">
      <c r="A192" s="32" t="s">
        <v>549</v>
      </c>
      <c r="B192" s="50">
        <v>-71.388000000000005</v>
      </c>
      <c r="C192" s="50">
        <v>15</v>
      </c>
      <c r="D192" s="50">
        <v>109</v>
      </c>
      <c r="E192" s="50">
        <v>139</v>
      </c>
      <c r="F192" s="50">
        <v>227.94800000000001</v>
      </c>
      <c r="G192" s="50">
        <v>-307.74099999999999</v>
      </c>
      <c r="H192" s="50">
        <v>-552.30899999999997</v>
      </c>
      <c r="I192" s="50">
        <v>755.43499999999995</v>
      </c>
      <c r="J192" s="50">
        <v>1428</v>
      </c>
      <c r="K192" s="33" t="s">
        <v>39</v>
      </c>
      <c r="L192" s="33" t="s">
        <v>39</v>
      </c>
      <c r="M192" s="33" t="s">
        <v>39</v>
      </c>
      <c r="N192" s="33" t="s">
        <v>39</v>
      </c>
      <c r="O192" s="33" t="s">
        <v>39</v>
      </c>
      <c r="P192" s="33" t="s">
        <v>39</v>
      </c>
      <c r="Q192" s="41"/>
      <c r="R192" s="41"/>
      <c r="S192" s="41"/>
      <c r="T192" s="41"/>
      <c r="U192" s="41"/>
      <c r="V192" s="41"/>
      <c r="W192" s="41"/>
      <c r="X192" s="41"/>
      <c r="Y192" s="41"/>
      <c r="Z192" s="41"/>
      <c r="AA192" s="41"/>
      <c r="AB192" s="41"/>
      <c r="AC192" s="41"/>
      <c r="AD192" s="41"/>
    </row>
    <row r="193" spans="1:30">
      <c r="A193" s="32" t="s">
        <v>550</v>
      </c>
      <c r="B193" s="45">
        <v>21.954049999999999</v>
      </c>
      <c r="C193" s="45">
        <v>36.796999999999997</v>
      </c>
      <c r="D193" s="45">
        <v>52.102600000000002</v>
      </c>
      <c r="E193" s="45">
        <v>40.554040000000001</v>
      </c>
      <c r="F193" s="45">
        <v>151.56773000000001</v>
      </c>
      <c r="G193" s="45">
        <v>382.43232999999998</v>
      </c>
      <c r="H193" s="45">
        <v>453.05011999999999</v>
      </c>
      <c r="I193" s="45">
        <v>206.94324</v>
      </c>
      <c r="J193" s="45">
        <v>0</v>
      </c>
      <c r="K193" s="33" t="s">
        <v>39</v>
      </c>
      <c r="L193" s="33" t="s">
        <v>39</v>
      </c>
      <c r="M193" s="33" t="s">
        <v>39</v>
      </c>
      <c r="N193" s="33" t="s">
        <v>39</v>
      </c>
      <c r="O193" s="33" t="s">
        <v>39</v>
      </c>
      <c r="P193" s="33" t="s">
        <v>39</v>
      </c>
      <c r="Q193" s="41"/>
      <c r="R193" s="41"/>
      <c r="S193" s="41"/>
      <c r="T193" s="41"/>
      <c r="U193" s="41"/>
      <c r="V193" s="41"/>
      <c r="W193" s="41"/>
      <c r="X193" s="41"/>
      <c r="Y193" s="41"/>
      <c r="Z193" s="41"/>
      <c r="AA193" s="41"/>
      <c r="AB193" s="41"/>
      <c r="AC193" s="41"/>
      <c r="AD193" s="41"/>
    </row>
    <row r="194" spans="1:30">
      <c r="A194" s="32" t="s">
        <v>551</v>
      </c>
      <c r="B194" s="33" t="s">
        <v>588</v>
      </c>
      <c r="C194" s="33" t="s">
        <v>601</v>
      </c>
      <c r="D194" s="33" t="s">
        <v>601</v>
      </c>
      <c r="E194" s="33" t="s">
        <v>583</v>
      </c>
      <c r="F194" s="33" t="s">
        <v>566</v>
      </c>
      <c r="G194" s="33" t="s">
        <v>649</v>
      </c>
      <c r="H194" s="33" t="s">
        <v>618</v>
      </c>
      <c r="I194" s="33" t="s">
        <v>580</v>
      </c>
      <c r="J194" s="33" t="s">
        <v>575</v>
      </c>
      <c r="K194" s="33" t="s">
        <v>39</v>
      </c>
      <c r="L194" s="33" t="s">
        <v>39</v>
      </c>
      <c r="M194" s="33" t="s">
        <v>39</v>
      </c>
      <c r="N194" s="33" t="s">
        <v>39</v>
      </c>
      <c r="O194" s="33" t="s">
        <v>39</v>
      </c>
      <c r="P194" s="33" t="s">
        <v>39</v>
      </c>
      <c r="Q194" s="41"/>
      <c r="R194" s="41"/>
      <c r="S194" s="41"/>
      <c r="T194" s="41"/>
      <c r="U194" s="41"/>
      <c r="V194" s="41"/>
      <c r="W194" s="41"/>
      <c r="X194" s="41"/>
      <c r="Y194" s="41"/>
      <c r="Z194" s="41"/>
      <c r="AA194" s="41"/>
      <c r="AB194" s="41"/>
      <c r="AC194" s="41"/>
      <c r="AD194" s="41"/>
    </row>
    <row r="195" spans="1:30">
      <c r="A195" s="32" t="s">
        <v>563</v>
      </c>
      <c r="B195" s="33" t="s">
        <v>564</v>
      </c>
      <c r="C195" s="33" t="s">
        <v>564</v>
      </c>
      <c r="D195" s="33" t="s">
        <v>564</v>
      </c>
      <c r="E195" s="33" t="s">
        <v>564</v>
      </c>
      <c r="F195" s="33" t="s">
        <v>564</v>
      </c>
      <c r="G195" s="33" t="s">
        <v>564</v>
      </c>
      <c r="H195" s="33" t="s">
        <v>564</v>
      </c>
      <c r="I195" s="33" t="s">
        <v>564</v>
      </c>
      <c r="J195" s="33" t="s">
        <v>564</v>
      </c>
      <c r="K195" s="33" t="s">
        <v>39</v>
      </c>
      <c r="L195" s="33" t="s">
        <v>39</v>
      </c>
      <c r="M195" s="33" t="s">
        <v>39</v>
      </c>
      <c r="N195" s="33" t="s">
        <v>39</v>
      </c>
      <c r="O195" s="33" t="s">
        <v>39</v>
      </c>
      <c r="P195" s="33" t="s">
        <v>39</v>
      </c>
      <c r="Q195" s="41"/>
      <c r="R195" s="41"/>
      <c r="S195" s="41"/>
      <c r="T195" s="41"/>
      <c r="U195" s="41"/>
      <c r="V195" s="41"/>
      <c r="W195" s="41"/>
      <c r="X195" s="41"/>
      <c r="Y195" s="41"/>
      <c r="Z195" s="41"/>
      <c r="AA195" s="41"/>
      <c r="AB195" s="41"/>
      <c r="AC195" s="41"/>
      <c r="AD195" s="41"/>
    </row>
    <row r="196" spans="1:30">
      <c r="A196" s="4" t="s">
        <v>436</v>
      </c>
      <c r="B196" s="49">
        <v>-37.432000000000002</v>
      </c>
      <c r="C196" s="49">
        <v>-25.433</v>
      </c>
      <c r="D196" s="49">
        <v>-26.097000000000001</v>
      </c>
      <c r="E196" s="49">
        <v>-61.203000000000003</v>
      </c>
      <c r="F196" s="49">
        <v>-62.497999999999998</v>
      </c>
      <c r="G196" s="50">
        <v>-97.618899999999996</v>
      </c>
      <c r="H196" s="50">
        <v>-125.23193999999999</v>
      </c>
      <c r="I196" s="50">
        <v>-158.72362000000001</v>
      </c>
      <c r="J196" s="50">
        <v>-234</v>
      </c>
      <c r="K196" s="33" t="s">
        <v>39</v>
      </c>
      <c r="L196" s="33" t="s">
        <v>39</v>
      </c>
      <c r="M196" s="33" t="s">
        <v>39</v>
      </c>
      <c r="N196" s="33" t="s">
        <v>39</v>
      </c>
      <c r="O196" s="33" t="s">
        <v>39</v>
      </c>
      <c r="P196" s="33" t="s">
        <v>39</v>
      </c>
      <c r="Q196" s="41"/>
      <c r="R196" s="41"/>
      <c r="S196" s="41"/>
      <c r="T196" s="41"/>
      <c r="U196" s="41"/>
      <c r="V196" s="41"/>
      <c r="W196" s="41"/>
      <c r="X196" s="41"/>
      <c r="Y196" s="41"/>
      <c r="Z196" s="41"/>
      <c r="AA196" s="41"/>
      <c r="AB196" s="41"/>
      <c r="AC196" s="41"/>
      <c r="AD196" s="41"/>
    </row>
    <row r="197" spans="1:30">
      <c r="A197" s="32" t="s">
        <v>546</v>
      </c>
      <c r="B197" s="50">
        <v>-39.013680000000001</v>
      </c>
      <c r="C197" s="50">
        <v>-30.158639999999998</v>
      </c>
      <c r="D197" s="50">
        <v>-29.87763</v>
      </c>
      <c r="E197" s="50">
        <v>-54.307479999999998</v>
      </c>
      <c r="F197" s="50">
        <v>-69.883629999999997</v>
      </c>
      <c r="G197" s="33" t="s">
        <v>39</v>
      </c>
      <c r="H197" s="33" t="s">
        <v>39</v>
      </c>
      <c r="I197" s="33" t="s">
        <v>39</v>
      </c>
      <c r="J197" s="33" t="s">
        <v>39</v>
      </c>
      <c r="K197" s="33" t="s">
        <v>39</v>
      </c>
      <c r="L197" s="33" t="s">
        <v>39</v>
      </c>
      <c r="M197" s="33" t="s">
        <v>39</v>
      </c>
      <c r="N197" s="33" t="s">
        <v>39</v>
      </c>
      <c r="O197" s="33" t="s">
        <v>39</v>
      </c>
      <c r="P197" s="33" t="s">
        <v>39</v>
      </c>
      <c r="Q197" s="41"/>
      <c r="R197" s="41"/>
      <c r="S197" s="41"/>
      <c r="T197" s="41"/>
      <c r="U197" s="41"/>
      <c r="V197" s="41"/>
      <c r="W197" s="41"/>
      <c r="X197" s="41"/>
      <c r="Y197" s="41"/>
      <c r="Z197" s="41"/>
      <c r="AA197" s="41"/>
      <c r="AB197" s="41"/>
      <c r="AC197" s="41"/>
      <c r="AD197" s="41"/>
    </row>
    <row r="198" spans="1:30">
      <c r="A198" s="32" t="s">
        <v>547</v>
      </c>
      <c r="B198" s="50">
        <v>-39.406219999999998</v>
      </c>
      <c r="C198" s="50">
        <v>-28</v>
      </c>
      <c r="D198" s="50">
        <v>-30.790980000000001</v>
      </c>
      <c r="E198" s="50">
        <v>-51.7</v>
      </c>
      <c r="F198" s="50">
        <v>-71.575000000000003</v>
      </c>
      <c r="G198" s="50">
        <v>-97</v>
      </c>
      <c r="H198" s="50">
        <v>-130.05554000000001</v>
      </c>
      <c r="I198" s="50">
        <v>-163.09577999999999</v>
      </c>
      <c r="J198" s="50">
        <v>-234</v>
      </c>
      <c r="K198" s="33" t="s">
        <v>39</v>
      </c>
      <c r="L198" s="33" t="s">
        <v>39</v>
      </c>
      <c r="M198" s="33" t="s">
        <v>39</v>
      </c>
      <c r="N198" s="33" t="s">
        <v>39</v>
      </c>
      <c r="O198" s="33" t="s">
        <v>39</v>
      </c>
      <c r="P198" s="33" t="s">
        <v>39</v>
      </c>
      <c r="Q198" s="41"/>
      <c r="R198" s="41"/>
      <c r="S198" s="41"/>
      <c r="T198" s="41"/>
      <c r="U198" s="41"/>
      <c r="V198" s="41"/>
      <c r="W198" s="41"/>
      <c r="X198" s="41"/>
      <c r="Y198" s="41"/>
      <c r="Z198" s="41"/>
      <c r="AA198" s="41"/>
      <c r="AB198" s="41"/>
      <c r="AC198" s="41"/>
      <c r="AD198" s="41"/>
    </row>
    <row r="199" spans="1:30">
      <c r="A199" s="32" t="s">
        <v>548</v>
      </c>
      <c r="B199" s="50">
        <v>-41.296999999999997</v>
      </c>
      <c r="C199" s="50">
        <v>-48</v>
      </c>
      <c r="D199" s="50">
        <v>-33.200000000000003</v>
      </c>
      <c r="E199" s="50">
        <v>-75</v>
      </c>
      <c r="F199" s="50">
        <v>-78.419600000000003</v>
      </c>
      <c r="G199" s="50">
        <v>-159.04491999999999</v>
      </c>
      <c r="H199" s="50">
        <v>-192.80234999999999</v>
      </c>
      <c r="I199" s="50">
        <v>-248.21736999999999</v>
      </c>
      <c r="J199" s="50">
        <v>-234</v>
      </c>
      <c r="K199" s="33" t="s">
        <v>39</v>
      </c>
      <c r="L199" s="33" t="s">
        <v>39</v>
      </c>
      <c r="M199" s="33" t="s">
        <v>39</v>
      </c>
      <c r="N199" s="33" t="s">
        <v>39</v>
      </c>
      <c r="O199" s="33" t="s">
        <v>39</v>
      </c>
      <c r="P199" s="33" t="s">
        <v>39</v>
      </c>
      <c r="Q199" s="41"/>
      <c r="R199" s="41"/>
      <c r="S199" s="41"/>
      <c r="T199" s="41"/>
      <c r="U199" s="41"/>
      <c r="V199" s="41"/>
      <c r="W199" s="41"/>
      <c r="X199" s="41"/>
      <c r="Y199" s="41"/>
      <c r="Z199" s="41"/>
      <c r="AA199" s="41"/>
      <c r="AB199" s="41"/>
      <c r="AC199" s="41"/>
      <c r="AD199" s="41"/>
    </row>
    <row r="200" spans="1:30">
      <c r="A200" s="32" t="s">
        <v>549</v>
      </c>
      <c r="B200" s="50">
        <v>-33</v>
      </c>
      <c r="C200" s="50">
        <v>-21.661000000000001</v>
      </c>
      <c r="D200" s="50">
        <v>-26</v>
      </c>
      <c r="E200" s="50">
        <v>-39</v>
      </c>
      <c r="F200" s="50">
        <v>-61</v>
      </c>
      <c r="G200" s="50">
        <v>-44.731999999999999</v>
      </c>
      <c r="H200" s="50">
        <v>-60</v>
      </c>
      <c r="I200" s="50">
        <v>-60</v>
      </c>
      <c r="J200" s="50">
        <v>-234</v>
      </c>
      <c r="K200" s="33" t="s">
        <v>39</v>
      </c>
      <c r="L200" s="33" t="s">
        <v>39</v>
      </c>
      <c r="M200" s="33" t="s">
        <v>39</v>
      </c>
      <c r="N200" s="33" t="s">
        <v>39</v>
      </c>
      <c r="O200" s="33" t="s">
        <v>39</v>
      </c>
      <c r="P200" s="33" t="s">
        <v>39</v>
      </c>
      <c r="Q200" s="41"/>
      <c r="R200" s="41"/>
      <c r="S200" s="41"/>
      <c r="T200" s="41"/>
      <c r="U200" s="41"/>
      <c r="V200" s="41"/>
      <c r="W200" s="41"/>
      <c r="X200" s="41"/>
      <c r="Y200" s="41"/>
      <c r="Z200" s="41"/>
      <c r="AA200" s="41"/>
      <c r="AB200" s="41"/>
      <c r="AC200" s="41"/>
      <c r="AD200" s="41"/>
    </row>
    <row r="201" spans="1:30">
      <c r="A201" s="32" t="s">
        <v>550</v>
      </c>
      <c r="B201" s="45">
        <v>2.4136299999999999</v>
      </c>
      <c r="C201" s="45">
        <v>7.2367400000000002</v>
      </c>
      <c r="D201" s="45">
        <v>2.5450499999999998</v>
      </c>
      <c r="E201" s="45">
        <v>9.13293</v>
      </c>
      <c r="F201" s="45">
        <v>5.4954900000000002</v>
      </c>
      <c r="G201" s="45">
        <v>31.399550000000001</v>
      </c>
      <c r="H201" s="45">
        <v>39.596640000000001</v>
      </c>
      <c r="I201" s="45">
        <v>56.934559999999998</v>
      </c>
      <c r="J201" s="45">
        <v>0</v>
      </c>
      <c r="K201" s="33" t="s">
        <v>39</v>
      </c>
      <c r="L201" s="33" t="s">
        <v>39</v>
      </c>
      <c r="M201" s="33" t="s">
        <v>39</v>
      </c>
      <c r="N201" s="33" t="s">
        <v>39</v>
      </c>
      <c r="O201" s="33" t="s">
        <v>39</v>
      </c>
      <c r="P201" s="33" t="s">
        <v>39</v>
      </c>
      <c r="Q201" s="41"/>
      <c r="R201" s="41"/>
      <c r="S201" s="41"/>
      <c r="T201" s="41"/>
      <c r="U201" s="41"/>
      <c r="V201" s="41"/>
      <c r="W201" s="41"/>
      <c r="X201" s="41"/>
      <c r="Y201" s="41"/>
      <c r="Z201" s="41"/>
      <c r="AA201" s="41"/>
      <c r="AB201" s="41"/>
      <c r="AC201" s="41"/>
      <c r="AD201" s="41"/>
    </row>
    <row r="202" spans="1:30">
      <c r="A202" s="32" t="s">
        <v>551</v>
      </c>
      <c r="B202" s="33" t="s">
        <v>582</v>
      </c>
      <c r="C202" s="33" t="s">
        <v>663</v>
      </c>
      <c r="D202" s="33" t="s">
        <v>664</v>
      </c>
      <c r="E202" s="33" t="s">
        <v>665</v>
      </c>
      <c r="F202" s="33" t="s">
        <v>666</v>
      </c>
      <c r="G202" s="33" t="s">
        <v>667</v>
      </c>
      <c r="H202" s="33" t="s">
        <v>601</v>
      </c>
      <c r="I202" s="33" t="s">
        <v>668</v>
      </c>
      <c r="J202" s="33" t="s">
        <v>573</v>
      </c>
      <c r="K202" s="33" t="s">
        <v>39</v>
      </c>
      <c r="L202" s="33" t="s">
        <v>39</v>
      </c>
      <c r="M202" s="33" t="s">
        <v>39</v>
      </c>
      <c r="N202" s="33" t="s">
        <v>39</v>
      </c>
      <c r="O202" s="33" t="s">
        <v>39</v>
      </c>
      <c r="P202" s="33" t="s">
        <v>39</v>
      </c>
      <c r="Q202" s="41"/>
      <c r="R202" s="41"/>
      <c r="S202" s="41"/>
      <c r="T202" s="41"/>
      <c r="U202" s="41"/>
      <c r="V202" s="41"/>
      <c r="W202" s="41"/>
      <c r="X202" s="41"/>
      <c r="Y202" s="41"/>
      <c r="Z202" s="41"/>
      <c r="AA202" s="41"/>
      <c r="AB202" s="41"/>
      <c r="AC202" s="41"/>
      <c r="AD202" s="41"/>
    </row>
    <row r="203" spans="1:30">
      <c r="A203" s="32" t="s">
        <v>563</v>
      </c>
      <c r="B203" s="33" t="s">
        <v>564</v>
      </c>
      <c r="C203" s="33" t="s">
        <v>564</v>
      </c>
      <c r="D203" s="33" t="s">
        <v>564</v>
      </c>
      <c r="E203" s="33" t="s">
        <v>564</v>
      </c>
      <c r="F203" s="33" t="s">
        <v>564</v>
      </c>
      <c r="G203" s="33" t="s">
        <v>564</v>
      </c>
      <c r="H203" s="33" t="s">
        <v>564</v>
      </c>
      <c r="I203" s="33" t="s">
        <v>564</v>
      </c>
      <c r="J203" s="33" t="s">
        <v>564</v>
      </c>
      <c r="K203" s="33" t="s">
        <v>39</v>
      </c>
      <c r="L203" s="33" t="s">
        <v>39</v>
      </c>
      <c r="M203" s="33" t="s">
        <v>39</v>
      </c>
      <c r="N203" s="33" t="s">
        <v>39</v>
      </c>
      <c r="O203" s="33" t="s">
        <v>39</v>
      </c>
      <c r="P203" s="33" t="s">
        <v>39</v>
      </c>
      <c r="Q203" s="41"/>
      <c r="R203" s="41"/>
      <c r="S203" s="41"/>
      <c r="T203" s="41"/>
      <c r="U203" s="41"/>
      <c r="V203" s="41"/>
      <c r="W203" s="41"/>
      <c r="X203" s="41"/>
      <c r="Y203" s="41"/>
      <c r="Z203" s="41"/>
      <c r="AA203" s="41"/>
      <c r="AB203" s="41"/>
      <c r="AC203" s="41"/>
      <c r="AD203" s="41"/>
    </row>
    <row r="204" spans="1:30">
      <c r="A204" s="4" t="s">
        <v>669</v>
      </c>
      <c r="B204" s="49">
        <v>-9.8480000000000008</v>
      </c>
      <c r="C204" s="49">
        <v>-2.302</v>
      </c>
      <c r="D204" s="49">
        <v>101.614</v>
      </c>
      <c r="E204" s="49">
        <v>233.87700000000001</v>
      </c>
      <c r="F204" s="49">
        <v>403.20100000000002</v>
      </c>
      <c r="G204" s="50">
        <v>352.96629000000001</v>
      </c>
      <c r="H204" s="50">
        <v>626.97087999999997</v>
      </c>
      <c r="I204" s="50">
        <v>914.56257000000005</v>
      </c>
      <c r="J204" s="50">
        <v>1407.3333299999999</v>
      </c>
      <c r="K204" s="50">
        <v>1707</v>
      </c>
      <c r="L204" s="33" t="s">
        <v>39</v>
      </c>
      <c r="M204" s="33" t="s">
        <v>39</v>
      </c>
      <c r="N204" s="33" t="s">
        <v>39</v>
      </c>
      <c r="O204" s="33" t="s">
        <v>39</v>
      </c>
      <c r="P204" s="33" t="s">
        <v>39</v>
      </c>
      <c r="Q204" s="41"/>
      <c r="R204" s="41"/>
      <c r="S204" s="41"/>
      <c r="T204" s="41"/>
      <c r="U204" s="41"/>
      <c r="V204" s="41"/>
      <c r="W204" s="41"/>
      <c r="X204" s="41"/>
      <c r="Y204" s="41"/>
      <c r="Z204" s="41"/>
      <c r="AA204" s="41"/>
      <c r="AB204" s="41"/>
      <c r="AC204" s="41"/>
      <c r="AD204" s="41"/>
    </row>
    <row r="205" spans="1:30">
      <c r="A205" s="32" t="s">
        <v>546</v>
      </c>
      <c r="B205" s="50">
        <v>-97.473140000000001</v>
      </c>
      <c r="C205" s="50">
        <v>38.2468</v>
      </c>
      <c r="D205" s="50">
        <v>121.00733</v>
      </c>
      <c r="E205" s="50">
        <v>175.98349999999999</v>
      </c>
      <c r="F205" s="50">
        <v>433.44400000000002</v>
      </c>
      <c r="G205" s="33" t="s">
        <v>39</v>
      </c>
      <c r="H205" s="33" t="s">
        <v>39</v>
      </c>
      <c r="I205" s="33" t="s">
        <v>39</v>
      </c>
      <c r="J205" s="33" t="s">
        <v>39</v>
      </c>
      <c r="K205" s="33" t="s">
        <v>39</v>
      </c>
      <c r="L205" s="33" t="s">
        <v>39</v>
      </c>
      <c r="M205" s="33" t="s">
        <v>39</v>
      </c>
      <c r="N205" s="33" t="s">
        <v>39</v>
      </c>
      <c r="O205" s="33" t="s">
        <v>39</v>
      </c>
      <c r="P205" s="33" t="s">
        <v>39</v>
      </c>
      <c r="Q205" s="41"/>
      <c r="R205" s="41"/>
      <c r="S205" s="41"/>
      <c r="T205" s="41"/>
      <c r="U205" s="41"/>
      <c r="V205" s="41"/>
      <c r="W205" s="41"/>
      <c r="X205" s="41"/>
      <c r="Y205" s="41"/>
      <c r="Z205" s="41"/>
      <c r="AA205" s="41"/>
      <c r="AB205" s="41"/>
      <c r="AC205" s="41"/>
      <c r="AD205" s="41"/>
    </row>
    <row r="206" spans="1:30">
      <c r="A206" s="32" t="s">
        <v>547</v>
      </c>
      <c r="B206" s="50">
        <v>-100</v>
      </c>
      <c r="C206" s="50">
        <v>46.1</v>
      </c>
      <c r="D206" s="50">
        <v>119.922</v>
      </c>
      <c r="E206" s="50">
        <v>187</v>
      </c>
      <c r="F206" s="50">
        <v>438.51900000000001</v>
      </c>
      <c r="G206" s="50">
        <v>375</v>
      </c>
      <c r="H206" s="50">
        <v>652</v>
      </c>
      <c r="I206" s="50">
        <v>966</v>
      </c>
      <c r="J206" s="50">
        <v>1285</v>
      </c>
      <c r="K206" s="50">
        <v>1707</v>
      </c>
      <c r="L206" s="33" t="s">
        <v>39</v>
      </c>
      <c r="M206" s="33" t="s">
        <v>39</v>
      </c>
      <c r="N206" s="33" t="s">
        <v>39</v>
      </c>
      <c r="O206" s="33" t="s">
        <v>39</v>
      </c>
      <c r="P206" s="33" t="s">
        <v>39</v>
      </c>
      <c r="Q206" s="41"/>
      <c r="R206" s="41"/>
      <c r="S206" s="41"/>
      <c r="T206" s="41"/>
      <c r="U206" s="41"/>
      <c r="V206" s="41"/>
      <c r="W206" s="41"/>
      <c r="X206" s="41"/>
      <c r="Y206" s="41"/>
      <c r="Z206" s="41"/>
      <c r="AA206" s="41"/>
      <c r="AB206" s="41"/>
      <c r="AC206" s="41"/>
      <c r="AD206" s="41"/>
    </row>
    <row r="207" spans="1:30">
      <c r="A207" s="32" t="s">
        <v>548</v>
      </c>
      <c r="B207" s="50">
        <v>-20</v>
      </c>
      <c r="C207" s="50">
        <v>52</v>
      </c>
      <c r="D207" s="50">
        <v>143.5</v>
      </c>
      <c r="E207" s="50">
        <v>206.434</v>
      </c>
      <c r="F207" s="50">
        <v>579</v>
      </c>
      <c r="G207" s="50">
        <v>517</v>
      </c>
      <c r="H207" s="50">
        <v>793</v>
      </c>
      <c r="I207" s="50">
        <v>1065</v>
      </c>
      <c r="J207" s="50">
        <v>1665</v>
      </c>
      <c r="K207" s="50">
        <v>1707</v>
      </c>
      <c r="L207" s="33" t="s">
        <v>39</v>
      </c>
      <c r="M207" s="33" t="s">
        <v>39</v>
      </c>
      <c r="N207" s="33" t="s">
        <v>39</v>
      </c>
      <c r="O207" s="33" t="s">
        <v>39</v>
      </c>
      <c r="P207" s="33" t="s">
        <v>39</v>
      </c>
      <c r="Q207" s="41"/>
      <c r="R207" s="41"/>
      <c r="S207" s="41"/>
      <c r="T207" s="41"/>
      <c r="U207" s="41"/>
      <c r="V207" s="41"/>
      <c r="W207" s="41"/>
      <c r="X207" s="41"/>
      <c r="Y207" s="41"/>
      <c r="Z207" s="41"/>
      <c r="AA207" s="41"/>
      <c r="AB207" s="41"/>
      <c r="AC207" s="41"/>
      <c r="AD207" s="41"/>
    </row>
    <row r="208" spans="1:30">
      <c r="A208" s="32" t="s">
        <v>549</v>
      </c>
      <c r="B208" s="50">
        <v>-197.8</v>
      </c>
      <c r="C208" s="50">
        <v>1</v>
      </c>
      <c r="D208" s="50">
        <v>97</v>
      </c>
      <c r="E208" s="50">
        <v>123.5</v>
      </c>
      <c r="F208" s="50">
        <v>311</v>
      </c>
      <c r="G208" s="50">
        <v>179.76400000000001</v>
      </c>
      <c r="H208" s="50">
        <v>333.28100000000001</v>
      </c>
      <c r="I208" s="50">
        <v>705.02700000000004</v>
      </c>
      <c r="J208" s="50">
        <v>1272</v>
      </c>
      <c r="K208" s="50">
        <v>1707</v>
      </c>
      <c r="L208" s="33" t="s">
        <v>39</v>
      </c>
      <c r="M208" s="33" t="s">
        <v>39</v>
      </c>
      <c r="N208" s="33" t="s">
        <v>39</v>
      </c>
      <c r="O208" s="33" t="s">
        <v>39</v>
      </c>
      <c r="P208" s="33" t="s">
        <v>39</v>
      </c>
      <c r="Q208" s="41"/>
      <c r="R208" s="41"/>
      <c r="S208" s="41"/>
      <c r="T208" s="41"/>
      <c r="U208" s="41"/>
      <c r="V208" s="41"/>
      <c r="W208" s="41"/>
      <c r="X208" s="41"/>
      <c r="Y208" s="41"/>
      <c r="Z208" s="41"/>
      <c r="AA208" s="41"/>
      <c r="AB208" s="41"/>
      <c r="AC208" s="41"/>
      <c r="AD208" s="41"/>
    </row>
    <row r="209" spans="1:30">
      <c r="A209" s="32" t="s">
        <v>550</v>
      </c>
      <c r="B209" s="45">
        <v>50.45223</v>
      </c>
      <c r="C209" s="45">
        <v>18.764150000000001</v>
      </c>
      <c r="D209" s="45">
        <v>16.532209999999999</v>
      </c>
      <c r="E209" s="45">
        <v>32.27413</v>
      </c>
      <c r="F209" s="45">
        <v>98.156019999999998</v>
      </c>
      <c r="G209" s="45">
        <v>93.414360000000002</v>
      </c>
      <c r="H209" s="45">
        <v>138.79682</v>
      </c>
      <c r="I209" s="45">
        <v>109.5804</v>
      </c>
      <c r="J209" s="45">
        <v>182.27512999999999</v>
      </c>
      <c r="K209" s="45">
        <v>0</v>
      </c>
      <c r="L209" s="33" t="s">
        <v>39</v>
      </c>
      <c r="M209" s="33" t="s">
        <v>39</v>
      </c>
      <c r="N209" s="33" t="s">
        <v>39</v>
      </c>
      <c r="O209" s="33" t="s">
        <v>39</v>
      </c>
      <c r="P209" s="33" t="s">
        <v>39</v>
      </c>
      <c r="Q209" s="41"/>
      <c r="R209" s="41"/>
      <c r="S209" s="41"/>
      <c r="T209" s="41"/>
      <c r="U209" s="41"/>
      <c r="V209" s="41"/>
      <c r="W209" s="41"/>
      <c r="X209" s="41"/>
      <c r="Y209" s="41"/>
      <c r="Z209" s="41"/>
      <c r="AA209" s="41"/>
      <c r="AB209" s="41"/>
      <c r="AC209" s="41"/>
      <c r="AD209" s="41"/>
    </row>
    <row r="210" spans="1:30">
      <c r="A210" s="32" t="s">
        <v>551</v>
      </c>
      <c r="B210" s="33" t="s">
        <v>580</v>
      </c>
      <c r="C210" s="33" t="s">
        <v>670</v>
      </c>
      <c r="D210" s="33" t="s">
        <v>671</v>
      </c>
      <c r="E210" s="33" t="s">
        <v>672</v>
      </c>
      <c r="F210" s="33" t="s">
        <v>566</v>
      </c>
      <c r="G210" s="33" t="s">
        <v>673</v>
      </c>
      <c r="H210" s="33" t="s">
        <v>668</v>
      </c>
      <c r="I210" s="33" t="s">
        <v>674</v>
      </c>
      <c r="J210" s="33" t="s">
        <v>609</v>
      </c>
      <c r="K210" s="33" t="s">
        <v>573</v>
      </c>
      <c r="L210" s="33" t="s">
        <v>39</v>
      </c>
      <c r="M210" s="33" t="s">
        <v>39</v>
      </c>
      <c r="N210" s="33" t="s">
        <v>39</v>
      </c>
      <c r="O210" s="33" t="s">
        <v>39</v>
      </c>
      <c r="P210" s="33" t="s">
        <v>39</v>
      </c>
      <c r="Q210" s="41"/>
      <c r="R210" s="41"/>
      <c r="S210" s="41"/>
      <c r="T210" s="41"/>
      <c r="U210" s="41"/>
      <c r="V210" s="41"/>
      <c r="W210" s="41"/>
      <c r="X210" s="41"/>
      <c r="Y210" s="41"/>
      <c r="Z210" s="41"/>
      <c r="AA210" s="41"/>
      <c r="AB210" s="41"/>
      <c r="AC210" s="41"/>
      <c r="AD210" s="41"/>
    </row>
    <row r="211" spans="1:30">
      <c r="A211" s="32" t="s">
        <v>563</v>
      </c>
      <c r="B211" s="33" t="s">
        <v>564</v>
      </c>
      <c r="C211" s="33" t="s">
        <v>564</v>
      </c>
      <c r="D211" s="33" t="s">
        <v>564</v>
      </c>
      <c r="E211" s="33" t="s">
        <v>564</v>
      </c>
      <c r="F211" s="33" t="s">
        <v>564</v>
      </c>
      <c r="G211" s="33" t="s">
        <v>564</v>
      </c>
      <c r="H211" s="33" t="s">
        <v>564</v>
      </c>
      <c r="I211" s="33" t="s">
        <v>564</v>
      </c>
      <c r="J211" s="33" t="s">
        <v>564</v>
      </c>
      <c r="K211" s="33" t="s">
        <v>564</v>
      </c>
      <c r="L211" s="33" t="s">
        <v>39</v>
      </c>
      <c r="M211" s="33" t="s">
        <v>39</v>
      </c>
      <c r="N211" s="33" t="s">
        <v>39</v>
      </c>
      <c r="O211" s="33" t="s">
        <v>39</v>
      </c>
      <c r="P211" s="33" t="s">
        <v>39</v>
      </c>
      <c r="Q211" s="41"/>
      <c r="R211" s="41"/>
      <c r="S211" s="41"/>
      <c r="T211" s="41"/>
      <c r="U211" s="41"/>
      <c r="V211" s="41"/>
      <c r="W211" s="41"/>
      <c r="X211" s="41"/>
      <c r="Y211" s="41"/>
      <c r="Z211" s="41"/>
      <c r="AA211" s="41"/>
      <c r="AB211" s="41"/>
      <c r="AC211" s="41"/>
      <c r="AD211" s="41"/>
    </row>
    <row r="212" spans="1:30">
      <c r="A212" s="4" t="s">
        <v>675</v>
      </c>
      <c r="B212" s="49">
        <v>29.64752</v>
      </c>
      <c r="C212" s="49">
        <v>83.732699999999994</v>
      </c>
      <c r="D212" s="49">
        <v>85.9636</v>
      </c>
      <c r="E212" s="49">
        <v>83.371700000000004</v>
      </c>
      <c r="F212" s="49">
        <v>83.705699999999993</v>
      </c>
      <c r="G212" s="50">
        <v>29.63636</v>
      </c>
      <c r="H212" s="50">
        <v>32.691630000000004</v>
      </c>
      <c r="I212" s="50">
        <v>35.43459</v>
      </c>
      <c r="J212" s="50">
        <v>31.8</v>
      </c>
      <c r="K212" s="33" t="s">
        <v>39</v>
      </c>
      <c r="L212" s="33" t="s">
        <v>39</v>
      </c>
      <c r="M212" s="33" t="s">
        <v>39</v>
      </c>
      <c r="N212" s="33" t="s">
        <v>39</v>
      </c>
      <c r="O212" s="33" t="s">
        <v>39</v>
      </c>
      <c r="P212" s="33" t="s">
        <v>39</v>
      </c>
      <c r="Q212" s="41"/>
      <c r="R212" s="41"/>
      <c r="S212" s="41"/>
      <c r="T212" s="41"/>
      <c r="U212" s="41"/>
      <c r="V212" s="41"/>
      <c r="W212" s="41"/>
      <c r="X212" s="41"/>
      <c r="Y212" s="41"/>
      <c r="Z212" s="41"/>
      <c r="AA212" s="41"/>
      <c r="AB212" s="41"/>
      <c r="AC212" s="41"/>
      <c r="AD212" s="41"/>
    </row>
    <row r="213" spans="1:30">
      <c r="A213" s="32" t="s">
        <v>546</v>
      </c>
      <c r="B213" s="50">
        <v>29.225000000000001</v>
      </c>
      <c r="C213" s="50">
        <v>78.145449999999997</v>
      </c>
      <c r="D213" s="50">
        <v>86.15455</v>
      </c>
      <c r="E213" s="50">
        <v>81.084999999999994</v>
      </c>
      <c r="F213" s="50">
        <v>79.608329999999995</v>
      </c>
      <c r="G213" s="33" t="s">
        <v>39</v>
      </c>
      <c r="H213" s="33" t="s">
        <v>39</v>
      </c>
      <c r="I213" s="33" t="s">
        <v>39</v>
      </c>
      <c r="J213" s="33" t="s">
        <v>39</v>
      </c>
      <c r="K213" s="33" t="s">
        <v>39</v>
      </c>
      <c r="L213" s="33" t="s">
        <v>39</v>
      </c>
      <c r="M213" s="33" t="s">
        <v>39</v>
      </c>
      <c r="N213" s="33" t="s">
        <v>39</v>
      </c>
      <c r="O213" s="33" t="s">
        <v>39</v>
      </c>
      <c r="P213" s="33" t="s">
        <v>39</v>
      </c>
      <c r="Q213" s="41"/>
      <c r="R213" s="41"/>
      <c r="S213" s="41"/>
      <c r="T213" s="41"/>
      <c r="U213" s="41"/>
      <c r="V213" s="41"/>
      <c r="W213" s="41"/>
      <c r="X213" s="41"/>
      <c r="Y213" s="41"/>
      <c r="Z213" s="41"/>
      <c r="AA213" s="41"/>
      <c r="AB213" s="41"/>
      <c r="AC213" s="41"/>
      <c r="AD213" s="41"/>
    </row>
    <row r="214" spans="1:30">
      <c r="A214" s="32" t="s">
        <v>547</v>
      </c>
      <c r="B214" s="50">
        <v>29</v>
      </c>
      <c r="C214" s="50">
        <v>83</v>
      </c>
      <c r="D214" s="50">
        <v>86.3</v>
      </c>
      <c r="E214" s="50">
        <v>82.8</v>
      </c>
      <c r="F214" s="50">
        <v>83.3</v>
      </c>
      <c r="G214" s="50">
        <v>29.5</v>
      </c>
      <c r="H214" s="50">
        <v>31.3</v>
      </c>
      <c r="I214" s="50">
        <v>34.700000000000003</v>
      </c>
      <c r="J214" s="50">
        <v>31.8</v>
      </c>
      <c r="K214" s="33" t="s">
        <v>39</v>
      </c>
      <c r="L214" s="33" t="s">
        <v>39</v>
      </c>
      <c r="M214" s="33" t="s">
        <v>39</v>
      </c>
      <c r="N214" s="33" t="s">
        <v>39</v>
      </c>
      <c r="O214" s="33" t="s">
        <v>39</v>
      </c>
      <c r="P214" s="33" t="s">
        <v>39</v>
      </c>
      <c r="Q214" s="41"/>
      <c r="R214" s="41"/>
      <c r="S214" s="41"/>
      <c r="T214" s="41"/>
      <c r="U214" s="41"/>
      <c r="V214" s="41"/>
      <c r="W214" s="41"/>
      <c r="X214" s="41"/>
      <c r="Y214" s="41"/>
      <c r="Z214" s="41"/>
      <c r="AA214" s="41"/>
      <c r="AB214" s="41"/>
      <c r="AC214" s="41"/>
      <c r="AD214" s="41"/>
    </row>
    <row r="215" spans="1:30">
      <c r="A215" s="32" t="s">
        <v>548</v>
      </c>
      <c r="B215" s="50">
        <v>30</v>
      </c>
      <c r="C215" s="50">
        <v>84</v>
      </c>
      <c r="D215" s="50">
        <v>86.7</v>
      </c>
      <c r="E215" s="50">
        <v>83.3</v>
      </c>
      <c r="F215" s="50">
        <v>83.9</v>
      </c>
      <c r="G215" s="50">
        <v>31.9</v>
      </c>
      <c r="H215" s="50">
        <v>44</v>
      </c>
      <c r="I215" s="50">
        <v>44</v>
      </c>
      <c r="J215" s="50">
        <v>31.8</v>
      </c>
      <c r="K215" s="33" t="s">
        <v>39</v>
      </c>
      <c r="L215" s="33" t="s">
        <v>39</v>
      </c>
      <c r="M215" s="33" t="s">
        <v>39</v>
      </c>
      <c r="N215" s="33" t="s">
        <v>39</v>
      </c>
      <c r="O215" s="33" t="s">
        <v>39</v>
      </c>
      <c r="P215" s="33" t="s">
        <v>39</v>
      </c>
      <c r="Q215" s="41"/>
      <c r="R215" s="41"/>
      <c r="S215" s="41"/>
      <c r="T215" s="41"/>
      <c r="U215" s="41"/>
      <c r="V215" s="41"/>
      <c r="W215" s="41"/>
      <c r="X215" s="41"/>
      <c r="Y215" s="41"/>
      <c r="Z215" s="41"/>
      <c r="AA215" s="41"/>
      <c r="AB215" s="41"/>
      <c r="AC215" s="41"/>
      <c r="AD215" s="41"/>
    </row>
    <row r="216" spans="1:30">
      <c r="A216" s="32" t="s">
        <v>549</v>
      </c>
      <c r="B216" s="50">
        <v>28.9</v>
      </c>
      <c r="C216" s="50">
        <v>32.799999999999997</v>
      </c>
      <c r="D216" s="50">
        <v>85.4</v>
      </c>
      <c r="E216" s="50">
        <v>73.11</v>
      </c>
      <c r="F216" s="50">
        <v>60.45</v>
      </c>
      <c r="G216" s="50">
        <v>28.6</v>
      </c>
      <c r="H216" s="50">
        <v>25.2</v>
      </c>
      <c r="I216" s="50">
        <v>29.6</v>
      </c>
      <c r="J216" s="50">
        <v>31.8</v>
      </c>
      <c r="K216" s="33" t="s">
        <v>39</v>
      </c>
      <c r="L216" s="33" t="s">
        <v>39</v>
      </c>
      <c r="M216" s="33" t="s">
        <v>39</v>
      </c>
      <c r="N216" s="33" t="s">
        <v>39</v>
      </c>
      <c r="O216" s="33" t="s">
        <v>39</v>
      </c>
      <c r="P216" s="33" t="s">
        <v>39</v>
      </c>
      <c r="Q216" s="41"/>
      <c r="R216" s="41"/>
      <c r="S216" s="41"/>
      <c r="T216" s="41"/>
      <c r="U216" s="41"/>
      <c r="V216" s="41"/>
      <c r="W216" s="41"/>
      <c r="X216" s="41"/>
      <c r="Y216" s="41"/>
      <c r="Z216" s="41"/>
      <c r="AA216" s="41"/>
      <c r="AB216" s="41"/>
      <c r="AC216" s="41"/>
      <c r="AD216" s="41"/>
    </row>
    <row r="217" spans="1:30">
      <c r="A217" s="32" t="s">
        <v>550</v>
      </c>
      <c r="B217" s="45">
        <v>0.44930999999999999</v>
      </c>
      <c r="C217" s="45">
        <v>14.37285</v>
      </c>
      <c r="D217" s="45">
        <v>0.40756999999999999</v>
      </c>
      <c r="E217" s="45">
        <v>3.6126800000000001</v>
      </c>
      <c r="F217" s="45">
        <v>8.5746000000000002</v>
      </c>
      <c r="G217" s="45">
        <v>0.86578999999999995</v>
      </c>
      <c r="H217" s="45">
        <v>4.9776499999999997</v>
      </c>
      <c r="I217" s="45">
        <v>4.8795700000000002</v>
      </c>
      <c r="J217" s="45">
        <v>0</v>
      </c>
      <c r="K217" s="33" t="s">
        <v>39</v>
      </c>
      <c r="L217" s="33" t="s">
        <v>39</v>
      </c>
      <c r="M217" s="33" t="s">
        <v>39</v>
      </c>
      <c r="N217" s="33" t="s">
        <v>39</v>
      </c>
      <c r="O217" s="33" t="s">
        <v>39</v>
      </c>
      <c r="P217" s="33" t="s">
        <v>39</v>
      </c>
      <c r="Q217" s="41"/>
      <c r="R217" s="41"/>
      <c r="S217" s="41"/>
      <c r="T217" s="41"/>
      <c r="U217" s="41"/>
      <c r="V217" s="41"/>
      <c r="W217" s="41"/>
      <c r="X217" s="41"/>
      <c r="Y217" s="41"/>
      <c r="Z217" s="41"/>
      <c r="AA217" s="41"/>
      <c r="AB217" s="41"/>
      <c r="AC217" s="41"/>
      <c r="AD217" s="41"/>
    </row>
    <row r="218" spans="1:30">
      <c r="A218" s="32" t="s">
        <v>551</v>
      </c>
      <c r="B218" s="33" t="s">
        <v>590</v>
      </c>
      <c r="C218" s="33" t="s">
        <v>676</v>
      </c>
      <c r="D218" s="33" t="s">
        <v>677</v>
      </c>
      <c r="E218" s="33" t="s">
        <v>678</v>
      </c>
      <c r="F218" s="33" t="s">
        <v>679</v>
      </c>
      <c r="G218" s="33" t="s">
        <v>676</v>
      </c>
      <c r="H218" s="33" t="s">
        <v>680</v>
      </c>
      <c r="I218" s="33" t="s">
        <v>668</v>
      </c>
      <c r="J218" s="33" t="s">
        <v>575</v>
      </c>
      <c r="K218" s="33" t="s">
        <v>39</v>
      </c>
      <c r="L218" s="33" t="s">
        <v>39</v>
      </c>
      <c r="M218" s="33" t="s">
        <v>39</v>
      </c>
      <c r="N218" s="33" t="s">
        <v>39</v>
      </c>
      <c r="O218" s="33" t="s">
        <v>39</v>
      </c>
      <c r="P218" s="33" t="s">
        <v>39</v>
      </c>
      <c r="Q218" s="41"/>
      <c r="R218" s="41"/>
      <c r="S218" s="41"/>
      <c r="T218" s="41"/>
      <c r="U218" s="41"/>
      <c r="V218" s="41"/>
      <c r="W218" s="41"/>
      <c r="X218" s="41"/>
      <c r="Y218" s="41"/>
      <c r="Z218" s="41"/>
      <c r="AA218" s="41"/>
      <c r="AB218" s="41"/>
      <c r="AC218" s="41"/>
      <c r="AD218" s="41"/>
    </row>
    <row r="219" spans="1:30">
      <c r="A219" s="32" t="s">
        <v>563</v>
      </c>
      <c r="B219" s="33" t="s">
        <v>564</v>
      </c>
      <c r="C219" s="33" t="s">
        <v>564</v>
      </c>
      <c r="D219" s="33" t="s">
        <v>564</v>
      </c>
      <c r="E219" s="33" t="s">
        <v>564</v>
      </c>
      <c r="F219" s="33" t="s">
        <v>564</v>
      </c>
      <c r="G219" s="33" t="s">
        <v>564</v>
      </c>
      <c r="H219" s="33" t="s">
        <v>564</v>
      </c>
      <c r="I219" s="33" t="s">
        <v>564</v>
      </c>
      <c r="J219" s="33" t="s">
        <v>564</v>
      </c>
      <c r="K219" s="33" t="s">
        <v>39</v>
      </c>
      <c r="L219" s="33" t="s">
        <v>39</v>
      </c>
      <c r="M219" s="33" t="s">
        <v>39</v>
      </c>
      <c r="N219" s="33" t="s">
        <v>39</v>
      </c>
      <c r="O219" s="33" t="s">
        <v>39</v>
      </c>
      <c r="P219" s="33" t="s">
        <v>39</v>
      </c>
      <c r="Q219" s="41"/>
      <c r="R219" s="41"/>
      <c r="S219" s="41"/>
      <c r="T219" s="41"/>
      <c r="U219" s="41"/>
      <c r="V219" s="41"/>
      <c r="W219" s="41"/>
      <c r="X219" s="41"/>
      <c r="Y219" s="41"/>
      <c r="Z219" s="41"/>
      <c r="AA219" s="41"/>
      <c r="AB219" s="41"/>
      <c r="AC219" s="41"/>
      <c r="AD219" s="41"/>
    </row>
    <row r="220" spans="1:30">
      <c r="A220" s="4" t="s">
        <v>329</v>
      </c>
      <c r="B220" s="33" t="s">
        <v>39</v>
      </c>
      <c r="C220" s="50">
        <v>6</v>
      </c>
      <c r="D220" s="50">
        <v>0.65</v>
      </c>
      <c r="E220" s="49">
        <v>1.0261</v>
      </c>
      <c r="F220" s="49">
        <v>0.71699999999999997</v>
      </c>
      <c r="G220" s="50">
        <v>1.7</v>
      </c>
      <c r="H220" s="50">
        <v>11.9625</v>
      </c>
      <c r="I220" s="50">
        <v>9.5857100000000006</v>
      </c>
      <c r="J220" s="50">
        <v>12.5</v>
      </c>
      <c r="K220" s="50">
        <v>10</v>
      </c>
      <c r="L220" s="50">
        <v>21</v>
      </c>
      <c r="M220" s="50">
        <v>21</v>
      </c>
      <c r="N220" s="50">
        <v>21</v>
      </c>
      <c r="O220" s="50">
        <v>21</v>
      </c>
      <c r="P220" s="50">
        <v>21</v>
      </c>
      <c r="Q220" s="41"/>
      <c r="R220" s="41"/>
      <c r="S220" s="41"/>
      <c r="T220" s="41"/>
      <c r="U220" s="41"/>
      <c r="V220" s="41"/>
      <c r="W220" s="41"/>
      <c r="X220" s="41"/>
      <c r="Y220" s="41"/>
      <c r="Z220" s="41"/>
      <c r="AA220" s="41"/>
      <c r="AB220" s="41"/>
      <c r="AC220" s="41"/>
      <c r="AD220" s="41"/>
    </row>
    <row r="221" spans="1:30">
      <c r="A221" s="32" t="s">
        <v>546</v>
      </c>
      <c r="B221" s="33" t="s">
        <v>39</v>
      </c>
      <c r="C221" s="33" t="s">
        <v>39</v>
      </c>
      <c r="D221" s="33" t="s">
        <v>39</v>
      </c>
      <c r="E221" s="50">
        <v>2.0066700000000002</v>
      </c>
      <c r="F221" s="50">
        <v>4.9800000000000004</v>
      </c>
      <c r="G221" s="33" t="s">
        <v>39</v>
      </c>
      <c r="H221" s="33" t="s">
        <v>39</v>
      </c>
      <c r="I221" s="33" t="s">
        <v>39</v>
      </c>
      <c r="J221" s="33" t="s">
        <v>39</v>
      </c>
      <c r="K221" s="33" t="s">
        <v>39</v>
      </c>
      <c r="L221" s="33" t="s">
        <v>39</v>
      </c>
      <c r="M221" s="33" t="s">
        <v>39</v>
      </c>
      <c r="N221" s="33" t="s">
        <v>39</v>
      </c>
      <c r="O221" s="33" t="s">
        <v>39</v>
      </c>
      <c r="P221" s="33" t="s">
        <v>39</v>
      </c>
      <c r="Q221" s="41"/>
      <c r="R221" s="41"/>
      <c r="S221" s="41"/>
      <c r="T221" s="41"/>
      <c r="U221" s="41"/>
      <c r="V221" s="41"/>
      <c r="W221" s="41"/>
      <c r="X221" s="41"/>
      <c r="Y221" s="41"/>
      <c r="Z221" s="41"/>
      <c r="AA221" s="41"/>
      <c r="AB221" s="41"/>
      <c r="AC221" s="41"/>
      <c r="AD221" s="41"/>
    </row>
    <row r="222" spans="1:30">
      <c r="A222" s="32" t="s">
        <v>547</v>
      </c>
      <c r="B222" s="33" t="s">
        <v>39</v>
      </c>
      <c r="C222" s="50">
        <v>6</v>
      </c>
      <c r="D222" s="50">
        <v>0.65</v>
      </c>
      <c r="E222" s="50">
        <v>2.1</v>
      </c>
      <c r="F222" s="50">
        <v>1.4</v>
      </c>
      <c r="G222" s="50">
        <v>1.7</v>
      </c>
      <c r="H222" s="50">
        <v>12.5</v>
      </c>
      <c r="I222" s="50">
        <v>4.5999999999999996</v>
      </c>
      <c r="J222" s="50">
        <v>12.5</v>
      </c>
      <c r="K222" s="50">
        <v>10</v>
      </c>
      <c r="L222" s="50">
        <v>21</v>
      </c>
      <c r="M222" s="50">
        <v>21</v>
      </c>
      <c r="N222" s="50">
        <v>21</v>
      </c>
      <c r="O222" s="50">
        <v>21</v>
      </c>
      <c r="P222" s="50">
        <v>21</v>
      </c>
      <c r="Q222" s="41"/>
      <c r="R222" s="41"/>
      <c r="S222" s="41"/>
      <c r="T222" s="41"/>
      <c r="U222" s="41"/>
      <c r="V222" s="41"/>
      <c r="W222" s="41"/>
      <c r="X222" s="41"/>
      <c r="Y222" s="41"/>
      <c r="Z222" s="41"/>
      <c r="AA222" s="41"/>
      <c r="AB222" s="41"/>
      <c r="AC222" s="41"/>
      <c r="AD222" s="41"/>
    </row>
    <row r="223" spans="1:30">
      <c r="A223" s="32" t="s">
        <v>548</v>
      </c>
      <c r="B223" s="33" t="s">
        <v>39</v>
      </c>
      <c r="C223" s="50">
        <v>6</v>
      </c>
      <c r="D223" s="50">
        <v>1</v>
      </c>
      <c r="E223" s="50">
        <v>2.92</v>
      </c>
      <c r="F223" s="50">
        <v>19</v>
      </c>
      <c r="G223" s="50">
        <v>1.8</v>
      </c>
      <c r="H223" s="50">
        <v>21.3</v>
      </c>
      <c r="I223" s="50">
        <v>20</v>
      </c>
      <c r="J223" s="50">
        <v>15</v>
      </c>
      <c r="K223" s="50">
        <v>10</v>
      </c>
      <c r="L223" s="50">
        <v>21</v>
      </c>
      <c r="M223" s="50">
        <v>21</v>
      </c>
      <c r="N223" s="50">
        <v>21</v>
      </c>
      <c r="O223" s="50">
        <v>21</v>
      </c>
      <c r="P223" s="50">
        <v>21</v>
      </c>
      <c r="Q223" s="41"/>
      <c r="R223" s="41"/>
      <c r="S223" s="41"/>
      <c r="T223" s="41"/>
      <c r="U223" s="41"/>
      <c r="V223" s="41"/>
      <c r="W223" s="41"/>
      <c r="X223" s="41"/>
      <c r="Y223" s="41"/>
      <c r="Z223" s="41"/>
      <c r="AA223" s="41"/>
      <c r="AB223" s="41"/>
      <c r="AC223" s="41"/>
      <c r="AD223" s="41"/>
    </row>
    <row r="224" spans="1:30">
      <c r="A224" s="32" t="s">
        <v>549</v>
      </c>
      <c r="B224" s="33" t="s">
        <v>39</v>
      </c>
      <c r="C224" s="50">
        <v>6</v>
      </c>
      <c r="D224" s="50">
        <v>0.3</v>
      </c>
      <c r="E224" s="50">
        <v>1</v>
      </c>
      <c r="F224" s="50">
        <v>0.6</v>
      </c>
      <c r="G224" s="50">
        <v>1.6</v>
      </c>
      <c r="H224" s="50">
        <v>1.1000000000000001</v>
      </c>
      <c r="I224" s="50">
        <v>0.5</v>
      </c>
      <c r="J224" s="50">
        <v>10</v>
      </c>
      <c r="K224" s="50">
        <v>10</v>
      </c>
      <c r="L224" s="50">
        <v>21</v>
      </c>
      <c r="M224" s="50">
        <v>21</v>
      </c>
      <c r="N224" s="50">
        <v>21</v>
      </c>
      <c r="O224" s="50">
        <v>21</v>
      </c>
      <c r="P224" s="50">
        <v>21</v>
      </c>
      <c r="Q224" s="41"/>
      <c r="R224" s="41"/>
      <c r="S224" s="41"/>
      <c r="T224" s="41"/>
      <c r="U224" s="41"/>
      <c r="V224" s="41"/>
      <c r="W224" s="41"/>
      <c r="X224" s="41"/>
      <c r="Y224" s="41"/>
      <c r="Z224" s="41"/>
      <c r="AA224" s="41"/>
      <c r="AB224" s="41"/>
      <c r="AC224" s="41"/>
      <c r="AD224" s="41"/>
    </row>
    <row r="225" spans="1:30">
      <c r="A225" s="32" t="s">
        <v>550</v>
      </c>
      <c r="B225" s="33" t="s">
        <v>39</v>
      </c>
      <c r="C225" s="45">
        <v>0</v>
      </c>
      <c r="D225" s="45">
        <v>0.35</v>
      </c>
      <c r="E225" s="45">
        <v>0.78661000000000003</v>
      </c>
      <c r="F225" s="45">
        <v>7.0530600000000003</v>
      </c>
      <c r="G225" s="45">
        <v>0.1</v>
      </c>
      <c r="H225" s="45">
        <v>7.6614199999999997</v>
      </c>
      <c r="I225" s="45">
        <v>7.8212900000000003</v>
      </c>
      <c r="J225" s="45">
        <v>2.5</v>
      </c>
      <c r="K225" s="45">
        <v>0</v>
      </c>
      <c r="L225" s="45">
        <v>0</v>
      </c>
      <c r="M225" s="45">
        <v>0</v>
      </c>
      <c r="N225" s="45">
        <v>0</v>
      </c>
      <c r="O225" s="45">
        <v>0</v>
      </c>
      <c r="P225" s="45">
        <v>0</v>
      </c>
      <c r="Q225" s="41"/>
      <c r="R225" s="41"/>
      <c r="S225" s="41"/>
      <c r="T225" s="41"/>
      <c r="U225" s="41"/>
      <c r="V225" s="41"/>
      <c r="W225" s="41"/>
      <c r="X225" s="41"/>
      <c r="Y225" s="41"/>
      <c r="Z225" s="41"/>
      <c r="AA225" s="41"/>
      <c r="AB225" s="41"/>
      <c r="AC225" s="41"/>
      <c r="AD225" s="41"/>
    </row>
    <row r="226" spans="1:30">
      <c r="A226" s="32" t="s">
        <v>551</v>
      </c>
      <c r="B226" s="33" t="s">
        <v>39</v>
      </c>
      <c r="C226" s="33" t="s">
        <v>573</v>
      </c>
      <c r="D226" s="33" t="s">
        <v>587</v>
      </c>
      <c r="E226" s="33" t="s">
        <v>577</v>
      </c>
      <c r="F226" s="33" t="s">
        <v>654</v>
      </c>
      <c r="G226" s="33" t="s">
        <v>587</v>
      </c>
      <c r="H226" s="33" t="s">
        <v>668</v>
      </c>
      <c r="I226" s="33" t="s">
        <v>673</v>
      </c>
      <c r="J226" s="33" t="s">
        <v>587</v>
      </c>
      <c r="K226" s="33" t="s">
        <v>575</v>
      </c>
      <c r="L226" s="33" t="s">
        <v>575</v>
      </c>
      <c r="M226" s="33" t="s">
        <v>575</v>
      </c>
      <c r="N226" s="33" t="s">
        <v>575</v>
      </c>
      <c r="O226" s="33" t="s">
        <v>575</v>
      </c>
      <c r="P226" s="33" t="s">
        <v>575</v>
      </c>
      <c r="Q226" s="41"/>
      <c r="R226" s="41"/>
      <c r="S226" s="41"/>
      <c r="T226" s="41"/>
      <c r="U226" s="41"/>
      <c r="V226" s="41"/>
      <c r="W226" s="41"/>
      <c r="X226" s="41"/>
      <c r="Y226" s="41"/>
      <c r="Z226" s="41"/>
      <c r="AA226" s="41"/>
      <c r="AB226" s="41"/>
      <c r="AC226" s="41"/>
      <c r="AD226" s="41"/>
    </row>
    <row r="227" spans="1:30">
      <c r="A227" s="32" t="s">
        <v>563</v>
      </c>
      <c r="B227" s="33" t="s">
        <v>39</v>
      </c>
      <c r="C227" s="33" t="s">
        <v>564</v>
      </c>
      <c r="D227" s="33" t="s">
        <v>564</v>
      </c>
      <c r="E227" s="33" t="s">
        <v>564</v>
      </c>
      <c r="F227" s="33" t="s">
        <v>564</v>
      </c>
      <c r="G227" s="33" t="s">
        <v>564</v>
      </c>
      <c r="H227" s="33" t="s">
        <v>564</v>
      </c>
      <c r="I227" s="33" t="s">
        <v>564</v>
      </c>
      <c r="J227" s="33" t="s">
        <v>564</v>
      </c>
      <c r="K227" s="33" t="s">
        <v>564</v>
      </c>
      <c r="L227" s="33" t="s">
        <v>564</v>
      </c>
      <c r="M227" s="33" t="s">
        <v>564</v>
      </c>
      <c r="N227" s="33" t="s">
        <v>564</v>
      </c>
      <c r="O227" s="33" t="s">
        <v>564</v>
      </c>
      <c r="P227" s="33" t="s">
        <v>564</v>
      </c>
      <c r="Q227" s="41"/>
      <c r="R227" s="41"/>
      <c r="S227" s="41"/>
      <c r="T227" s="41"/>
      <c r="U227" s="41"/>
      <c r="V227" s="41"/>
      <c r="W227" s="41"/>
      <c r="X227" s="41"/>
      <c r="Y227" s="41"/>
      <c r="Z227" s="41"/>
      <c r="AA227" s="41"/>
      <c r="AB227" s="41"/>
      <c r="AC227" s="41"/>
      <c r="AD227" s="41"/>
    </row>
    <row r="228" spans="1:30">
      <c r="A228" s="4" t="s">
        <v>681</v>
      </c>
      <c r="B228" s="49">
        <v>-29.52</v>
      </c>
      <c r="C228" s="49">
        <v>-31.652799999999999</v>
      </c>
      <c r="D228" s="49">
        <v>16.8752</v>
      </c>
      <c r="E228" s="49">
        <v>23.533000000000001</v>
      </c>
      <c r="F228" s="49">
        <v>27.025700000000001</v>
      </c>
      <c r="G228" s="50">
        <v>25.011240000000001</v>
      </c>
      <c r="H228" s="50">
        <v>17.47045</v>
      </c>
      <c r="I228" s="50">
        <v>23.10182</v>
      </c>
      <c r="J228" s="50">
        <v>10</v>
      </c>
      <c r="K228" s="33" t="s">
        <v>39</v>
      </c>
      <c r="L228" s="33" t="s">
        <v>39</v>
      </c>
      <c r="M228" s="33" t="s">
        <v>39</v>
      </c>
      <c r="N228" s="33" t="s">
        <v>39</v>
      </c>
      <c r="O228" s="33" t="s">
        <v>39</v>
      </c>
      <c r="P228" s="33" t="s">
        <v>39</v>
      </c>
      <c r="Q228" s="41"/>
      <c r="R228" s="41"/>
      <c r="S228" s="41"/>
      <c r="T228" s="41"/>
      <c r="U228" s="41"/>
      <c r="V228" s="41"/>
      <c r="W228" s="41"/>
      <c r="X228" s="41"/>
      <c r="Y228" s="41"/>
      <c r="Z228" s="41"/>
      <c r="AA228" s="41"/>
      <c r="AB228" s="41"/>
      <c r="AC228" s="41"/>
      <c r="AD228" s="41"/>
    </row>
    <row r="229" spans="1:30">
      <c r="A229" s="32" t="s">
        <v>546</v>
      </c>
      <c r="B229" s="50">
        <v>-58.301819999999999</v>
      </c>
      <c r="C229" s="50">
        <v>-39.550319999999999</v>
      </c>
      <c r="D229" s="50">
        <v>15.771559999999999</v>
      </c>
      <c r="E229" s="50">
        <v>21.551069999999999</v>
      </c>
      <c r="F229" s="50">
        <v>30.68122</v>
      </c>
      <c r="G229" s="33" t="s">
        <v>39</v>
      </c>
      <c r="H229" s="33" t="s">
        <v>39</v>
      </c>
      <c r="I229" s="33" t="s">
        <v>39</v>
      </c>
      <c r="J229" s="33" t="s">
        <v>39</v>
      </c>
      <c r="K229" s="33" t="s">
        <v>39</v>
      </c>
      <c r="L229" s="33" t="s">
        <v>39</v>
      </c>
      <c r="M229" s="33" t="s">
        <v>39</v>
      </c>
      <c r="N229" s="33" t="s">
        <v>39</v>
      </c>
      <c r="O229" s="33" t="s">
        <v>39</v>
      </c>
      <c r="P229" s="33" t="s">
        <v>39</v>
      </c>
      <c r="Q229" s="41"/>
      <c r="R229" s="41"/>
      <c r="S229" s="41"/>
      <c r="T229" s="41"/>
      <c r="U229" s="41"/>
      <c r="V229" s="41"/>
      <c r="W229" s="41"/>
      <c r="X229" s="41"/>
      <c r="Y229" s="41"/>
      <c r="Z229" s="41"/>
      <c r="AA229" s="41"/>
      <c r="AB229" s="41"/>
      <c r="AC229" s="41"/>
      <c r="AD229" s="41"/>
    </row>
    <row r="230" spans="1:30">
      <c r="A230" s="32" t="s">
        <v>547</v>
      </c>
      <c r="B230" s="50">
        <v>-60.67</v>
      </c>
      <c r="C230" s="50">
        <v>-37.832740000000001</v>
      </c>
      <c r="D230" s="50">
        <v>15.88162</v>
      </c>
      <c r="E230" s="50">
        <v>21.888000000000002</v>
      </c>
      <c r="F230" s="50">
        <v>30.27111</v>
      </c>
      <c r="G230" s="50">
        <v>20.759499999999999</v>
      </c>
      <c r="H230" s="50">
        <v>17.690000000000001</v>
      </c>
      <c r="I230" s="50">
        <v>25.740500000000001</v>
      </c>
      <c r="J230" s="50">
        <v>10</v>
      </c>
      <c r="K230" s="33" t="s">
        <v>39</v>
      </c>
      <c r="L230" s="33" t="s">
        <v>39</v>
      </c>
      <c r="M230" s="33" t="s">
        <v>39</v>
      </c>
      <c r="N230" s="33" t="s">
        <v>39</v>
      </c>
      <c r="O230" s="33" t="s">
        <v>39</v>
      </c>
      <c r="P230" s="33" t="s">
        <v>39</v>
      </c>
      <c r="Q230" s="41"/>
      <c r="R230" s="41"/>
      <c r="S230" s="41"/>
      <c r="T230" s="41"/>
      <c r="U230" s="41"/>
      <c r="V230" s="41"/>
      <c r="W230" s="41"/>
      <c r="X230" s="41"/>
      <c r="Y230" s="41"/>
      <c r="Z230" s="41"/>
      <c r="AA230" s="41"/>
      <c r="AB230" s="41"/>
      <c r="AC230" s="41"/>
      <c r="AD230" s="41"/>
    </row>
    <row r="231" spans="1:30">
      <c r="A231" s="32" t="s">
        <v>548</v>
      </c>
      <c r="B231" s="50">
        <v>-32.459000000000003</v>
      </c>
      <c r="C231" s="50">
        <v>-35.718209999999999</v>
      </c>
      <c r="D231" s="50">
        <v>16.323</v>
      </c>
      <c r="E231" s="50">
        <v>23.16</v>
      </c>
      <c r="F231" s="50">
        <v>31.62</v>
      </c>
      <c r="G231" s="50">
        <v>40.525979999999997</v>
      </c>
      <c r="H231" s="50">
        <v>25.495719999999999</v>
      </c>
      <c r="I231" s="50">
        <v>30.626280000000001</v>
      </c>
      <c r="J231" s="50">
        <v>10</v>
      </c>
      <c r="K231" s="33" t="s">
        <v>39</v>
      </c>
      <c r="L231" s="33" t="s">
        <v>39</v>
      </c>
      <c r="M231" s="33" t="s">
        <v>39</v>
      </c>
      <c r="N231" s="33" t="s">
        <v>39</v>
      </c>
      <c r="O231" s="33" t="s">
        <v>39</v>
      </c>
      <c r="P231" s="33" t="s">
        <v>39</v>
      </c>
      <c r="Q231" s="41"/>
      <c r="R231" s="41"/>
      <c r="S231" s="41"/>
      <c r="T231" s="41"/>
      <c r="U231" s="41"/>
      <c r="V231" s="41"/>
      <c r="W231" s="41"/>
      <c r="X231" s="41"/>
      <c r="Y231" s="41"/>
      <c r="Z231" s="41"/>
      <c r="AA231" s="41"/>
      <c r="AB231" s="41"/>
      <c r="AC231" s="41"/>
      <c r="AD231" s="41"/>
    </row>
    <row r="232" spans="1:30">
      <c r="A232" s="32" t="s">
        <v>549</v>
      </c>
      <c r="B232" s="50">
        <v>-81.77646</v>
      </c>
      <c r="C232" s="50">
        <v>-45.1</v>
      </c>
      <c r="D232" s="50">
        <v>15</v>
      </c>
      <c r="E232" s="50">
        <v>20</v>
      </c>
      <c r="F232" s="50">
        <v>30</v>
      </c>
      <c r="G232" s="50">
        <v>18</v>
      </c>
      <c r="H232" s="50">
        <v>7</v>
      </c>
      <c r="I232" s="50">
        <v>10.3</v>
      </c>
      <c r="J232" s="50">
        <v>10</v>
      </c>
      <c r="K232" s="33" t="s">
        <v>39</v>
      </c>
      <c r="L232" s="33" t="s">
        <v>39</v>
      </c>
      <c r="M232" s="33" t="s">
        <v>39</v>
      </c>
      <c r="N232" s="33" t="s">
        <v>39</v>
      </c>
      <c r="O232" s="33" t="s">
        <v>39</v>
      </c>
      <c r="P232" s="33" t="s">
        <v>39</v>
      </c>
      <c r="Q232" s="41"/>
      <c r="R232" s="41"/>
      <c r="S232" s="41"/>
      <c r="T232" s="41"/>
      <c r="U232" s="41"/>
      <c r="V232" s="41"/>
      <c r="W232" s="41"/>
      <c r="X232" s="41"/>
      <c r="Y232" s="41"/>
      <c r="Z232" s="41"/>
      <c r="AA232" s="41"/>
      <c r="AB232" s="41"/>
      <c r="AC232" s="41"/>
      <c r="AD232" s="41"/>
    </row>
    <row r="233" spans="1:30">
      <c r="A233" s="32" t="s">
        <v>550</v>
      </c>
      <c r="B233" s="45">
        <v>20.203289999999999</v>
      </c>
      <c r="C233" s="45">
        <v>4.0180499999999997</v>
      </c>
      <c r="D233" s="45">
        <v>0.53064999999999996</v>
      </c>
      <c r="E233" s="45">
        <v>1.25282</v>
      </c>
      <c r="F233" s="45">
        <v>0.65525999999999995</v>
      </c>
      <c r="G233" s="45">
        <v>9.0439600000000002</v>
      </c>
      <c r="H233" s="45">
        <v>6.7220300000000002</v>
      </c>
      <c r="I233" s="45">
        <v>8.1229300000000002</v>
      </c>
      <c r="J233" s="45">
        <v>0</v>
      </c>
      <c r="K233" s="33" t="s">
        <v>39</v>
      </c>
      <c r="L233" s="33" t="s">
        <v>39</v>
      </c>
      <c r="M233" s="33" t="s">
        <v>39</v>
      </c>
      <c r="N233" s="33" t="s">
        <v>39</v>
      </c>
      <c r="O233" s="33" t="s">
        <v>39</v>
      </c>
      <c r="P233" s="33" t="s">
        <v>39</v>
      </c>
      <c r="Q233" s="41"/>
      <c r="R233" s="41"/>
      <c r="S233" s="41"/>
      <c r="T233" s="41"/>
      <c r="U233" s="41"/>
      <c r="V233" s="41"/>
      <c r="W233" s="41"/>
      <c r="X233" s="41"/>
      <c r="Y233" s="41"/>
      <c r="Z233" s="41"/>
      <c r="AA233" s="41"/>
      <c r="AB233" s="41"/>
      <c r="AC233" s="41"/>
      <c r="AD233" s="41"/>
    </row>
    <row r="234" spans="1:30">
      <c r="A234" s="32" t="s">
        <v>551</v>
      </c>
      <c r="B234" s="33" t="s">
        <v>609</v>
      </c>
      <c r="C234" s="33" t="s">
        <v>589</v>
      </c>
      <c r="D234" s="33" t="s">
        <v>628</v>
      </c>
      <c r="E234" s="33" t="s">
        <v>583</v>
      </c>
      <c r="F234" s="33" t="s">
        <v>629</v>
      </c>
      <c r="G234" s="33" t="s">
        <v>630</v>
      </c>
      <c r="H234" s="33" t="s">
        <v>682</v>
      </c>
      <c r="I234" s="33" t="s">
        <v>590</v>
      </c>
      <c r="J234" s="33" t="s">
        <v>575</v>
      </c>
      <c r="K234" s="33" t="s">
        <v>39</v>
      </c>
      <c r="L234" s="33" t="s">
        <v>39</v>
      </c>
      <c r="M234" s="33" t="s">
        <v>39</v>
      </c>
      <c r="N234" s="33" t="s">
        <v>39</v>
      </c>
      <c r="O234" s="33" t="s">
        <v>39</v>
      </c>
      <c r="P234" s="33" t="s">
        <v>39</v>
      </c>
      <c r="Q234" s="41"/>
      <c r="R234" s="41"/>
      <c r="S234" s="41"/>
      <c r="T234" s="41"/>
      <c r="U234" s="41"/>
      <c r="V234" s="41"/>
      <c r="W234" s="41"/>
      <c r="X234" s="41"/>
      <c r="Y234" s="41"/>
      <c r="Z234" s="41"/>
      <c r="AA234" s="41"/>
      <c r="AB234" s="41"/>
      <c r="AC234" s="41"/>
      <c r="AD234" s="41"/>
    </row>
    <row r="235" spans="1:30">
      <c r="A235" s="32" t="s">
        <v>563</v>
      </c>
      <c r="B235" s="33" t="s">
        <v>564</v>
      </c>
      <c r="C235" s="33" t="s">
        <v>564</v>
      </c>
      <c r="D235" s="33" t="s">
        <v>564</v>
      </c>
      <c r="E235" s="33" t="s">
        <v>564</v>
      </c>
      <c r="F235" s="33" t="s">
        <v>564</v>
      </c>
      <c r="G235" s="33" t="s">
        <v>564</v>
      </c>
      <c r="H235" s="33" t="s">
        <v>564</v>
      </c>
      <c r="I235" s="33" t="s">
        <v>564</v>
      </c>
      <c r="J235" s="33" t="s">
        <v>564</v>
      </c>
      <c r="K235" s="33" t="s">
        <v>39</v>
      </c>
      <c r="L235" s="33" t="s">
        <v>39</v>
      </c>
      <c r="M235" s="33" t="s">
        <v>39</v>
      </c>
      <c r="N235" s="33" t="s">
        <v>39</v>
      </c>
      <c r="O235" s="33" t="s">
        <v>39</v>
      </c>
      <c r="P235" s="33" t="s">
        <v>39</v>
      </c>
      <c r="Q235" s="41"/>
      <c r="R235" s="41"/>
      <c r="S235" s="41"/>
      <c r="T235" s="41"/>
      <c r="U235" s="41"/>
      <c r="V235" s="41"/>
      <c r="W235" s="41"/>
      <c r="X235" s="41"/>
      <c r="Y235" s="41"/>
      <c r="Z235" s="41"/>
      <c r="AA235" s="41"/>
      <c r="AB235" s="41"/>
      <c r="AC235" s="41"/>
      <c r="AD235" s="41"/>
    </row>
    <row r="236" spans="1:30">
      <c r="A236" s="4" t="s">
        <v>683</v>
      </c>
      <c r="B236" s="49">
        <v>-29.52</v>
      </c>
      <c r="C236" s="49">
        <v>-16.2943</v>
      </c>
      <c r="D236" s="49">
        <v>-3.6964000000000001</v>
      </c>
      <c r="E236" s="49">
        <v>8.2060999999999993</v>
      </c>
      <c r="F236" s="49">
        <v>11.1838</v>
      </c>
      <c r="G236" s="50">
        <v>1.5</v>
      </c>
      <c r="H236" s="50">
        <v>3.35</v>
      </c>
      <c r="I236" s="50">
        <v>4.4000000000000004</v>
      </c>
      <c r="J236" s="33" t="s">
        <v>39</v>
      </c>
      <c r="K236" s="33" t="s">
        <v>39</v>
      </c>
      <c r="L236" s="33" t="s">
        <v>39</v>
      </c>
      <c r="M236" s="33" t="s">
        <v>39</v>
      </c>
      <c r="N236" s="33" t="s">
        <v>39</v>
      </c>
      <c r="O236" s="33" t="s">
        <v>39</v>
      </c>
      <c r="P236" s="33" t="s">
        <v>39</v>
      </c>
      <c r="Q236" s="41"/>
      <c r="R236" s="41"/>
      <c r="S236" s="41"/>
      <c r="T236" s="41"/>
      <c r="U236" s="41"/>
      <c r="V236" s="41"/>
      <c r="W236" s="41"/>
      <c r="X236" s="41"/>
      <c r="Y236" s="41"/>
      <c r="Z236" s="41"/>
      <c r="AA236" s="41"/>
      <c r="AB236" s="41"/>
      <c r="AC236" s="41"/>
      <c r="AD236" s="41"/>
    </row>
    <row r="237" spans="1:30">
      <c r="A237" s="32" t="s">
        <v>546</v>
      </c>
      <c r="B237" s="50">
        <v>-49.658320000000003</v>
      </c>
      <c r="C237" s="50">
        <v>-20.24126</v>
      </c>
      <c r="D237" s="50">
        <v>-4.6402999999999999</v>
      </c>
      <c r="E237" s="50">
        <v>6.9139999999999997</v>
      </c>
      <c r="F237" s="50">
        <v>10.7</v>
      </c>
      <c r="G237" s="33" t="s">
        <v>39</v>
      </c>
      <c r="H237" s="33" t="s">
        <v>39</v>
      </c>
      <c r="I237" s="33" t="s">
        <v>39</v>
      </c>
      <c r="J237" s="33" t="s">
        <v>39</v>
      </c>
      <c r="K237" s="33" t="s">
        <v>39</v>
      </c>
      <c r="L237" s="33" t="s">
        <v>39</v>
      </c>
      <c r="M237" s="33" t="s">
        <v>39</v>
      </c>
      <c r="N237" s="33" t="s">
        <v>39</v>
      </c>
      <c r="O237" s="33" t="s">
        <v>39</v>
      </c>
      <c r="P237" s="33" t="s">
        <v>39</v>
      </c>
      <c r="Q237" s="41"/>
      <c r="R237" s="41"/>
      <c r="S237" s="41"/>
      <c r="T237" s="41"/>
      <c r="U237" s="41"/>
      <c r="V237" s="41"/>
      <c r="W237" s="41"/>
      <c r="X237" s="41"/>
      <c r="Y237" s="41"/>
      <c r="Z237" s="41"/>
      <c r="AA237" s="41"/>
      <c r="AB237" s="41"/>
      <c r="AC237" s="41"/>
      <c r="AD237" s="41"/>
    </row>
    <row r="238" spans="1:30">
      <c r="A238" s="32" t="s">
        <v>547</v>
      </c>
      <c r="B238" s="50">
        <v>-37.389960000000002</v>
      </c>
      <c r="C238" s="50">
        <v>-19.770040000000002</v>
      </c>
      <c r="D238" s="50">
        <v>-4.6402999999999999</v>
      </c>
      <c r="E238" s="50">
        <v>6.9139999999999997</v>
      </c>
      <c r="F238" s="50">
        <v>10.7</v>
      </c>
      <c r="G238" s="50">
        <v>1.5</v>
      </c>
      <c r="H238" s="50">
        <v>3.35</v>
      </c>
      <c r="I238" s="50">
        <v>4.4000000000000004</v>
      </c>
      <c r="J238" s="33" t="s">
        <v>39</v>
      </c>
      <c r="K238" s="33" t="s">
        <v>39</v>
      </c>
      <c r="L238" s="33" t="s">
        <v>39</v>
      </c>
      <c r="M238" s="33" t="s">
        <v>39</v>
      </c>
      <c r="N238" s="33" t="s">
        <v>39</v>
      </c>
      <c r="O238" s="33" t="s">
        <v>39</v>
      </c>
      <c r="P238" s="33" t="s">
        <v>39</v>
      </c>
      <c r="Q238" s="41"/>
      <c r="R238" s="41"/>
      <c r="S238" s="41"/>
      <c r="T238" s="41"/>
      <c r="U238" s="41"/>
      <c r="V238" s="41"/>
      <c r="W238" s="41"/>
      <c r="X238" s="41"/>
      <c r="Y238" s="41"/>
      <c r="Z238" s="41"/>
      <c r="AA238" s="41"/>
      <c r="AB238" s="41"/>
      <c r="AC238" s="41"/>
      <c r="AD238" s="41"/>
    </row>
    <row r="239" spans="1:30">
      <c r="A239" s="32" t="s">
        <v>548</v>
      </c>
      <c r="B239" s="50">
        <v>-18.684999999999999</v>
      </c>
      <c r="C239" s="50">
        <v>-18.95374</v>
      </c>
      <c r="D239" s="50">
        <v>-4.3806000000000003</v>
      </c>
      <c r="E239" s="50">
        <v>7.9279999999999999</v>
      </c>
      <c r="F239" s="50">
        <v>10.7</v>
      </c>
      <c r="G239" s="50">
        <v>6.1</v>
      </c>
      <c r="H239" s="50">
        <v>5.5</v>
      </c>
      <c r="I239" s="50">
        <v>7.5</v>
      </c>
      <c r="J239" s="33" t="s">
        <v>39</v>
      </c>
      <c r="K239" s="33" t="s">
        <v>39</v>
      </c>
      <c r="L239" s="33" t="s">
        <v>39</v>
      </c>
      <c r="M239" s="33" t="s">
        <v>39</v>
      </c>
      <c r="N239" s="33" t="s">
        <v>39</v>
      </c>
      <c r="O239" s="33" t="s">
        <v>39</v>
      </c>
      <c r="P239" s="33" t="s">
        <v>39</v>
      </c>
      <c r="Q239" s="41"/>
      <c r="R239" s="41"/>
      <c r="S239" s="41"/>
      <c r="T239" s="41"/>
      <c r="U239" s="41"/>
      <c r="V239" s="41"/>
      <c r="W239" s="41"/>
      <c r="X239" s="41"/>
      <c r="Y239" s="41"/>
      <c r="Z239" s="41"/>
      <c r="AA239" s="41"/>
      <c r="AB239" s="41"/>
      <c r="AC239" s="41"/>
      <c r="AD239" s="41"/>
    </row>
    <row r="240" spans="1:30">
      <c r="A240" s="32" t="s">
        <v>549</v>
      </c>
      <c r="B240" s="50">
        <v>-92.9</v>
      </c>
      <c r="C240" s="50">
        <v>-22</v>
      </c>
      <c r="D240" s="50">
        <v>-4.9000000000000004</v>
      </c>
      <c r="E240" s="50">
        <v>5.9</v>
      </c>
      <c r="F240" s="50">
        <v>10.7</v>
      </c>
      <c r="G240" s="50">
        <v>-3.1</v>
      </c>
      <c r="H240" s="50">
        <v>1.2</v>
      </c>
      <c r="I240" s="50">
        <v>1.3</v>
      </c>
      <c r="J240" s="33" t="s">
        <v>39</v>
      </c>
      <c r="K240" s="33" t="s">
        <v>39</v>
      </c>
      <c r="L240" s="33" t="s">
        <v>39</v>
      </c>
      <c r="M240" s="33" t="s">
        <v>39</v>
      </c>
      <c r="N240" s="33" t="s">
        <v>39</v>
      </c>
      <c r="O240" s="33" t="s">
        <v>39</v>
      </c>
      <c r="P240" s="33" t="s">
        <v>39</v>
      </c>
      <c r="Q240" s="41"/>
      <c r="R240" s="41"/>
      <c r="S240" s="41"/>
      <c r="T240" s="41"/>
      <c r="U240" s="41"/>
      <c r="V240" s="41"/>
      <c r="W240" s="41"/>
      <c r="X240" s="41"/>
      <c r="Y240" s="41"/>
      <c r="Z240" s="41"/>
      <c r="AA240" s="41"/>
      <c r="AB240" s="41"/>
      <c r="AC240" s="41"/>
      <c r="AD240" s="41"/>
    </row>
    <row r="241" spans="1:30">
      <c r="A241" s="32" t="s">
        <v>550</v>
      </c>
      <c r="B241" s="45">
        <v>31.515619999999998</v>
      </c>
      <c r="C241" s="45">
        <v>1.28749</v>
      </c>
      <c r="D241" s="45">
        <v>0.25969999999999999</v>
      </c>
      <c r="E241" s="45">
        <v>1.014</v>
      </c>
      <c r="F241" s="45">
        <v>0</v>
      </c>
      <c r="G241" s="45">
        <v>4.5999999999999996</v>
      </c>
      <c r="H241" s="45">
        <v>2.15</v>
      </c>
      <c r="I241" s="45">
        <v>3.1</v>
      </c>
      <c r="J241" s="33" t="s">
        <v>39</v>
      </c>
      <c r="K241" s="33" t="s">
        <v>39</v>
      </c>
      <c r="L241" s="33" t="s">
        <v>39</v>
      </c>
      <c r="M241" s="33" t="s">
        <v>39</v>
      </c>
      <c r="N241" s="33" t="s">
        <v>39</v>
      </c>
      <c r="O241" s="33" t="s">
        <v>39</v>
      </c>
      <c r="P241" s="33" t="s">
        <v>39</v>
      </c>
      <c r="Q241" s="41"/>
      <c r="R241" s="41"/>
      <c r="S241" s="41"/>
      <c r="T241" s="41"/>
      <c r="U241" s="41"/>
      <c r="V241" s="41"/>
      <c r="W241" s="41"/>
      <c r="X241" s="41"/>
      <c r="Y241" s="41"/>
      <c r="Z241" s="41"/>
      <c r="AA241" s="41"/>
      <c r="AB241" s="41"/>
      <c r="AC241" s="41"/>
      <c r="AD241" s="41"/>
    </row>
    <row r="242" spans="1:30">
      <c r="A242" s="32" t="s">
        <v>551</v>
      </c>
      <c r="B242" s="33" t="s">
        <v>577</v>
      </c>
      <c r="C242" s="33" t="s">
        <v>560</v>
      </c>
      <c r="D242" s="33" t="s">
        <v>652</v>
      </c>
      <c r="E242" s="33" t="s">
        <v>652</v>
      </c>
      <c r="F242" s="33" t="s">
        <v>684</v>
      </c>
      <c r="G242" s="33" t="s">
        <v>652</v>
      </c>
      <c r="H242" s="33" t="s">
        <v>652</v>
      </c>
      <c r="I242" s="33" t="s">
        <v>591</v>
      </c>
      <c r="J242" s="33" t="s">
        <v>39</v>
      </c>
      <c r="K242" s="33" t="s">
        <v>39</v>
      </c>
      <c r="L242" s="33" t="s">
        <v>39</v>
      </c>
      <c r="M242" s="33" t="s">
        <v>39</v>
      </c>
      <c r="N242" s="33" t="s">
        <v>39</v>
      </c>
      <c r="O242" s="33" t="s">
        <v>39</v>
      </c>
      <c r="P242" s="33" t="s">
        <v>39</v>
      </c>
      <c r="Q242" s="41"/>
      <c r="R242" s="41"/>
      <c r="S242" s="41"/>
      <c r="T242" s="41"/>
      <c r="U242" s="41"/>
      <c r="V242" s="41"/>
      <c r="W242" s="41"/>
      <c r="X242" s="41"/>
      <c r="Y242" s="41"/>
      <c r="Z242" s="41"/>
      <c r="AA242" s="41"/>
      <c r="AB242" s="41"/>
      <c r="AC242" s="41"/>
      <c r="AD242" s="41"/>
    </row>
    <row r="243" spans="1:30">
      <c r="A243" s="32" t="s">
        <v>563</v>
      </c>
      <c r="B243" s="33" t="s">
        <v>564</v>
      </c>
      <c r="C243" s="33" t="s">
        <v>564</v>
      </c>
      <c r="D243" s="33" t="s">
        <v>564</v>
      </c>
      <c r="E243" s="33" t="s">
        <v>564</v>
      </c>
      <c r="F243" s="33" t="s">
        <v>564</v>
      </c>
      <c r="G243" s="33" t="s">
        <v>564</v>
      </c>
      <c r="H243" s="33" t="s">
        <v>564</v>
      </c>
      <c r="I243" s="33" t="s">
        <v>564</v>
      </c>
      <c r="J243" s="33" t="s">
        <v>39</v>
      </c>
      <c r="K243" s="33" t="s">
        <v>39</v>
      </c>
      <c r="L243" s="33" t="s">
        <v>39</v>
      </c>
      <c r="M243" s="33" t="s">
        <v>39</v>
      </c>
      <c r="N243" s="33" t="s">
        <v>39</v>
      </c>
      <c r="O243" s="33" t="s">
        <v>39</v>
      </c>
      <c r="P243" s="33" t="s">
        <v>39</v>
      </c>
      <c r="Q243" s="41"/>
      <c r="R243" s="41"/>
      <c r="S243" s="41"/>
      <c r="T243" s="41"/>
      <c r="U243" s="41"/>
      <c r="V243" s="41"/>
      <c r="W243" s="41"/>
      <c r="X243" s="41"/>
      <c r="Y243" s="41"/>
      <c r="Z243" s="41"/>
      <c r="AA243" s="41"/>
      <c r="AB243" s="41"/>
      <c r="AC243" s="41"/>
      <c r="AD243" s="41"/>
    </row>
    <row r="244" spans="1:30">
      <c r="A244" s="4" t="s">
        <v>685</v>
      </c>
      <c r="B244" s="50">
        <v>3085.7087900000001</v>
      </c>
      <c r="C244" s="50">
        <v>4248.4051200000004</v>
      </c>
      <c r="D244" s="50">
        <v>16122.868350000001</v>
      </c>
      <c r="E244" s="50">
        <v>29831.090459999999</v>
      </c>
      <c r="F244" s="50">
        <v>28641.749360000002</v>
      </c>
      <c r="G244" s="50">
        <v>71077.111659999995</v>
      </c>
      <c r="H244" s="50">
        <v>73218.733600000007</v>
      </c>
      <c r="I244" s="50">
        <v>86770.041660000003</v>
      </c>
      <c r="J244" s="50">
        <v>74388.100000000006</v>
      </c>
      <c r="K244" s="33" t="s">
        <v>39</v>
      </c>
      <c r="L244" s="33" t="s">
        <v>39</v>
      </c>
      <c r="M244" s="33" t="s">
        <v>39</v>
      </c>
      <c r="N244" s="33" t="s">
        <v>39</v>
      </c>
      <c r="O244" s="33" t="s">
        <v>39</v>
      </c>
      <c r="P244" s="33" t="s">
        <v>39</v>
      </c>
      <c r="Q244" s="41"/>
      <c r="R244" s="41"/>
      <c r="S244" s="41"/>
      <c r="T244" s="41"/>
      <c r="U244" s="41"/>
      <c r="V244" s="41"/>
      <c r="W244" s="41"/>
      <c r="X244" s="41"/>
      <c r="Y244" s="41"/>
      <c r="Z244" s="41"/>
      <c r="AA244" s="41"/>
      <c r="AB244" s="41"/>
      <c r="AC244" s="41"/>
      <c r="AD244" s="41"/>
    </row>
    <row r="245" spans="1:30">
      <c r="A245" s="32" t="s">
        <v>547</v>
      </c>
      <c r="B245" s="50">
        <v>3085.7087900000001</v>
      </c>
      <c r="C245" s="50">
        <v>4416.7135600000001</v>
      </c>
      <c r="D245" s="50">
        <v>15536.55773</v>
      </c>
      <c r="E245" s="50">
        <v>32618.707750000001</v>
      </c>
      <c r="F245" s="50">
        <v>28156</v>
      </c>
      <c r="G245" s="50">
        <v>74890.539959999995</v>
      </c>
      <c r="H245" s="50">
        <v>74208.243149999995</v>
      </c>
      <c r="I245" s="50">
        <v>78386.726899999994</v>
      </c>
      <c r="J245" s="50">
        <v>74388.100000000006</v>
      </c>
      <c r="K245" s="33" t="s">
        <v>39</v>
      </c>
      <c r="L245" s="33" t="s">
        <v>39</v>
      </c>
      <c r="M245" s="33" t="s">
        <v>39</v>
      </c>
      <c r="N245" s="33" t="s">
        <v>39</v>
      </c>
      <c r="O245" s="33" t="s">
        <v>39</v>
      </c>
      <c r="P245" s="33" t="s">
        <v>39</v>
      </c>
      <c r="Q245" s="41"/>
      <c r="R245" s="41"/>
      <c r="S245" s="41"/>
      <c r="T245" s="41"/>
      <c r="U245" s="41"/>
      <c r="V245" s="41"/>
      <c r="W245" s="41"/>
      <c r="X245" s="41"/>
      <c r="Y245" s="41"/>
      <c r="Z245" s="41"/>
      <c r="AA245" s="41"/>
      <c r="AB245" s="41"/>
      <c r="AC245" s="41"/>
      <c r="AD245" s="41"/>
    </row>
    <row r="246" spans="1:30">
      <c r="A246" s="32" t="s">
        <v>548</v>
      </c>
      <c r="B246" s="50">
        <v>3473.8677499999999</v>
      </c>
      <c r="C246" s="50">
        <v>4479.1203699999996</v>
      </c>
      <c r="D246" s="50">
        <v>19700</v>
      </c>
      <c r="E246" s="50">
        <v>34924</v>
      </c>
      <c r="F246" s="50">
        <v>33282.456989999999</v>
      </c>
      <c r="G246" s="50">
        <v>82400</v>
      </c>
      <c r="H246" s="50">
        <v>97400</v>
      </c>
      <c r="I246" s="50">
        <v>119800</v>
      </c>
      <c r="J246" s="50">
        <v>74388.100000000006</v>
      </c>
      <c r="K246" s="33" t="s">
        <v>39</v>
      </c>
      <c r="L246" s="33" t="s">
        <v>39</v>
      </c>
      <c r="M246" s="33" t="s">
        <v>39</v>
      </c>
      <c r="N246" s="33" t="s">
        <v>39</v>
      </c>
      <c r="O246" s="33" t="s">
        <v>39</v>
      </c>
      <c r="P246" s="33" t="s">
        <v>39</v>
      </c>
      <c r="Q246" s="41"/>
      <c r="R246" s="41"/>
      <c r="S246" s="41"/>
      <c r="T246" s="41"/>
      <c r="U246" s="41"/>
      <c r="V246" s="41"/>
      <c r="W246" s="41"/>
      <c r="X246" s="41"/>
      <c r="Y246" s="41"/>
      <c r="Z246" s="41"/>
      <c r="AA246" s="41"/>
      <c r="AB246" s="41"/>
      <c r="AC246" s="41"/>
      <c r="AD246" s="41"/>
    </row>
    <row r="247" spans="1:30">
      <c r="A247" s="32" t="s">
        <v>549</v>
      </c>
      <c r="B247" s="50">
        <v>2697.5498299999999</v>
      </c>
      <c r="C247" s="50">
        <v>3681.0729999999999</v>
      </c>
      <c r="D247" s="50">
        <v>13421.284009999999</v>
      </c>
      <c r="E247" s="50">
        <v>21950.56364</v>
      </c>
      <c r="F247" s="50">
        <v>23458.805</v>
      </c>
      <c r="G247" s="50">
        <v>49208.855009999999</v>
      </c>
      <c r="H247" s="50">
        <v>48968.342640000003</v>
      </c>
      <c r="I247" s="50">
        <v>70506.71286</v>
      </c>
      <c r="J247" s="50">
        <v>74388.100000000006</v>
      </c>
      <c r="K247" s="33" t="s">
        <v>39</v>
      </c>
      <c r="L247" s="33" t="s">
        <v>39</v>
      </c>
      <c r="M247" s="33" t="s">
        <v>39</v>
      </c>
      <c r="N247" s="33" t="s">
        <v>39</v>
      </c>
      <c r="O247" s="33" t="s">
        <v>39</v>
      </c>
      <c r="P247" s="33" t="s">
        <v>39</v>
      </c>
      <c r="Q247" s="41"/>
      <c r="R247" s="41"/>
      <c r="S247" s="41"/>
      <c r="T247" s="41"/>
      <c r="U247" s="41"/>
      <c r="V247" s="41"/>
      <c r="W247" s="41"/>
      <c r="X247" s="41"/>
      <c r="Y247" s="41"/>
      <c r="Z247" s="41"/>
      <c r="AA247" s="41"/>
      <c r="AB247" s="41"/>
      <c r="AC247" s="41"/>
      <c r="AD247" s="41"/>
    </row>
    <row r="248" spans="1:30">
      <c r="A248" s="32" t="s">
        <v>550</v>
      </c>
      <c r="B248" s="45">
        <v>388.15895999999998</v>
      </c>
      <c r="C248" s="45">
        <v>330.02902999999998</v>
      </c>
      <c r="D248" s="45">
        <v>2075.25632</v>
      </c>
      <c r="E248" s="45">
        <v>5651.2901400000001</v>
      </c>
      <c r="F248" s="45">
        <v>3619.94877</v>
      </c>
      <c r="G248" s="45">
        <v>11457.369119999999</v>
      </c>
      <c r="H248" s="45">
        <v>14927.0587</v>
      </c>
      <c r="I248" s="45">
        <v>19404.545289999998</v>
      </c>
      <c r="J248" s="45">
        <v>0</v>
      </c>
      <c r="K248" s="33" t="s">
        <v>39</v>
      </c>
      <c r="L248" s="33" t="s">
        <v>39</v>
      </c>
      <c r="M248" s="33" t="s">
        <v>39</v>
      </c>
      <c r="N248" s="33" t="s">
        <v>39</v>
      </c>
      <c r="O248" s="33" t="s">
        <v>39</v>
      </c>
      <c r="P248" s="33" t="s">
        <v>39</v>
      </c>
      <c r="Q248" s="41"/>
      <c r="R248" s="41"/>
      <c r="S248" s="41"/>
      <c r="T248" s="41"/>
      <c r="U248" s="41"/>
      <c r="V248" s="41"/>
      <c r="W248" s="41"/>
      <c r="X248" s="41"/>
      <c r="Y248" s="41"/>
      <c r="Z248" s="41"/>
      <c r="AA248" s="41"/>
      <c r="AB248" s="41"/>
      <c r="AC248" s="41"/>
      <c r="AD248" s="41"/>
    </row>
    <row r="249" spans="1:30">
      <c r="A249" s="32" t="s">
        <v>551</v>
      </c>
      <c r="B249" s="33" t="s">
        <v>587</v>
      </c>
      <c r="C249" s="33" t="s">
        <v>578</v>
      </c>
      <c r="D249" s="33" t="s">
        <v>516</v>
      </c>
      <c r="E249" s="33" t="s">
        <v>577</v>
      </c>
      <c r="F249" s="33" t="s">
        <v>516</v>
      </c>
      <c r="G249" s="33" t="s">
        <v>579</v>
      </c>
      <c r="H249" s="33" t="s">
        <v>579</v>
      </c>
      <c r="I249" s="33" t="s">
        <v>578</v>
      </c>
      <c r="J249" s="33" t="s">
        <v>575</v>
      </c>
      <c r="K249" s="33" t="s">
        <v>39</v>
      </c>
      <c r="L249" s="33" t="s">
        <v>39</v>
      </c>
      <c r="M249" s="33" t="s">
        <v>39</v>
      </c>
      <c r="N249" s="33" t="s">
        <v>39</v>
      </c>
      <c r="O249" s="33" t="s">
        <v>39</v>
      </c>
      <c r="P249" s="33" t="s">
        <v>39</v>
      </c>
      <c r="Q249" s="41"/>
      <c r="R249" s="41"/>
      <c r="S249" s="41"/>
      <c r="T249" s="41"/>
      <c r="U249" s="41"/>
      <c r="V249" s="41"/>
      <c r="W249" s="41"/>
      <c r="X249" s="41"/>
      <c r="Y249" s="41"/>
      <c r="Z249" s="41"/>
      <c r="AA249" s="41"/>
      <c r="AB249" s="41"/>
      <c r="AC249" s="41"/>
      <c r="AD249" s="41"/>
    </row>
    <row r="250" spans="1:30">
      <c r="A250" s="32" t="s">
        <v>563</v>
      </c>
      <c r="B250" s="33" t="s">
        <v>564</v>
      </c>
      <c r="C250" s="33" t="s">
        <v>564</v>
      </c>
      <c r="D250" s="33" t="s">
        <v>564</v>
      </c>
      <c r="E250" s="33" t="s">
        <v>564</v>
      </c>
      <c r="F250" s="33" t="s">
        <v>564</v>
      </c>
      <c r="G250" s="33" t="s">
        <v>564</v>
      </c>
      <c r="H250" s="33" t="s">
        <v>564</v>
      </c>
      <c r="I250" s="33" t="s">
        <v>564</v>
      </c>
      <c r="J250" s="33" t="s">
        <v>564</v>
      </c>
      <c r="K250" s="33" t="s">
        <v>39</v>
      </c>
      <c r="L250" s="33" t="s">
        <v>39</v>
      </c>
      <c r="M250" s="33" t="s">
        <v>39</v>
      </c>
      <c r="N250" s="33" t="s">
        <v>39</v>
      </c>
      <c r="O250" s="33" t="s">
        <v>39</v>
      </c>
      <c r="P250" s="33" t="s">
        <v>39</v>
      </c>
      <c r="Q250" s="41"/>
      <c r="R250" s="41"/>
      <c r="S250" s="41"/>
      <c r="T250" s="41"/>
      <c r="U250" s="41"/>
      <c r="V250" s="41"/>
      <c r="W250" s="41"/>
      <c r="X250" s="41"/>
      <c r="Y250" s="41"/>
      <c r="Z250" s="41"/>
      <c r="AA250" s="41"/>
      <c r="AB250" s="41"/>
      <c r="AC250" s="41"/>
      <c r="AD250" s="41"/>
    </row>
    <row r="251" spans="1:30">
      <c r="A251" s="32"/>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row>
    <row r="252" spans="1:30" ht="14">
      <c r="A252" s="46"/>
      <c r="B252" s="46" t="s">
        <v>686</v>
      </c>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row>
    <row r="253" spans="1:30" ht="14">
      <c r="A253" s="47" t="s">
        <v>505</v>
      </c>
      <c r="B253" s="48" t="s">
        <v>687</v>
      </c>
      <c r="C253" s="48" t="s">
        <v>688</v>
      </c>
      <c r="D253" s="48" t="s">
        <v>689</v>
      </c>
      <c r="E253" s="48" t="s">
        <v>690</v>
      </c>
      <c r="F253" s="48" t="s">
        <v>691</v>
      </c>
      <c r="G253" s="48" t="s">
        <v>692</v>
      </c>
      <c r="H253" s="48" t="s">
        <v>693</v>
      </c>
      <c r="I253" s="48" t="s">
        <v>694</v>
      </c>
      <c r="J253" s="48" t="s">
        <v>695</v>
      </c>
      <c r="K253" s="48" t="s">
        <v>696</v>
      </c>
      <c r="L253" s="48" t="s">
        <v>697</v>
      </c>
      <c r="M253" s="48" t="s">
        <v>698</v>
      </c>
      <c r="N253" s="48" t="s">
        <v>699</v>
      </c>
      <c r="O253" s="48" t="s">
        <v>700</v>
      </c>
      <c r="P253" s="48" t="s">
        <v>701</v>
      </c>
      <c r="Q253" s="48" t="s">
        <v>702</v>
      </c>
      <c r="R253" s="48" t="s">
        <v>703</v>
      </c>
      <c r="S253" s="48" t="s">
        <v>704</v>
      </c>
      <c r="T253" s="48" t="s">
        <v>705</v>
      </c>
      <c r="U253" s="48" t="s">
        <v>706</v>
      </c>
      <c r="V253" s="48" t="s">
        <v>707</v>
      </c>
      <c r="W253" s="48" t="s">
        <v>708</v>
      </c>
      <c r="X253" s="48" t="s">
        <v>709</v>
      </c>
      <c r="Y253" s="48" t="s">
        <v>710</v>
      </c>
      <c r="Z253" s="48" t="s">
        <v>711</v>
      </c>
      <c r="AA253" s="48" t="s">
        <v>712</v>
      </c>
      <c r="AB253" s="48" t="s">
        <v>713</v>
      </c>
      <c r="AC253" s="48" t="s">
        <v>714</v>
      </c>
      <c r="AD253" s="48" t="s">
        <v>715</v>
      </c>
    </row>
    <row r="254" spans="1:30">
      <c r="A254" s="4" t="s">
        <v>537</v>
      </c>
      <c r="B254" s="49">
        <v>-0.20599999999999999</v>
      </c>
      <c r="C254" s="49">
        <v>-0.28999999999999998</v>
      </c>
      <c r="D254" s="49">
        <v>-0.08</v>
      </c>
      <c r="E254" s="49">
        <v>-0.09</v>
      </c>
      <c r="F254" s="49">
        <v>-0.04</v>
      </c>
      <c r="G254" s="49">
        <v>0.05</v>
      </c>
      <c r="H254" s="49">
        <v>7.0000000000000007E-2</v>
      </c>
      <c r="I254" s="49">
        <v>7.0000000000000007E-2</v>
      </c>
      <c r="J254" s="49">
        <v>0.08</v>
      </c>
      <c r="K254" s="49">
        <v>0.06</v>
      </c>
      <c r="L254" s="49">
        <v>0.13</v>
      </c>
      <c r="M254" s="49">
        <v>0.13</v>
      </c>
      <c r="N254" s="49">
        <v>0.14000000000000001</v>
      </c>
      <c r="O254" s="49">
        <v>0.11</v>
      </c>
      <c r="P254" s="49">
        <v>0.21</v>
      </c>
      <c r="Q254" s="49">
        <v>0.25</v>
      </c>
      <c r="R254" s="49">
        <v>0.23</v>
      </c>
      <c r="S254" s="49">
        <v>-0.02</v>
      </c>
      <c r="T254" s="49">
        <v>0.18</v>
      </c>
      <c r="U254" s="49">
        <v>0.34</v>
      </c>
      <c r="V254" s="50">
        <v>0.26257000000000003</v>
      </c>
      <c r="W254" s="50">
        <v>0.20880000000000001</v>
      </c>
      <c r="X254" s="50">
        <v>0.25002999999999997</v>
      </c>
      <c r="Y254" s="50">
        <v>0.32979000000000003</v>
      </c>
      <c r="Z254" s="50">
        <v>0.34107999999999999</v>
      </c>
      <c r="AA254" s="50">
        <v>0.33692</v>
      </c>
      <c r="AB254" s="50">
        <v>0.42219000000000001</v>
      </c>
      <c r="AC254" s="50">
        <v>0.49757000000000001</v>
      </c>
      <c r="AD254" s="50">
        <v>0.49828</v>
      </c>
    </row>
    <row r="255" spans="1:30">
      <c r="A255" s="32" t="s">
        <v>546</v>
      </c>
      <c r="B255" s="50">
        <v>-0.10589999999999999</v>
      </c>
      <c r="C255" s="50">
        <v>-8.2780000000000006E-2</v>
      </c>
      <c r="D255" s="50">
        <v>-3.2710000000000003E-2</v>
      </c>
      <c r="E255" s="50">
        <v>-0.11575000000000001</v>
      </c>
      <c r="F255" s="50">
        <v>-5.7520000000000002E-2</v>
      </c>
      <c r="G255" s="50">
        <v>2.0969999999999999E-2</v>
      </c>
      <c r="H255" s="50">
        <v>4.9860000000000002E-2</v>
      </c>
      <c r="I255" s="50">
        <v>5.407E-2</v>
      </c>
      <c r="J255" s="50">
        <v>6.7769999999999997E-2</v>
      </c>
      <c r="K255" s="50">
        <v>5.3600000000000002E-2</v>
      </c>
      <c r="L255" s="50">
        <v>0.1134</v>
      </c>
      <c r="M255" s="50">
        <v>0.11189</v>
      </c>
      <c r="N255" s="50">
        <v>0.13472999999999999</v>
      </c>
      <c r="O255" s="50">
        <v>7.8320000000000001E-2</v>
      </c>
      <c r="P255" s="50">
        <v>0.16319</v>
      </c>
      <c r="Q255" s="50">
        <v>0.20247000000000001</v>
      </c>
      <c r="R255" s="50">
        <v>0.20943000000000001</v>
      </c>
      <c r="S255" s="50">
        <v>0.12826000000000001</v>
      </c>
      <c r="T255" s="50">
        <v>-5.0930000000000003E-2</v>
      </c>
      <c r="U255" s="50">
        <v>0.15981999999999999</v>
      </c>
      <c r="V255" s="33" t="s">
        <v>39</v>
      </c>
      <c r="W255" s="33" t="s">
        <v>39</v>
      </c>
      <c r="X255" s="33" t="s">
        <v>39</v>
      </c>
      <c r="Y255" s="33" t="s">
        <v>39</v>
      </c>
      <c r="Z255" s="33" t="s">
        <v>39</v>
      </c>
      <c r="AA255" s="33" t="s">
        <v>39</v>
      </c>
      <c r="AB255" s="33" t="s">
        <v>39</v>
      </c>
      <c r="AC255" s="33" t="s">
        <v>39</v>
      </c>
      <c r="AD255" s="33" t="s">
        <v>39</v>
      </c>
    </row>
    <row r="256" spans="1:30">
      <c r="A256" s="32" t="s">
        <v>547</v>
      </c>
      <c r="B256" s="50">
        <v>-0.09</v>
      </c>
      <c r="C256" s="50">
        <v>-7.0000000000000007E-2</v>
      </c>
      <c r="D256" s="50">
        <v>-0.03</v>
      </c>
      <c r="E256" s="50">
        <v>-0.115</v>
      </c>
      <c r="F256" s="50">
        <v>-0.08</v>
      </c>
      <c r="G256" s="50">
        <v>0.02</v>
      </c>
      <c r="H256" s="50">
        <v>0.05</v>
      </c>
      <c r="I256" s="50">
        <v>0.05</v>
      </c>
      <c r="J256" s="50">
        <v>7.0000000000000007E-2</v>
      </c>
      <c r="K256" s="50">
        <v>0.05</v>
      </c>
      <c r="L256" s="50">
        <v>0.11</v>
      </c>
      <c r="M256" s="50">
        <v>0.11</v>
      </c>
      <c r="N256" s="50">
        <v>0.13</v>
      </c>
      <c r="O256" s="50">
        <v>0.08</v>
      </c>
      <c r="P256" s="50">
        <v>0.16</v>
      </c>
      <c r="Q256" s="50">
        <v>0.2</v>
      </c>
      <c r="R256" s="50">
        <v>0.21</v>
      </c>
      <c r="S256" s="50">
        <v>0.13</v>
      </c>
      <c r="T256" s="50">
        <v>-5.5E-2</v>
      </c>
      <c r="U256" s="50">
        <v>0.17</v>
      </c>
      <c r="V256" s="50">
        <v>0.26</v>
      </c>
      <c r="W256" s="50">
        <v>0.23</v>
      </c>
      <c r="X256" s="50">
        <v>0.25</v>
      </c>
      <c r="Y256" s="50">
        <v>0.36</v>
      </c>
      <c r="Z256" s="50">
        <v>0.34499999999999997</v>
      </c>
      <c r="AA256" s="50">
        <v>0.33</v>
      </c>
      <c r="AB256" s="50">
        <v>0.39500000000000002</v>
      </c>
      <c r="AC256" s="50">
        <v>0.49796000000000001</v>
      </c>
      <c r="AD256" s="50">
        <v>0.5</v>
      </c>
    </row>
    <row r="257" spans="1:30">
      <c r="A257" s="32" t="s">
        <v>548</v>
      </c>
      <c r="B257" s="50">
        <v>-6.3130000000000006E-2</v>
      </c>
      <c r="C257" s="50">
        <v>-0.04</v>
      </c>
      <c r="D257" s="50">
        <v>-1.984E-2</v>
      </c>
      <c r="E257" s="50">
        <v>-0.1</v>
      </c>
      <c r="F257" s="50">
        <v>0.03</v>
      </c>
      <c r="G257" s="50">
        <v>0.04</v>
      </c>
      <c r="H257" s="50">
        <v>7.0000000000000007E-2</v>
      </c>
      <c r="I257" s="50">
        <v>0.08</v>
      </c>
      <c r="J257" s="50">
        <v>0.09</v>
      </c>
      <c r="K257" s="50">
        <v>0.08</v>
      </c>
      <c r="L257" s="50">
        <v>0.14000000000000001</v>
      </c>
      <c r="M257" s="50">
        <v>0.15</v>
      </c>
      <c r="N257" s="50">
        <v>0.16</v>
      </c>
      <c r="O257" s="50">
        <v>0.09</v>
      </c>
      <c r="P257" s="50">
        <v>0.18</v>
      </c>
      <c r="Q257" s="50">
        <v>0.24</v>
      </c>
      <c r="R257" s="50">
        <v>0.23</v>
      </c>
      <c r="S257" s="50">
        <v>0.18</v>
      </c>
      <c r="T257" s="50">
        <v>0.15</v>
      </c>
      <c r="U257" s="50">
        <v>0.25</v>
      </c>
      <c r="V257" s="50">
        <v>0.4</v>
      </c>
      <c r="W257" s="50">
        <v>0.44</v>
      </c>
      <c r="X257" s="50">
        <v>0.43</v>
      </c>
      <c r="Y257" s="50">
        <v>0.51</v>
      </c>
      <c r="Z257" s="50">
        <v>0.56000000000000005</v>
      </c>
      <c r="AA257" s="50">
        <v>0.47</v>
      </c>
      <c r="AB257" s="50">
        <v>0.59</v>
      </c>
      <c r="AC257" s="50">
        <v>0.74</v>
      </c>
      <c r="AD257" s="50">
        <v>0.68</v>
      </c>
    </row>
    <row r="258" spans="1:30">
      <c r="A258" s="32" t="s">
        <v>549</v>
      </c>
      <c r="B258" s="50">
        <v>-0.15</v>
      </c>
      <c r="C258" s="50">
        <v>-0.17</v>
      </c>
      <c r="D258" s="50">
        <v>-0.06</v>
      </c>
      <c r="E258" s="50">
        <v>-0.15</v>
      </c>
      <c r="F258" s="50">
        <v>-0.1</v>
      </c>
      <c r="G258" s="50">
        <v>0</v>
      </c>
      <c r="H258" s="50">
        <v>0.04</v>
      </c>
      <c r="I258" s="50">
        <v>0.04</v>
      </c>
      <c r="J258" s="50">
        <v>4.9459999999999997E-2</v>
      </c>
      <c r="K258" s="50">
        <v>0.04</v>
      </c>
      <c r="L258" s="50">
        <v>8.8190000000000004E-2</v>
      </c>
      <c r="M258" s="50">
        <v>0.09</v>
      </c>
      <c r="N258" s="50">
        <v>0.11525000000000001</v>
      </c>
      <c r="O258" s="50">
        <v>5.6239999999999998E-2</v>
      </c>
      <c r="P258" s="50">
        <v>0.15</v>
      </c>
      <c r="Q258" s="50">
        <v>0.18</v>
      </c>
      <c r="R258" s="50">
        <v>0.16</v>
      </c>
      <c r="S258" s="50">
        <v>-0.05</v>
      </c>
      <c r="T258" s="50">
        <v>-0.26</v>
      </c>
      <c r="U258" s="50">
        <v>5.0290000000000001E-2</v>
      </c>
      <c r="V258" s="50">
        <v>0.03</v>
      </c>
      <c r="W258" s="50">
        <v>0</v>
      </c>
      <c r="X258" s="50">
        <v>0.01</v>
      </c>
      <c r="Y258" s="50">
        <v>0.08</v>
      </c>
      <c r="Z258" s="50">
        <v>0.08</v>
      </c>
      <c r="AA258" s="50">
        <v>0.06</v>
      </c>
      <c r="AB258" s="50">
        <v>0.35</v>
      </c>
      <c r="AC258" s="50">
        <v>0.33</v>
      </c>
      <c r="AD258" s="50">
        <v>0.23</v>
      </c>
    </row>
    <row r="259" spans="1:30">
      <c r="A259" s="32" t="s">
        <v>550</v>
      </c>
      <c r="B259" s="45">
        <v>2.9340000000000001E-2</v>
      </c>
      <c r="C259" s="45">
        <v>3.9600000000000003E-2</v>
      </c>
      <c r="D259" s="45">
        <v>1.421E-2</v>
      </c>
      <c r="E259" s="45">
        <v>1.521E-2</v>
      </c>
      <c r="F259" s="45">
        <v>4.9910000000000003E-2</v>
      </c>
      <c r="G259" s="45">
        <v>8.4799999999999997E-3</v>
      </c>
      <c r="H259" s="45">
        <v>1.0019999999999999E-2</v>
      </c>
      <c r="I259" s="45">
        <v>9.4999999999999998E-3</v>
      </c>
      <c r="J259" s="45">
        <v>8.5199999999999998E-3</v>
      </c>
      <c r="K259" s="45">
        <v>8.0199999999999994E-3</v>
      </c>
      <c r="L259" s="45">
        <v>1.047E-2</v>
      </c>
      <c r="M259" s="45">
        <v>1.24E-2</v>
      </c>
      <c r="N259" s="45">
        <v>9.9000000000000008E-3</v>
      </c>
      <c r="O259" s="45">
        <v>8.2199999999999999E-3</v>
      </c>
      <c r="P259" s="45">
        <v>8.43E-3</v>
      </c>
      <c r="Q259" s="45">
        <v>1.098E-2</v>
      </c>
      <c r="R259" s="45">
        <v>1.438E-2</v>
      </c>
      <c r="S259" s="45">
        <v>3.9440000000000003E-2</v>
      </c>
      <c r="T259" s="45">
        <v>9.0870000000000006E-2</v>
      </c>
      <c r="U259" s="45">
        <v>5.5539999999999999E-2</v>
      </c>
      <c r="V259" s="45">
        <v>7.1360000000000007E-2</v>
      </c>
      <c r="W259" s="45">
        <v>9.3520000000000006E-2</v>
      </c>
      <c r="X259" s="45">
        <v>9.0870000000000006E-2</v>
      </c>
      <c r="Y259" s="45">
        <v>0.10797</v>
      </c>
      <c r="Z259" s="45">
        <v>0.10982</v>
      </c>
      <c r="AA259" s="45">
        <v>0.10387</v>
      </c>
      <c r="AB259" s="45">
        <v>7.3849999999999999E-2</v>
      </c>
      <c r="AC259" s="45">
        <v>0.10721</v>
      </c>
      <c r="AD259" s="45">
        <v>0.11305999999999999</v>
      </c>
    </row>
    <row r="260" spans="1:30">
      <c r="A260" s="32" t="s">
        <v>551</v>
      </c>
      <c r="B260" s="33" t="s">
        <v>716</v>
      </c>
      <c r="C260" s="33" t="s">
        <v>717</v>
      </c>
      <c r="D260" s="33" t="s">
        <v>718</v>
      </c>
      <c r="E260" s="33" t="s">
        <v>719</v>
      </c>
      <c r="F260" s="33" t="s">
        <v>720</v>
      </c>
      <c r="G260" s="33" t="s">
        <v>638</v>
      </c>
      <c r="H260" s="33" t="s">
        <v>721</v>
      </c>
      <c r="I260" s="33" t="s">
        <v>722</v>
      </c>
      <c r="J260" s="33" t="s">
        <v>723</v>
      </c>
      <c r="K260" s="33" t="s">
        <v>603</v>
      </c>
      <c r="L260" s="33" t="s">
        <v>724</v>
      </c>
      <c r="M260" s="33" t="s">
        <v>725</v>
      </c>
      <c r="N260" s="33" t="s">
        <v>725</v>
      </c>
      <c r="O260" s="33" t="s">
        <v>726</v>
      </c>
      <c r="P260" s="33" t="s">
        <v>607</v>
      </c>
      <c r="Q260" s="33" t="s">
        <v>727</v>
      </c>
      <c r="R260" s="33" t="s">
        <v>728</v>
      </c>
      <c r="S260" s="33" t="s">
        <v>725</v>
      </c>
      <c r="T260" s="33" t="s">
        <v>723</v>
      </c>
      <c r="U260" s="33" t="s">
        <v>726</v>
      </c>
      <c r="V260" s="33" t="s">
        <v>729</v>
      </c>
      <c r="W260" s="33" t="s">
        <v>730</v>
      </c>
      <c r="X260" s="33" t="s">
        <v>730</v>
      </c>
      <c r="Y260" s="33" t="s">
        <v>730</v>
      </c>
      <c r="Z260" s="33" t="s">
        <v>731</v>
      </c>
      <c r="AA260" s="33" t="s">
        <v>610</v>
      </c>
      <c r="AB260" s="33" t="s">
        <v>610</v>
      </c>
      <c r="AC260" s="33" t="s">
        <v>610</v>
      </c>
      <c r="AD260" s="33" t="s">
        <v>610</v>
      </c>
    </row>
    <row r="261" spans="1:30">
      <c r="A261" s="32" t="s">
        <v>561</v>
      </c>
      <c r="B261" s="33" t="s">
        <v>39</v>
      </c>
      <c r="C261" s="33" t="s">
        <v>39</v>
      </c>
      <c r="D261" s="33" t="s">
        <v>39</v>
      </c>
      <c r="E261" s="33" t="s">
        <v>39</v>
      </c>
      <c r="F261" s="33" t="s">
        <v>39</v>
      </c>
      <c r="G261" s="51">
        <v>0</v>
      </c>
      <c r="H261" s="51">
        <v>0.03</v>
      </c>
      <c r="I261" s="51">
        <v>0.04</v>
      </c>
      <c r="J261" s="51">
        <v>0.05</v>
      </c>
      <c r="K261" s="51">
        <v>0.03</v>
      </c>
      <c r="L261" s="51">
        <v>0.09</v>
      </c>
      <c r="M261" s="51">
        <v>0.08</v>
      </c>
      <c r="N261" s="51">
        <v>0.12</v>
      </c>
      <c r="O261" s="51">
        <v>0.06</v>
      </c>
      <c r="P261" s="51">
        <v>0.14000000000000001</v>
      </c>
      <c r="Q261" s="51">
        <v>0.18</v>
      </c>
      <c r="R261" s="51">
        <v>0.19</v>
      </c>
      <c r="S261" s="33" t="s">
        <v>39</v>
      </c>
      <c r="T261" s="33" t="s">
        <v>39</v>
      </c>
      <c r="U261" s="33" t="s">
        <v>39</v>
      </c>
      <c r="V261" s="33" t="s">
        <v>39</v>
      </c>
      <c r="W261" s="33" t="s">
        <v>39</v>
      </c>
      <c r="X261" s="33" t="s">
        <v>39</v>
      </c>
      <c r="Y261" s="33" t="s">
        <v>39</v>
      </c>
      <c r="Z261" s="33" t="s">
        <v>39</v>
      </c>
      <c r="AA261" s="33" t="s">
        <v>39</v>
      </c>
      <c r="AB261" s="33" t="s">
        <v>39</v>
      </c>
      <c r="AC261" s="33" t="s">
        <v>39</v>
      </c>
      <c r="AD261" s="33" t="s">
        <v>39</v>
      </c>
    </row>
    <row r="262" spans="1:30">
      <c r="A262" s="32" t="s">
        <v>562</v>
      </c>
      <c r="B262" s="33" t="s">
        <v>39</v>
      </c>
      <c r="C262" s="33" t="s">
        <v>39</v>
      </c>
      <c r="D262" s="33" t="s">
        <v>39</v>
      </c>
      <c r="E262" s="33" t="s">
        <v>39</v>
      </c>
      <c r="F262" s="33" t="s">
        <v>39</v>
      </c>
      <c r="G262" s="52">
        <v>0.02</v>
      </c>
      <c r="H262" s="52">
        <v>0.05</v>
      </c>
      <c r="I262" s="52">
        <v>0.05</v>
      </c>
      <c r="J262" s="52">
        <v>0.06</v>
      </c>
      <c r="K262" s="52">
        <v>0.05</v>
      </c>
      <c r="L262" s="52">
        <v>0.11</v>
      </c>
      <c r="M262" s="52">
        <v>0.1</v>
      </c>
      <c r="N262" s="52">
        <v>0.13</v>
      </c>
      <c r="O262" s="52">
        <v>0.08</v>
      </c>
      <c r="P262" s="52">
        <v>0.16</v>
      </c>
      <c r="Q262" s="52">
        <v>0.2</v>
      </c>
      <c r="R262" s="52">
        <v>0.21</v>
      </c>
      <c r="S262" s="52">
        <v>0.16</v>
      </c>
      <c r="T262" s="33" t="s">
        <v>39</v>
      </c>
      <c r="U262" s="33" t="s">
        <v>39</v>
      </c>
      <c r="V262" s="33" t="s">
        <v>39</v>
      </c>
      <c r="W262" s="33" t="s">
        <v>39</v>
      </c>
      <c r="X262" s="33" t="s">
        <v>39</v>
      </c>
      <c r="Y262" s="33" t="s">
        <v>39</v>
      </c>
      <c r="Z262" s="33" t="s">
        <v>39</v>
      </c>
      <c r="AA262" s="33" t="s">
        <v>39</v>
      </c>
      <c r="AB262" s="33" t="s">
        <v>39</v>
      </c>
      <c r="AC262" s="33" t="s">
        <v>39</v>
      </c>
      <c r="AD262" s="33" t="s">
        <v>39</v>
      </c>
    </row>
    <row r="263" spans="1:30">
      <c r="A263" s="32" t="s">
        <v>563</v>
      </c>
      <c r="B263" s="33" t="s">
        <v>564</v>
      </c>
      <c r="C263" s="33" t="s">
        <v>564</v>
      </c>
      <c r="D263" s="33" t="s">
        <v>564</v>
      </c>
      <c r="E263" s="33" t="s">
        <v>564</v>
      </c>
      <c r="F263" s="33" t="s">
        <v>564</v>
      </c>
      <c r="G263" s="33" t="s">
        <v>564</v>
      </c>
      <c r="H263" s="33" t="s">
        <v>564</v>
      </c>
      <c r="I263" s="33" t="s">
        <v>564</v>
      </c>
      <c r="J263" s="33" t="s">
        <v>564</v>
      </c>
      <c r="K263" s="33" t="s">
        <v>564</v>
      </c>
      <c r="L263" s="33" t="s">
        <v>564</v>
      </c>
      <c r="M263" s="33" t="s">
        <v>564</v>
      </c>
      <c r="N263" s="33" t="s">
        <v>564</v>
      </c>
      <c r="O263" s="33" t="s">
        <v>564</v>
      </c>
      <c r="P263" s="33" t="s">
        <v>564</v>
      </c>
      <c r="Q263" s="33" t="s">
        <v>564</v>
      </c>
      <c r="R263" s="33" t="s">
        <v>564</v>
      </c>
      <c r="S263" s="33" t="s">
        <v>564</v>
      </c>
      <c r="T263" s="33" t="s">
        <v>564</v>
      </c>
      <c r="U263" s="33" t="s">
        <v>564</v>
      </c>
      <c r="V263" s="33" t="s">
        <v>564</v>
      </c>
      <c r="W263" s="33" t="s">
        <v>564</v>
      </c>
      <c r="X263" s="33" t="s">
        <v>564</v>
      </c>
      <c r="Y263" s="33" t="s">
        <v>564</v>
      </c>
      <c r="Z263" s="33" t="s">
        <v>564</v>
      </c>
      <c r="AA263" s="33" t="s">
        <v>564</v>
      </c>
      <c r="AB263" s="33" t="s">
        <v>564</v>
      </c>
      <c r="AC263" s="33" t="s">
        <v>564</v>
      </c>
      <c r="AD263" s="33" t="s">
        <v>564</v>
      </c>
    </row>
    <row r="264" spans="1:30">
      <c r="A264" s="4" t="s">
        <v>565</v>
      </c>
      <c r="B264" s="49">
        <v>-0.34</v>
      </c>
      <c r="C264" s="49">
        <v>-0.28999999999999998</v>
      </c>
      <c r="D264" s="49">
        <v>-0.08</v>
      </c>
      <c r="E264" s="49">
        <v>-0.09</v>
      </c>
      <c r="F264" s="49">
        <v>-0.04</v>
      </c>
      <c r="G264" s="49">
        <v>-0.04</v>
      </c>
      <c r="H264" s="49">
        <v>-0.04</v>
      </c>
      <c r="I264" s="49">
        <v>-0.04</v>
      </c>
      <c r="J264" s="49">
        <v>-0.04</v>
      </c>
      <c r="K264" s="49">
        <v>-0.06</v>
      </c>
      <c r="L264" s="49">
        <v>-0.01</v>
      </c>
      <c r="M264" s="49">
        <v>0.04</v>
      </c>
      <c r="N264" s="49">
        <v>-7.0000000000000007E-2</v>
      </c>
      <c r="O264" s="49">
        <v>-0.09</v>
      </c>
      <c r="P264" s="49">
        <v>-0.02</v>
      </c>
      <c r="Q264" s="49">
        <v>0.06</v>
      </c>
      <c r="R264" s="49">
        <v>0.83</v>
      </c>
      <c r="S264" s="49">
        <v>-0.24</v>
      </c>
      <c r="T264" s="49">
        <v>-0.03</v>
      </c>
      <c r="U264" s="49">
        <v>7.0000000000000007E-2</v>
      </c>
      <c r="V264" s="50">
        <v>1.3509999999999999E-2</v>
      </c>
      <c r="W264" s="50">
        <v>-6.9499999999999996E-3</v>
      </c>
      <c r="X264" s="50">
        <v>1.6490000000000001E-2</v>
      </c>
      <c r="Y264" s="50">
        <v>1.959E-2</v>
      </c>
      <c r="Z264" s="50">
        <v>3.9260000000000003E-2</v>
      </c>
      <c r="AA264" s="50">
        <v>5.441E-2</v>
      </c>
      <c r="AB264" s="50">
        <v>0.10977000000000001</v>
      </c>
      <c r="AC264" s="50">
        <v>0.13963</v>
      </c>
      <c r="AD264" s="50">
        <v>0.15487000000000001</v>
      </c>
    </row>
    <row r="265" spans="1:30">
      <c r="A265" s="32" t="s">
        <v>546</v>
      </c>
      <c r="B265" s="50">
        <v>-0.17318</v>
      </c>
      <c r="C265" s="50">
        <v>-0.12343999999999999</v>
      </c>
      <c r="D265" s="50">
        <v>-0.12113</v>
      </c>
      <c r="E265" s="50">
        <v>-0.11461</v>
      </c>
      <c r="F265" s="50">
        <v>-8.5290000000000005E-2</v>
      </c>
      <c r="G265" s="50">
        <v>-8.2500000000000004E-2</v>
      </c>
      <c r="H265" s="50">
        <v>-5.357E-2</v>
      </c>
      <c r="I265" s="50">
        <v>-5.5449999999999999E-2</v>
      </c>
      <c r="J265" s="50">
        <v>-3.8920000000000003E-2</v>
      </c>
      <c r="K265" s="50">
        <v>-6.429E-2</v>
      </c>
      <c r="L265" s="50">
        <v>-5.8270000000000002E-2</v>
      </c>
      <c r="M265" s="50">
        <v>-6.2859999999999999E-2</v>
      </c>
      <c r="N265" s="50">
        <v>-8.9289999999999994E-2</v>
      </c>
      <c r="O265" s="50">
        <v>-0.1</v>
      </c>
      <c r="P265" s="50">
        <v>-4.2500000000000003E-2</v>
      </c>
      <c r="Q265" s="50">
        <v>-2.6800000000000001E-3</v>
      </c>
      <c r="R265" s="50">
        <v>1.487E-2</v>
      </c>
      <c r="S265" s="50">
        <v>-6.0420000000000001E-2</v>
      </c>
      <c r="T265" s="50">
        <v>-0.23821999999999999</v>
      </c>
      <c r="U265" s="50">
        <v>-7.9469999999999999E-2</v>
      </c>
      <c r="V265" s="33" t="s">
        <v>39</v>
      </c>
      <c r="W265" s="33" t="s">
        <v>39</v>
      </c>
      <c r="X265" s="33" t="s">
        <v>39</v>
      </c>
      <c r="Y265" s="33" t="s">
        <v>39</v>
      </c>
      <c r="Z265" s="33" t="s">
        <v>39</v>
      </c>
      <c r="AA265" s="33" t="s">
        <v>39</v>
      </c>
      <c r="AB265" s="33" t="s">
        <v>39</v>
      </c>
      <c r="AC265" s="33" t="s">
        <v>39</v>
      </c>
      <c r="AD265" s="33" t="s">
        <v>39</v>
      </c>
    </row>
    <row r="266" spans="1:30">
      <c r="A266" s="32" t="s">
        <v>547</v>
      </c>
      <c r="B266" s="50">
        <v>-0.17499999999999999</v>
      </c>
      <c r="C266" s="50">
        <v>-0.14000000000000001</v>
      </c>
      <c r="D266" s="50">
        <v>-0.12</v>
      </c>
      <c r="E266" s="50">
        <v>-0.12</v>
      </c>
      <c r="F266" s="50">
        <v>-0.09</v>
      </c>
      <c r="G266" s="50">
        <v>-8.5000000000000006E-2</v>
      </c>
      <c r="H266" s="50">
        <v>-5.5E-2</v>
      </c>
      <c r="I266" s="50">
        <v>-5.5E-2</v>
      </c>
      <c r="J266" s="50">
        <v>-0.04</v>
      </c>
      <c r="K266" s="50">
        <v>-0.06</v>
      </c>
      <c r="L266" s="50">
        <v>-7.0000000000000007E-2</v>
      </c>
      <c r="M266" s="50">
        <v>-0.06</v>
      </c>
      <c r="N266" s="50">
        <v>-0.12076000000000001</v>
      </c>
      <c r="O266" s="50">
        <v>-0.1</v>
      </c>
      <c r="P266" s="50">
        <v>-0.05</v>
      </c>
      <c r="Q266" s="50">
        <v>-0.01</v>
      </c>
      <c r="R266" s="50">
        <v>0.01</v>
      </c>
      <c r="S266" s="50">
        <v>-0.06</v>
      </c>
      <c r="T266" s="50">
        <v>-0.26</v>
      </c>
      <c r="U266" s="50">
        <v>-7.0000000000000007E-2</v>
      </c>
      <c r="V266" s="50">
        <v>-7.9399999999999991E-3</v>
      </c>
      <c r="W266" s="50">
        <v>-2.0049999999999998E-2</v>
      </c>
      <c r="X266" s="50">
        <v>7.9399999999999991E-3</v>
      </c>
      <c r="Y266" s="50">
        <v>4.4999999999999998E-2</v>
      </c>
      <c r="Z266" s="50">
        <v>7.0000000000000007E-2</v>
      </c>
      <c r="AA266" s="50">
        <v>0.09</v>
      </c>
      <c r="AB266" s="50">
        <v>0.11</v>
      </c>
      <c r="AC266" s="50">
        <v>0.14000000000000001</v>
      </c>
      <c r="AD266" s="50">
        <v>0.2</v>
      </c>
    </row>
    <row r="267" spans="1:30">
      <c r="A267" s="32" t="s">
        <v>548</v>
      </c>
      <c r="B267" s="50">
        <v>-6.3130000000000006E-2</v>
      </c>
      <c r="C267" s="50">
        <v>-0.05</v>
      </c>
      <c r="D267" s="50">
        <v>-0.1</v>
      </c>
      <c r="E267" s="50">
        <v>-0.09</v>
      </c>
      <c r="F267" s="50">
        <v>-7.0000000000000007E-2</v>
      </c>
      <c r="G267" s="50">
        <v>-0.06</v>
      </c>
      <c r="H267" s="50">
        <v>-0.02</v>
      </c>
      <c r="I267" s="50">
        <v>-0.03</v>
      </c>
      <c r="J267" s="50">
        <v>-0.02</v>
      </c>
      <c r="K267" s="50">
        <v>-0.04</v>
      </c>
      <c r="L267" s="50">
        <v>-0.01</v>
      </c>
      <c r="M267" s="50">
        <v>-0.03</v>
      </c>
      <c r="N267" s="50">
        <v>-0.02</v>
      </c>
      <c r="O267" s="50">
        <v>-0.08</v>
      </c>
      <c r="P267" s="50">
        <v>-0.02</v>
      </c>
      <c r="Q267" s="50">
        <v>0.06</v>
      </c>
      <c r="R267" s="50">
        <v>4.342E-2</v>
      </c>
      <c r="S267" s="50">
        <v>-1.609E-2</v>
      </c>
      <c r="T267" s="50">
        <v>-0.03</v>
      </c>
      <c r="U267" s="50">
        <v>-0.01</v>
      </c>
      <c r="V267" s="50">
        <v>0.33</v>
      </c>
      <c r="W267" s="50">
        <v>0.44</v>
      </c>
      <c r="X267" s="50">
        <v>0.43</v>
      </c>
      <c r="Y267" s="50">
        <v>0.21</v>
      </c>
      <c r="Z267" s="50">
        <v>0.17</v>
      </c>
      <c r="AA267" s="50">
        <v>0.17061999999999999</v>
      </c>
      <c r="AB267" s="50">
        <v>0.21958</v>
      </c>
      <c r="AC267" s="50">
        <v>0.25963999999999998</v>
      </c>
      <c r="AD267" s="50">
        <v>0.33712999999999999</v>
      </c>
    </row>
    <row r="268" spans="1:30">
      <c r="A268" s="32" t="s">
        <v>549</v>
      </c>
      <c r="B268" s="50">
        <v>-0.25594</v>
      </c>
      <c r="C268" s="50">
        <v>-0.17</v>
      </c>
      <c r="D268" s="50">
        <v>-0.14000000000000001</v>
      </c>
      <c r="E268" s="50">
        <v>-0.15</v>
      </c>
      <c r="F268" s="50">
        <v>-0.1</v>
      </c>
      <c r="G268" s="50">
        <v>-0.09</v>
      </c>
      <c r="H268" s="50">
        <v>-0.08</v>
      </c>
      <c r="I268" s="50">
        <v>-7.0000000000000007E-2</v>
      </c>
      <c r="J268" s="50">
        <v>-0.05</v>
      </c>
      <c r="K268" s="50">
        <v>-0.08</v>
      </c>
      <c r="L268" s="50">
        <v>-0.08</v>
      </c>
      <c r="M268" s="50">
        <v>-0.09</v>
      </c>
      <c r="N268" s="50">
        <v>-0.14000000000000001</v>
      </c>
      <c r="O268" s="50">
        <v>-0.12</v>
      </c>
      <c r="P268" s="50">
        <v>-0.06</v>
      </c>
      <c r="Q268" s="50">
        <v>-0.02</v>
      </c>
      <c r="R268" s="50">
        <v>-0.02</v>
      </c>
      <c r="S268" s="50">
        <v>-0.11</v>
      </c>
      <c r="T268" s="50">
        <v>-0.43</v>
      </c>
      <c r="U268" s="50">
        <v>-0.19</v>
      </c>
      <c r="V268" s="50">
        <v>-0.2</v>
      </c>
      <c r="W268" s="50">
        <v>-0.25</v>
      </c>
      <c r="X268" s="50">
        <v>-0.23</v>
      </c>
      <c r="Y268" s="50">
        <v>-0.25</v>
      </c>
      <c r="Z268" s="50">
        <v>-0.24</v>
      </c>
      <c r="AA268" s="50">
        <v>-0.24</v>
      </c>
      <c r="AB268" s="50">
        <v>0.03</v>
      </c>
      <c r="AC268" s="50">
        <v>0.01</v>
      </c>
      <c r="AD268" s="50">
        <v>-0.1</v>
      </c>
    </row>
    <row r="269" spans="1:30">
      <c r="A269" s="32" t="s">
        <v>550</v>
      </c>
      <c r="B269" s="45">
        <v>6.0749999999999998E-2</v>
      </c>
      <c r="C269" s="45">
        <v>3.8890000000000001E-2</v>
      </c>
      <c r="D269" s="45">
        <v>1.149E-2</v>
      </c>
      <c r="E269" s="45">
        <v>1.3780000000000001E-2</v>
      </c>
      <c r="F269" s="45">
        <v>7.7600000000000004E-3</v>
      </c>
      <c r="G269" s="45">
        <v>9.0100000000000006E-3</v>
      </c>
      <c r="H269" s="45">
        <v>1.6740000000000001E-2</v>
      </c>
      <c r="I269" s="45">
        <v>9.6299999999999997E-3</v>
      </c>
      <c r="J269" s="45">
        <v>9.0799999999999995E-3</v>
      </c>
      <c r="K269" s="45">
        <v>9.7900000000000001E-3</v>
      </c>
      <c r="L269" s="45">
        <v>2.231E-2</v>
      </c>
      <c r="M269" s="45">
        <v>1.8679999999999999E-2</v>
      </c>
      <c r="N269" s="45">
        <v>4.9320000000000003E-2</v>
      </c>
      <c r="O269" s="45">
        <v>1.155E-2</v>
      </c>
      <c r="P269" s="45">
        <v>1.4789999999999999E-2</v>
      </c>
      <c r="Q269" s="45">
        <v>1.7409999999999998E-2</v>
      </c>
      <c r="R269" s="45">
        <v>1.6240000000000001E-2</v>
      </c>
      <c r="S269" s="45">
        <v>2.5600000000000001E-2</v>
      </c>
      <c r="T269" s="45">
        <v>0.10334</v>
      </c>
      <c r="U269" s="45">
        <v>5.45E-2</v>
      </c>
      <c r="V269" s="45">
        <v>0.11252</v>
      </c>
      <c r="W269" s="45">
        <v>0.14291000000000001</v>
      </c>
      <c r="X269" s="45">
        <v>0.13420000000000001</v>
      </c>
      <c r="Y269" s="45">
        <v>0.12325999999999999</v>
      </c>
      <c r="Z269" s="45">
        <v>0.12139999999999999</v>
      </c>
      <c r="AA269" s="45">
        <v>0.13</v>
      </c>
      <c r="AB269" s="45">
        <v>6.053E-2</v>
      </c>
      <c r="AC269" s="45">
        <v>7.8969999999999999E-2</v>
      </c>
      <c r="AD269" s="45">
        <v>0.12970000000000001</v>
      </c>
    </row>
    <row r="270" spans="1:30">
      <c r="A270" s="32" t="s">
        <v>551</v>
      </c>
      <c r="B270" s="33" t="s">
        <v>682</v>
      </c>
      <c r="C270" s="33" t="s">
        <v>665</v>
      </c>
      <c r="D270" s="33" t="s">
        <v>619</v>
      </c>
      <c r="E270" s="33" t="s">
        <v>732</v>
      </c>
      <c r="F270" s="33" t="s">
        <v>634</v>
      </c>
      <c r="G270" s="33" t="s">
        <v>733</v>
      </c>
      <c r="H270" s="33" t="s">
        <v>569</v>
      </c>
      <c r="I270" s="33" t="s">
        <v>734</v>
      </c>
      <c r="J270" s="33" t="s">
        <v>640</v>
      </c>
      <c r="K270" s="33" t="s">
        <v>569</v>
      </c>
      <c r="L270" s="33" t="s">
        <v>619</v>
      </c>
      <c r="M270" s="33" t="s">
        <v>569</v>
      </c>
      <c r="N270" s="33" t="s">
        <v>610</v>
      </c>
      <c r="O270" s="33" t="s">
        <v>658</v>
      </c>
      <c r="P270" s="33" t="s">
        <v>610</v>
      </c>
      <c r="Q270" s="33" t="s">
        <v>657</v>
      </c>
      <c r="R270" s="33" t="s">
        <v>658</v>
      </c>
      <c r="S270" s="33" t="s">
        <v>601</v>
      </c>
      <c r="T270" s="33" t="s">
        <v>658</v>
      </c>
      <c r="U270" s="33" t="s">
        <v>735</v>
      </c>
      <c r="V270" s="33" t="s">
        <v>732</v>
      </c>
      <c r="W270" s="33" t="s">
        <v>572</v>
      </c>
      <c r="X270" s="33" t="s">
        <v>572</v>
      </c>
      <c r="Y270" s="33" t="s">
        <v>572</v>
      </c>
      <c r="Z270" s="33" t="s">
        <v>717</v>
      </c>
      <c r="AA270" s="33" t="s">
        <v>580</v>
      </c>
      <c r="AB270" s="33" t="s">
        <v>580</v>
      </c>
      <c r="AC270" s="33" t="s">
        <v>580</v>
      </c>
      <c r="AD270" s="33" t="s">
        <v>580</v>
      </c>
    </row>
    <row r="271" spans="1:30">
      <c r="A271" s="32" t="s">
        <v>561</v>
      </c>
      <c r="B271" s="33" t="s">
        <v>39</v>
      </c>
      <c r="C271" s="33" t="s">
        <v>39</v>
      </c>
      <c r="D271" s="33" t="s">
        <v>39</v>
      </c>
      <c r="E271" s="33" t="s">
        <v>39</v>
      </c>
      <c r="F271" s="33" t="s">
        <v>39</v>
      </c>
      <c r="G271" s="51">
        <v>-0.09</v>
      </c>
      <c r="H271" s="51">
        <v>-0.09</v>
      </c>
      <c r="I271" s="51">
        <v>-7.0000000000000007E-2</v>
      </c>
      <c r="J271" s="51">
        <v>-7.0000000000000007E-2</v>
      </c>
      <c r="K271" s="51">
        <v>-0.09</v>
      </c>
      <c r="L271" s="51">
        <v>-0.08</v>
      </c>
      <c r="M271" s="51">
        <v>-0.09</v>
      </c>
      <c r="N271" s="51">
        <v>-0.14000000000000001</v>
      </c>
      <c r="O271" s="51">
        <v>-0.12</v>
      </c>
      <c r="P271" s="51">
        <v>-7.0000000000000007E-2</v>
      </c>
      <c r="Q271" s="51">
        <v>-0.02</v>
      </c>
      <c r="R271" s="51">
        <v>-0.01</v>
      </c>
      <c r="S271" s="33" t="s">
        <v>39</v>
      </c>
      <c r="T271" s="33" t="s">
        <v>39</v>
      </c>
      <c r="U271" s="33" t="s">
        <v>39</v>
      </c>
      <c r="V271" s="33" t="s">
        <v>39</v>
      </c>
      <c r="W271" s="33" t="s">
        <v>39</v>
      </c>
      <c r="X271" s="33" t="s">
        <v>39</v>
      </c>
      <c r="Y271" s="33" t="s">
        <v>39</v>
      </c>
      <c r="Z271" s="33" t="s">
        <v>39</v>
      </c>
      <c r="AA271" s="33" t="s">
        <v>39</v>
      </c>
      <c r="AB271" s="33" t="s">
        <v>39</v>
      </c>
      <c r="AC271" s="33" t="s">
        <v>39</v>
      </c>
      <c r="AD271" s="33" t="s">
        <v>39</v>
      </c>
    </row>
    <row r="272" spans="1:30">
      <c r="A272" s="32" t="s">
        <v>562</v>
      </c>
      <c r="B272" s="33" t="s">
        <v>39</v>
      </c>
      <c r="C272" s="33" t="s">
        <v>39</v>
      </c>
      <c r="D272" s="33" t="s">
        <v>39</v>
      </c>
      <c r="E272" s="33" t="s">
        <v>39</v>
      </c>
      <c r="F272" s="33" t="s">
        <v>39</v>
      </c>
      <c r="G272" s="52">
        <v>-7.0000000000000007E-2</v>
      </c>
      <c r="H272" s="52">
        <v>-7.0000000000000007E-2</v>
      </c>
      <c r="I272" s="52">
        <v>-0.06</v>
      </c>
      <c r="J272" s="52">
        <v>-0.06</v>
      </c>
      <c r="K272" s="52">
        <v>-7.0000000000000007E-2</v>
      </c>
      <c r="L272" s="52">
        <v>-0.06</v>
      </c>
      <c r="M272" s="52">
        <v>-7.0000000000000007E-2</v>
      </c>
      <c r="N272" s="52">
        <v>-0.13</v>
      </c>
      <c r="O272" s="52">
        <v>-0.1</v>
      </c>
      <c r="P272" s="52">
        <v>-0.05</v>
      </c>
      <c r="Q272" s="52">
        <v>0</v>
      </c>
      <c r="R272" s="52">
        <v>0.01</v>
      </c>
      <c r="S272" s="52">
        <v>-0.04</v>
      </c>
      <c r="T272" s="33" t="s">
        <v>39</v>
      </c>
      <c r="U272" s="33" t="s">
        <v>39</v>
      </c>
      <c r="V272" s="33" t="s">
        <v>39</v>
      </c>
      <c r="W272" s="33" t="s">
        <v>39</v>
      </c>
      <c r="X272" s="33" t="s">
        <v>39</v>
      </c>
      <c r="Y272" s="33" t="s">
        <v>39</v>
      </c>
      <c r="Z272" s="33" t="s">
        <v>39</v>
      </c>
      <c r="AA272" s="33" t="s">
        <v>39</v>
      </c>
      <c r="AB272" s="33" t="s">
        <v>39</v>
      </c>
      <c r="AC272" s="33" t="s">
        <v>39</v>
      </c>
      <c r="AD272" s="33" t="s">
        <v>39</v>
      </c>
    </row>
    <row r="273" spans="1:30">
      <c r="A273" s="32" t="s">
        <v>563</v>
      </c>
      <c r="B273" s="33" t="s">
        <v>564</v>
      </c>
      <c r="C273" s="33" t="s">
        <v>564</v>
      </c>
      <c r="D273" s="33" t="s">
        <v>564</v>
      </c>
      <c r="E273" s="33" t="s">
        <v>564</v>
      </c>
      <c r="F273" s="33" t="s">
        <v>564</v>
      </c>
      <c r="G273" s="33" t="s">
        <v>564</v>
      </c>
      <c r="H273" s="33" t="s">
        <v>564</v>
      </c>
      <c r="I273" s="33" t="s">
        <v>564</v>
      </c>
      <c r="J273" s="33" t="s">
        <v>564</v>
      </c>
      <c r="K273" s="33" t="s">
        <v>564</v>
      </c>
      <c r="L273" s="33" t="s">
        <v>564</v>
      </c>
      <c r="M273" s="33" t="s">
        <v>564</v>
      </c>
      <c r="N273" s="33" t="s">
        <v>564</v>
      </c>
      <c r="O273" s="33" t="s">
        <v>564</v>
      </c>
      <c r="P273" s="33" t="s">
        <v>564</v>
      </c>
      <c r="Q273" s="33" t="s">
        <v>564</v>
      </c>
      <c r="R273" s="33" t="s">
        <v>564</v>
      </c>
      <c r="S273" s="33" t="s">
        <v>564</v>
      </c>
      <c r="T273" s="33" t="s">
        <v>564</v>
      </c>
      <c r="U273" s="33" t="s">
        <v>564</v>
      </c>
      <c r="V273" s="33" t="s">
        <v>564</v>
      </c>
      <c r="W273" s="33" t="s">
        <v>564</v>
      </c>
      <c r="X273" s="33" t="s">
        <v>564</v>
      </c>
      <c r="Y273" s="33" t="s">
        <v>564</v>
      </c>
      <c r="Z273" s="33" t="s">
        <v>564</v>
      </c>
      <c r="AA273" s="33" t="s">
        <v>564</v>
      </c>
      <c r="AB273" s="33" t="s">
        <v>564</v>
      </c>
      <c r="AC273" s="33" t="s">
        <v>564</v>
      </c>
      <c r="AD273" s="33" t="s">
        <v>564</v>
      </c>
    </row>
    <row r="274" spans="1:30">
      <c r="A274" s="4" t="s">
        <v>574</v>
      </c>
      <c r="B274" s="33" t="s">
        <v>39</v>
      </c>
      <c r="C274" s="33" t="s">
        <v>39</v>
      </c>
      <c r="D274" s="33" t="s">
        <v>39</v>
      </c>
      <c r="E274" s="33" t="s">
        <v>39</v>
      </c>
      <c r="F274" s="49">
        <v>8.0399999999999999E-2</v>
      </c>
      <c r="G274" s="33" t="s">
        <v>39</v>
      </c>
      <c r="H274" s="33" t="s">
        <v>39</v>
      </c>
      <c r="I274" s="33" t="s">
        <v>39</v>
      </c>
      <c r="J274" s="33" t="s">
        <v>39</v>
      </c>
      <c r="K274" s="33" t="s">
        <v>39</v>
      </c>
      <c r="L274" s="33" t="s">
        <v>39</v>
      </c>
      <c r="M274" s="33" t="s">
        <v>39</v>
      </c>
      <c r="N274" s="33" t="s">
        <v>39</v>
      </c>
      <c r="O274" s="33" t="s">
        <v>39</v>
      </c>
      <c r="P274" s="33" t="s">
        <v>39</v>
      </c>
      <c r="Q274" s="49">
        <v>0.3</v>
      </c>
      <c r="R274" s="49">
        <v>0.2641</v>
      </c>
      <c r="S274" s="49">
        <v>2.6200000000000001E-2</v>
      </c>
      <c r="T274" s="49">
        <v>0.25</v>
      </c>
      <c r="U274" s="49">
        <v>0.38400000000000001</v>
      </c>
      <c r="V274" s="50">
        <v>0.36626999999999998</v>
      </c>
      <c r="W274" s="50">
        <v>0.29188999999999998</v>
      </c>
      <c r="X274" s="50">
        <v>0.35413</v>
      </c>
      <c r="Y274" s="50">
        <v>0.46237</v>
      </c>
      <c r="Z274" s="50">
        <v>0.51244999999999996</v>
      </c>
      <c r="AA274" s="50">
        <v>0.41588000000000003</v>
      </c>
      <c r="AB274" s="50">
        <v>0.53378000000000003</v>
      </c>
      <c r="AC274" s="50">
        <v>0.71018999999999999</v>
      </c>
      <c r="AD274" s="50">
        <v>0.74402000000000001</v>
      </c>
    </row>
    <row r="275" spans="1:30">
      <c r="A275" s="32" t="s">
        <v>546</v>
      </c>
      <c r="B275" s="33" t="s">
        <v>39</v>
      </c>
      <c r="C275" s="33" t="s">
        <v>39</v>
      </c>
      <c r="D275" s="33" t="s">
        <v>39</v>
      </c>
      <c r="E275" s="33" t="s">
        <v>39</v>
      </c>
      <c r="F275" s="50">
        <v>0.05</v>
      </c>
      <c r="G275" s="33" t="s">
        <v>39</v>
      </c>
      <c r="H275" s="33" t="s">
        <v>39</v>
      </c>
      <c r="I275" s="33" t="s">
        <v>39</v>
      </c>
      <c r="J275" s="33" t="s">
        <v>39</v>
      </c>
      <c r="K275" s="33" t="s">
        <v>39</v>
      </c>
      <c r="L275" s="33" t="s">
        <v>39</v>
      </c>
      <c r="M275" s="33" t="s">
        <v>39</v>
      </c>
      <c r="N275" s="33" t="s">
        <v>39</v>
      </c>
      <c r="O275" s="33" t="s">
        <v>39</v>
      </c>
      <c r="P275" s="33" t="s">
        <v>39</v>
      </c>
      <c r="Q275" s="50">
        <v>0.28623999999999999</v>
      </c>
      <c r="R275" s="50">
        <v>0.29631999999999997</v>
      </c>
      <c r="S275" s="50">
        <v>0.20327999999999999</v>
      </c>
      <c r="T275" s="50">
        <v>-7.4819999999999998E-2</v>
      </c>
      <c r="U275" s="50">
        <v>0.25838</v>
      </c>
      <c r="V275" s="33" t="s">
        <v>39</v>
      </c>
      <c r="W275" s="33" t="s">
        <v>39</v>
      </c>
      <c r="X275" s="33" t="s">
        <v>39</v>
      </c>
      <c r="Y275" s="33" t="s">
        <v>39</v>
      </c>
      <c r="Z275" s="33" t="s">
        <v>39</v>
      </c>
      <c r="AA275" s="33" t="s">
        <v>39</v>
      </c>
      <c r="AB275" s="33" t="s">
        <v>39</v>
      </c>
      <c r="AC275" s="33" t="s">
        <v>39</v>
      </c>
      <c r="AD275" s="33" t="s">
        <v>39</v>
      </c>
    </row>
    <row r="276" spans="1:30">
      <c r="A276" s="32" t="s">
        <v>547</v>
      </c>
      <c r="B276" s="33" t="s">
        <v>39</v>
      </c>
      <c r="C276" s="33" t="s">
        <v>39</v>
      </c>
      <c r="D276" s="33" t="s">
        <v>39</v>
      </c>
      <c r="E276" s="33" t="s">
        <v>39</v>
      </c>
      <c r="F276" s="50">
        <v>0.05</v>
      </c>
      <c r="G276" s="33" t="s">
        <v>39</v>
      </c>
      <c r="H276" s="33" t="s">
        <v>39</v>
      </c>
      <c r="I276" s="33" t="s">
        <v>39</v>
      </c>
      <c r="J276" s="33" t="s">
        <v>39</v>
      </c>
      <c r="K276" s="33" t="s">
        <v>39</v>
      </c>
      <c r="L276" s="33" t="s">
        <v>39</v>
      </c>
      <c r="M276" s="33" t="s">
        <v>39</v>
      </c>
      <c r="N276" s="33" t="s">
        <v>39</v>
      </c>
      <c r="O276" s="33" t="s">
        <v>39</v>
      </c>
      <c r="P276" s="33" t="s">
        <v>39</v>
      </c>
      <c r="Q276" s="50">
        <v>0.28623999999999999</v>
      </c>
      <c r="R276" s="50">
        <v>0.29631999999999997</v>
      </c>
      <c r="S276" s="50">
        <v>0.20327999999999999</v>
      </c>
      <c r="T276" s="50">
        <v>-7.4819999999999998E-2</v>
      </c>
      <c r="U276" s="50">
        <v>0.25838</v>
      </c>
      <c r="V276" s="50">
        <v>0.36626999999999998</v>
      </c>
      <c r="W276" s="50">
        <v>0.29188999999999998</v>
      </c>
      <c r="X276" s="50">
        <v>0.35413</v>
      </c>
      <c r="Y276" s="50">
        <v>0.46237</v>
      </c>
      <c r="Z276" s="50">
        <v>0.51244999999999996</v>
      </c>
      <c r="AA276" s="50">
        <v>0.41588000000000003</v>
      </c>
      <c r="AB276" s="50">
        <v>0.53378000000000003</v>
      </c>
      <c r="AC276" s="50">
        <v>0.71018999999999999</v>
      </c>
      <c r="AD276" s="50">
        <v>0.74402000000000001</v>
      </c>
    </row>
    <row r="277" spans="1:30">
      <c r="A277" s="32" t="s">
        <v>548</v>
      </c>
      <c r="B277" s="33" t="s">
        <v>39</v>
      </c>
      <c r="C277" s="33" t="s">
        <v>39</v>
      </c>
      <c r="D277" s="33" t="s">
        <v>39</v>
      </c>
      <c r="E277" s="33" t="s">
        <v>39</v>
      </c>
      <c r="F277" s="50">
        <v>0.05</v>
      </c>
      <c r="G277" s="33" t="s">
        <v>39</v>
      </c>
      <c r="H277" s="33" t="s">
        <v>39</v>
      </c>
      <c r="I277" s="33" t="s">
        <v>39</v>
      </c>
      <c r="J277" s="33" t="s">
        <v>39</v>
      </c>
      <c r="K277" s="33" t="s">
        <v>39</v>
      </c>
      <c r="L277" s="33" t="s">
        <v>39</v>
      </c>
      <c r="M277" s="33" t="s">
        <v>39</v>
      </c>
      <c r="N277" s="33" t="s">
        <v>39</v>
      </c>
      <c r="O277" s="33" t="s">
        <v>39</v>
      </c>
      <c r="P277" s="33" t="s">
        <v>39</v>
      </c>
      <c r="Q277" s="50">
        <v>0.28623999999999999</v>
      </c>
      <c r="R277" s="50">
        <v>0.29631999999999997</v>
      </c>
      <c r="S277" s="50">
        <v>0.20327999999999999</v>
      </c>
      <c r="T277" s="50">
        <v>-7.4819999999999998E-2</v>
      </c>
      <c r="U277" s="50">
        <v>0.25838</v>
      </c>
      <c r="V277" s="50">
        <v>0.36626999999999998</v>
      </c>
      <c r="W277" s="50">
        <v>0.29188999999999998</v>
      </c>
      <c r="X277" s="50">
        <v>0.35413</v>
      </c>
      <c r="Y277" s="50">
        <v>0.46237</v>
      </c>
      <c r="Z277" s="50">
        <v>0.51244999999999996</v>
      </c>
      <c r="AA277" s="50">
        <v>0.41588000000000003</v>
      </c>
      <c r="AB277" s="50">
        <v>0.53378000000000003</v>
      </c>
      <c r="AC277" s="50">
        <v>0.71018999999999999</v>
      </c>
      <c r="AD277" s="50">
        <v>0.74402000000000001</v>
      </c>
    </row>
    <row r="278" spans="1:30">
      <c r="A278" s="32" t="s">
        <v>549</v>
      </c>
      <c r="B278" s="33" t="s">
        <v>39</v>
      </c>
      <c r="C278" s="33" t="s">
        <v>39</v>
      </c>
      <c r="D278" s="33" t="s">
        <v>39</v>
      </c>
      <c r="E278" s="33" t="s">
        <v>39</v>
      </c>
      <c r="F278" s="50">
        <v>0.05</v>
      </c>
      <c r="G278" s="33" t="s">
        <v>39</v>
      </c>
      <c r="H278" s="33" t="s">
        <v>39</v>
      </c>
      <c r="I278" s="33" t="s">
        <v>39</v>
      </c>
      <c r="J278" s="33" t="s">
        <v>39</v>
      </c>
      <c r="K278" s="33" t="s">
        <v>39</v>
      </c>
      <c r="L278" s="33" t="s">
        <v>39</v>
      </c>
      <c r="M278" s="33" t="s">
        <v>39</v>
      </c>
      <c r="N278" s="33" t="s">
        <v>39</v>
      </c>
      <c r="O278" s="33" t="s">
        <v>39</v>
      </c>
      <c r="P278" s="33" t="s">
        <v>39</v>
      </c>
      <c r="Q278" s="50">
        <v>0.28623999999999999</v>
      </c>
      <c r="R278" s="50">
        <v>0.29631999999999997</v>
      </c>
      <c r="S278" s="50">
        <v>0.20327999999999999</v>
      </c>
      <c r="T278" s="50">
        <v>-7.4819999999999998E-2</v>
      </c>
      <c r="U278" s="50">
        <v>0.25838</v>
      </c>
      <c r="V278" s="50">
        <v>0.36626999999999998</v>
      </c>
      <c r="W278" s="50">
        <v>0.29188999999999998</v>
      </c>
      <c r="X278" s="50">
        <v>0.35413</v>
      </c>
      <c r="Y278" s="50">
        <v>0.46237</v>
      </c>
      <c r="Z278" s="50">
        <v>0.51244999999999996</v>
      </c>
      <c r="AA278" s="50">
        <v>0.41588000000000003</v>
      </c>
      <c r="AB278" s="50">
        <v>0.53378000000000003</v>
      </c>
      <c r="AC278" s="50">
        <v>0.71018999999999999</v>
      </c>
      <c r="AD278" s="50">
        <v>0.74402000000000001</v>
      </c>
    </row>
    <row r="279" spans="1:30">
      <c r="A279" s="32" t="s">
        <v>550</v>
      </c>
      <c r="B279" s="33" t="s">
        <v>39</v>
      </c>
      <c r="C279" s="33" t="s">
        <v>39</v>
      </c>
      <c r="D279" s="33" t="s">
        <v>39</v>
      </c>
      <c r="E279" s="33" t="s">
        <v>39</v>
      </c>
      <c r="F279" s="45">
        <v>0</v>
      </c>
      <c r="G279" s="33" t="s">
        <v>39</v>
      </c>
      <c r="H279" s="33" t="s">
        <v>39</v>
      </c>
      <c r="I279" s="33" t="s">
        <v>39</v>
      </c>
      <c r="J279" s="33" t="s">
        <v>39</v>
      </c>
      <c r="K279" s="33" t="s">
        <v>39</v>
      </c>
      <c r="L279" s="33" t="s">
        <v>39</v>
      </c>
      <c r="M279" s="33" t="s">
        <v>39</v>
      </c>
      <c r="N279" s="33" t="s">
        <v>39</v>
      </c>
      <c r="O279" s="33" t="s">
        <v>39</v>
      </c>
      <c r="P279" s="33" t="s">
        <v>39</v>
      </c>
      <c r="Q279" s="45">
        <v>0</v>
      </c>
      <c r="R279" s="45">
        <v>0</v>
      </c>
      <c r="S279" s="45">
        <v>0</v>
      </c>
      <c r="T279" s="45">
        <v>0</v>
      </c>
      <c r="U279" s="45">
        <v>0</v>
      </c>
      <c r="V279" s="45">
        <v>0</v>
      </c>
      <c r="W279" s="45">
        <v>0</v>
      </c>
      <c r="X279" s="45">
        <v>0</v>
      </c>
      <c r="Y279" s="45">
        <v>0</v>
      </c>
      <c r="Z279" s="45">
        <v>0</v>
      </c>
      <c r="AA279" s="45">
        <v>0</v>
      </c>
      <c r="AB279" s="45">
        <v>0</v>
      </c>
      <c r="AC279" s="45">
        <v>0</v>
      </c>
      <c r="AD279" s="45">
        <v>0</v>
      </c>
    </row>
    <row r="280" spans="1:30">
      <c r="A280" s="32" t="s">
        <v>551</v>
      </c>
      <c r="B280" s="33" t="s">
        <v>39</v>
      </c>
      <c r="C280" s="33" t="s">
        <v>39</v>
      </c>
      <c r="D280" s="33" t="s">
        <v>39</v>
      </c>
      <c r="E280" s="33" t="s">
        <v>39</v>
      </c>
      <c r="F280" s="33" t="s">
        <v>575</v>
      </c>
      <c r="G280" s="33" t="s">
        <v>39</v>
      </c>
      <c r="H280" s="33" t="s">
        <v>39</v>
      </c>
      <c r="I280" s="33" t="s">
        <v>39</v>
      </c>
      <c r="J280" s="33" t="s">
        <v>39</v>
      </c>
      <c r="K280" s="33" t="s">
        <v>39</v>
      </c>
      <c r="L280" s="33" t="s">
        <v>39</v>
      </c>
      <c r="M280" s="33" t="s">
        <v>39</v>
      </c>
      <c r="N280" s="33" t="s">
        <v>39</v>
      </c>
      <c r="O280" s="33" t="s">
        <v>39</v>
      </c>
      <c r="P280" s="33" t="s">
        <v>39</v>
      </c>
      <c r="Q280" s="33" t="s">
        <v>575</v>
      </c>
      <c r="R280" s="33" t="s">
        <v>575</v>
      </c>
      <c r="S280" s="33" t="s">
        <v>575</v>
      </c>
      <c r="T280" s="33" t="s">
        <v>575</v>
      </c>
      <c r="U280" s="33" t="s">
        <v>575</v>
      </c>
      <c r="V280" s="33" t="s">
        <v>575</v>
      </c>
      <c r="W280" s="33" t="s">
        <v>575</v>
      </c>
      <c r="X280" s="33" t="s">
        <v>575</v>
      </c>
      <c r="Y280" s="33" t="s">
        <v>575</v>
      </c>
      <c r="Z280" s="33" t="s">
        <v>575</v>
      </c>
      <c r="AA280" s="33" t="s">
        <v>575</v>
      </c>
      <c r="AB280" s="33" t="s">
        <v>575</v>
      </c>
      <c r="AC280" s="33" t="s">
        <v>575</v>
      </c>
      <c r="AD280" s="33" t="s">
        <v>575</v>
      </c>
    </row>
    <row r="281" spans="1:30">
      <c r="A281" s="32" t="s">
        <v>563</v>
      </c>
      <c r="B281" s="33" t="s">
        <v>39</v>
      </c>
      <c r="C281" s="33" t="s">
        <v>39</v>
      </c>
      <c r="D281" s="33" t="s">
        <v>39</v>
      </c>
      <c r="E281" s="33" t="s">
        <v>39</v>
      </c>
      <c r="F281" s="33" t="s">
        <v>564</v>
      </c>
      <c r="G281" s="33" t="s">
        <v>39</v>
      </c>
      <c r="H281" s="33" t="s">
        <v>39</v>
      </c>
      <c r="I281" s="33" t="s">
        <v>39</v>
      </c>
      <c r="J281" s="33" t="s">
        <v>39</v>
      </c>
      <c r="K281" s="33" t="s">
        <v>39</v>
      </c>
      <c r="L281" s="33" t="s">
        <v>39</v>
      </c>
      <c r="M281" s="33" t="s">
        <v>39</v>
      </c>
      <c r="N281" s="33" t="s">
        <v>39</v>
      </c>
      <c r="O281" s="33" t="s">
        <v>39</v>
      </c>
      <c r="P281" s="33" t="s">
        <v>39</v>
      </c>
      <c r="Q281" s="33" t="s">
        <v>564</v>
      </c>
      <c r="R281" s="33" t="s">
        <v>564</v>
      </c>
      <c r="S281" s="33" t="s">
        <v>564</v>
      </c>
      <c r="T281" s="33" t="s">
        <v>564</v>
      </c>
      <c r="U281" s="33" t="s">
        <v>564</v>
      </c>
      <c r="V281" s="33" t="s">
        <v>564</v>
      </c>
      <c r="W281" s="33" t="s">
        <v>564</v>
      </c>
      <c r="X281" s="33" t="s">
        <v>564</v>
      </c>
      <c r="Y281" s="33" t="s">
        <v>564</v>
      </c>
      <c r="Z281" s="33" t="s">
        <v>564</v>
      </c>
      <c r="AA281" s="33" t="s">
        <v>564</v>
      </c>
      <c r="AB281" s="33" t="s">
        <v>564</v>
      </c>
      <c r="AC281" s="33" t="s">
        <v>564</v>
      </c>
      <c r="AD281" s="33" t="s">
        <v>564</v>
      </c>
    </row>
    <row r="282" spans="1:30">
      <c r="A282" s="4" t="s">
        <v>576</v>
      </c>
      <c r="B282" s="33" t="s">
        <v>39</v>
      </c>
      <c r="C282" s="33" t="s">
        <v>39</v>
      </c>
      <c r="D282" s="33" t="s">
        <v>39</v>
      </c>
      <c r="E282" s="49">
        <v>0</v>
      </c>
      <c r="F282" s="49">
        <v>0</v>
      </c>
      <c r="G282" s="49">
        <v>0</v>
      </c>
      <c r="H282" s="49">
        <v>0</v>
      </c>
      <c r="I282" s="49">
        <v>0</v>
      </c>
      <c r="J282" s="49">
        <v>0</v>
      </c>
      <c r="K282" s="49">
        <v>0</v>
      </c>
      <c r="L282" s="49">
        <v>0</v>
      </c>
      <c r="M282" s="49">
        <v>0</v>
      </c>
      <c r="N282" s="49">
        <v>0</v>
      </c>
      <c r="O282" s="49">
        <v>0</v>
      </c>
      <c r="P282" s="49">
        <v>0</v>
      </c>
      <c r="Q282" s="49">
        <v>0</v>
      </c>
      <c r="R282" s="49">
        <v>0</v>
      </c>
      <c r="S282" s="49">
        <v>0</v>
      </c>
      <c r="T282" s="49">
        <v>0</v>
      </c>
      <c r="U282" s="49">
        <v>0</v>
      </c>
      <c r="V282" s="50">
        <v>0</v>
      </c>
      <c r="W282" s="50">
        <v>0</v>
      </c>
      <c r="X282" s="50">
        <v>0</v>
      </c>
      <c r="Y282" s="50">
        <v>0</v>
      </c>
      <c r="Z282" s="50">
        <v>0</v>
      </c>
      <c r="AA282" s="50">
        <v>0</v>
      </c>
      <c r="AB282" s="50">
        <v>0</v>
      </c>
      <c r="AC282" s="50">
        <v>0</v>
      </c>
      <c r="AD282" s="50">
        <v>0</v>
      </c>
    </row>
    <row r="283" spans="1:30">
      <c r="A283" s="32" t="s">
        <v>546</v>
      </c>
      <c r="B283" s="33" t="s">
        <v>39</v>
      </c>
      <c r="C283" s="33" t="s">
        <v>39</v>
      </c>
      <c r="D283" s="33" t="s">
        <v>39</v>
      </c>
      <c r="E283" s="50">
        <v>0</v>
      </c>
      <c r="F283" s="50">
        <v>0</v>
      </c>
      <c r="G283" s="50">
        <v>0</v>
      </c>
      <c r="H283" s="50">
        <v>0</v>
      </c>
      <c r="I283" s="50">
        <v>0</v>
      </c>
      <c r="J283" s="50">
        <v>0</v>
      </c>
      <c r="K283" s="50">
        <v>0</v>
      </c>
      <c r="L283" s="50">
        <v>0</v>
      </c>
      <c r="M283" s="50">
        <v>0</v>
      </c>
      <c r="N283" s="50">
        <v>0</v>
      </c>
      <c r="O283" s="50">
        <v>0</v>
      </c>
      <c r="P283" s="50">
        <v>0</v>
      </c>
      <c r="Q283" s="50">
        <v>0</v>
      </c>
      <c r="R283" s="50">
        <v>0</v>
      </c>
      <c r="S283" s="50">
        <v>0</v>
      </c>
      <c r="T283" s="50">
        <v>0</v>
      </c>
      <c r="U283" s="50">
        <v>0</v>
      </c>
      <c r="V283" s="33" t="s">
        <v>39</v>
      </c>
      <c r="W283" s="33" t="s">
        <v>39</v>
      </c>
      <c r="X283" s="33" t="s">
        <v>39</v>
      </c>
      <c r="Y283" s="33" t="s">
        <v>39</v>
      </c>
      <c r="Z283" s="33" t="s">
        <v>39</v>
      </c>
      <c r="AA283" s="33" t="s">
        <v>39</v>
      </c>
      <c r="AB283" s="33" t="s">
        <v>39</v>
      </c>
      <c r="AC283" s="33" t="s">
        <v>39</v>
      </c>
      <c r="AD283" s="33" t="s">
        <v>39</v>
      </c>
    </row>
    <row r="284" spans="1:30">
      <c r="A284" s="32" t="s">
        <v>547</v>
      </c>
      <c r="B284" s="33" t="s">
        <v>39</v>
      </c>
      <c r="C284" s="33" t="s">
        <v>39</v>
      </c>
      <c r="D284" s="33" t="s">
        <v>39</v>
      </c>
      <c r="E284" s="50">
        <v>0</v>
      </c>
      <c r="F284" s="50">
        <v>0</v>
      </c>
      <c r="G284" s="50">
        <v>0</v>
      </c>
      <c r="H284" s="50">
        <v>0</v>
      </c>
      <c r="I284" s="50">
        <v>0</v>
      </c>
      <c r="J284" s="50">
        <v>0</v>
      </c>
      <c r="K284" s="50">
        <v>0</v>
      </c>
      <c r="L284" s="50">
        <v>0</v>
      </c>
      <c r="M284" s="50">
        <v>0</v>
      </c>
      <c r="N284" s="50">
        <v>0</v>
      </c>
      <c r="O284" s="50">
        <v>0</v>
      </c>
      <c r="P284" s="50">
        <v>0</v>
      </c>
      <c r="Q284" s="50">
        <v>0</v>
      </c>
      <c r="R284" s="50">
        <v>0</v>
      </c>
      <c r="S284" s="50">
        <v>0</v>
      </c>
      <c r="T284" s="50">
        <v>0</v>
      </c>
      <c r="U284" s="50">
        <v>0</v>
      </c>
      <c r="V284" s="50">
        <v>0</v>
      </c>
      <c r="W284" s="50">
        <v>0</v>
      </c>
      <c r="X284" s="50">
        <v>0</v>
      </c>
      <c r="Y284" s="50">
        <v>0</v>
      </c>
      <c r="Z284" s="50">
        <v>0</v>
      </c>
      <c r="AA284" s="50">
        <v>0</v>
      </c>
      <c r="AB284" s="50">
        <v>0</v>
      </c>
      <c r="AC284" s="50">
        <v>0</v>
      </c>
      <c r="AD284" s="50">
        <v>0</v>
      </c>
    </row>
    <row r="285" spans="1:30">
      <c r="A285" s="32" t="s">
        <v>548</v>
      </c>
      <c r="B285" s="33" t="s">
        <v>39</v>
      </c>
      <c r="C285" s="33" t="s">
        <v>39</v>
      </c>
      <c r="D285" s="33" t="s">
        <v>39</v>
      </c>
      <c r="E285" s="50">
        <v>0</v>
      </c>
      <c r="F285" s="50">
        <v>0</v>
      </c>
      <c r="G285" s="50">
        <v>0</v>
      </c>
      <c r="H285" s="50">
        <v>0</v>
      </c>
      <c r="I285" s="50">
        <v>0</v>
      </c>
      <c r="J285" s="50">
        <v>0</v>
      </c>
      <c r="K285" s="50">
        <v>0</v>
      </c>
      <c r="L285" s="50">
        <v>0</v>
      </c>
      <c r="M285" s="50">
        <v>0</v>
      </c>
      <c r="N285" s="50">
        <v>0</v>
      </c>
      <c r="O285" s="50">
        <v>0</v>
      </c>
      <c r="P285" s="50">
        <v>0</v>
      </c>
      <c r="Q285" s="50">
        <v>0</v>
      </c>
      <c r="R285" s="50">
        <v>0</v>
      </c>
      <c r="S285" s="50">
        <v>0</v>
      </c>
      <c r="T285" s="50">
        <v>0</v>
      </c>
      <c r="U285" s="50">
        <v>0</v>
      </c>
      <c r="V285" s="50">
        <v>0</v>
      </c>
      <c r="W285" s="50">
        <v>0</v>
      </c>
      <c r="X285" s="50">
        <v>0</v>
      </c>
      <c r="Y285" s="50">
        <v>0</v>
      </c>
      <c r="Z285" s="50">
        <v>0</v>
      </c>
      <c r="AA285" s="50">
        <v>0</v>
      </c>
      <c r="AB285" s="50">
        <v>0</v>
      </c>
      <c r="AC285" s="50">
        <v>0</v>
      </c>
      <c r="AD285" s="50">
        <v>0</v>
      </c>
    </row>
    <row r="286" spans="1:30">
      <c r="A286" s="32" t="s">
        <v>549</v>
      </c>
      <c r="B286" s="33" t="s">
        <v>39</v>
      </c>
      <c r="C286" s="33" t="s">
        <v>39</v>
      </c>
      <c r="D286" s="33" t="s">
        <v>39</v>
      </c>
      <c r="E286" s="50">
        <v>0</v>
      </c>
      <c r="F286" s="50">
        <v>0</v>
      </c>
      <c r="G286" s="50">
        <v>0</v>
      </c>
      <c r="H286" s="50">
        <v>0</v>
      </c>
      <c r="I286" s="50">
        <v>0</v>
      </c>
      <c r="J286" s="50">
        <v>0</v>
      </c>
      <c r="K286" s="50">
        <v>0</v>
      </c>
      <c r="L286" s="50">
        <v>0</v>
      </c>
      <c r="M286" s="50">
        <v>0</v>
      </c>
      <c r="N286" s="50">
        <v>0</v>
      </c>
      <c r="O286" s="50">
        <v>0</v>
      </c>
      <c r="P286" s="50">
        <v>0</v>
      </c>
      <c r="Q286" s="50">
        <v>0</v>
      </c>
      <c r="R286" s="50">
        <v>0</v>
      </c>
      <c r="S286" s="50">
        <v>0</v>
      </c>
      <c r="T286" s="50">
        <v>0</v>
      </c>
      <c r="U286" s="50">
        <v>0</v>
      </c>
      <c r="V286" s="50">
        <v>0</v>
      </c>
      <c r="W286" s="50">
        <v>0</v>
      </c>
      <c r="X286" s="50">
        <v>0</v>
      </c>
      <c r="Y286" s="50">
        <v>0</v>
      </c>
      <c r="Z286" s="50">
        <v>0</v>
      </c>
      <c r="AA286" s="50">
        <v>0</v>
      </c>
      <c r="AB286" s="50">
        <v>0</v>
      </c>
      <c r="AC286" s="50">
        <v>0</v>
      </c>
      <c r="AD286" s="50">
        <v>0</v>
      </c>
    </row>
    <row r="287" spans="1:30">
      <c r="A287" s="32" t="s">
        <v>550</v>
      </c>
      <c r="B287" s="33" t="s">
        <v>39</v>
      </c>
      <c r="C287" s="33" t="s">
        <v>39</v>
      </c>
      <c r="D287" s="33" t="s">
        <v>39</v>
      </c>
      <c r="E287" s="45">
        <v>0</v>
      </c>
      <c r="F287" s="45">
        <v>0</v>
      </c>
      <c r="G287" s="45">
        <v>0</v>
      </c>
      <c r="H287" s="45">
        <v>0</v>
      </c>
      <c r="I287" s="45">
        <v>0</v>
      </c>
      <c r="J287" s="45">
        <v>0</v>
      </c>
      <c r="K287" s="45">
        <v>0</v>
      </c>
      <c r="L287" s="45">
        <v>0</v>
      </c>
      <c r="M287" s="45">
        <v>0</v>
      </c>
      <c r="N287" s="45">
        <v>0</v>
      </c>
      <c r="O287" s="45">
        <v>0</v>
      </c>
      <c r="P287" s="45">
        <v>0</v>
      </c>
      <c r="Q287" s="45">
        <v>0</v>
      </c>
      <c r="R287" s="45">
        <v>0</v>
      </c>
      <c r="S287" s="45">
        <v>0</v>
      </c>
      <c r="T287" s="45">
        <v>0</v>
      </c>
      <c r="U287" s="45">
        <v>0</v>
      </c>
      <c r="V287" s="45">
        <v>0</v>
      </c>
      <c r="W287" s="45">
        <v>0</v>
      </c>
      <c r="X287" s="45">
        <v>0</v>
      </c>
      <c r="Y287" s="45">
        <v>0</v>
      </c>
      <c r="Z287" s="45">
        <v>0</v>
      </c>
      <c r="AA287" s="45">
        <v>0</v>
      </c>
      <c r="AB287" s="45">
        <v>0</v>
      </c>
      <c r="AC287" s="45">
        <v>0</v>
      </c>
      <c r="AD287" s="45">
        <v>0</v>
      </c>
    </row>
    <row r="288" spans="1:30">
      <c r="A288" s="32" t="s">
        <v>551</v>
      </c>
      <c r="B288" s="33" t="s">
        <v>39</v>
      </c>
      <c r="C288" s="33" t="s">
        <v>39</v>
      </c>
      <c r="D288" s="33" t="s">
        <v>39</v>
      </c>
      <c r="E288" s="33" t="s">
        <v>575</v>
      </c>
      <c r="F288" s="33" t="s">
        <v>575</v>
      </c>
      <c r="G288" s="33" t="s">
        <v>575</v>
      </c>
      <c r="H288" s="33" t="s">
        <v>575</v>
      </c>
      <c r="I288" s="33" t="s">
        <v>587</v>
      </c>
      <c r="J288" s="33" t="s">
        <v>587</v>
      </c>
      <c r="K288" s="33" t="s">
        <v>575</v>
      </c>
      <c r="L288" s="33" t="s">
        <v>575</v>
      </c>
      <c r="M288" s="33" t="s">
        <v>575</v>
      </c>
      <c r="N288" s="33" t="s">
        <v>575</v>
      </c>
      <c r="O288" s="33" t="s">
        <v>587</v>
      </c>
      <c r="P288" s="33" t="s">
        <v>575</v>
      </c>
      <c r="Q288" s="33" t="s">
        <v>587</v>
      </c>
      <c r="R288" s="33" t="s">
        <v>578</v>
      </c>
      <c r="S288" s="33" t="s">
        <v>578</v>
      </c>
      <c r="T288" s="33" t="s">
        <v>578</v>
      </c>
      <c r="U288" s="33" t="s">
        <v>578</v>
      </c>
      <c r="V288" s="33" t="s">
        <v>578</v>
      </c>
      <c r="W288" s="33" t="s">
        <v>577</v>
      </c>
      <c r="X288" s="33" t="s">
        <v>577</v>
      </c>
      <c r="Y288" s="33" t="s">
        <v>577</v>
      </c>
      <c r="Z288" s="33" t="s">
        <v>577</v>
      </c>
      <c r="AA288" s="33" t="s">
        <v>577</v>
      </c>
      <c r="AB288" s="33" t="s">
        <v>577</v>
      </c>
      <c r="AC288" s="33" t="s">
        <v>577</v>
      </c>
      <c r="AD288" s="33" t="s">
        <v>577</v>
      </c>
    </row>
    <row r="289" spans="1:30">
      <c r="A289" s="32" t="s">
        <v>563</v>
      </c>
      <c r="B289" s="33" t="s">
        <v>39</v>
      </c>
      <c r="C289" s="33" t="s">
        <v>39</v>
      </c>
      <c r="D289" s="33" t="s">
        <v>39</v>
      </c>
      <c r="E289" s="33" t="s">
        <v>564</v>
      </c>
      <c r="F289" s="33" t="s">
        <v>564</v>
      </c>
      <c r="G289" s="33" t="s">
        <v>564</v>
      </c>
      <c r="H289" s="33" t="s">
        <v>564</v>
      </c>
      <c r="I289" s="33" t="s">
        <v>564</v>
      </c>
      <c r="J289" s="33" t="s">
        <v>564</v>
      </c>
      <c r="K289" s="33" t="s">
        <v>564</v>
      </c>
      <c r="L289" s="33" t="s">
        <v>564</v>
      </c>
      <c r="M289" s="33" t="s">
        <v>564</v>
      </c>
      <c r="N289" s="33" t="s">
        <v>564</v>
      </c>
      <c r="O289" s="33" t="s">
        <v>564</v>
      </c>
      <c r="P289" s="33" t="s">
        <v>564</v>
      </c>
      <c r="Q289" s="33" t="s">
        <v>564</v>
      </c>
      <c r="R289" s="33" t="s">
        <v>564</v>
      </c>
      <c r="S289" s="33" t="s">
        <v>564</v>
      </c>
      <c r="T289" s="33" t="s">
        <v>564</v>
      </c>
      <c r="U289" s="33" t="s">
        <v>564</v>
      </c>
      <c r="V289" s="33" t="s">
        <v>564</v>
      </c>
      <c r="W289" s="33" t="s">
        <v>564</v>
      </c>
      <c r="X289" s="33" t="s">
        <v>564</v>
      </c>
      <c r="Y289" s="33" t="s">
        <v>564</v>
      </c>
      <c r="Z289" s="33" t="s">
        <v>564</v>
      </c>
      <c r="AA289" s="33" t="s">
        <v>564</v>
      </c>
      <c r="AB289" s="33" t="s">
        <v>564</v>
      </c>
      <c r="AC289" s="33" t="s">
        <v>564</v>
      </c>
      <c r="AD289" s="33" t="s">
        <v>564</v>
      </c>
    </row>
    <row r="290" spans="1:30">
      <c r="A290" s="4" t="s">
        <v>581</v>
      </c>
      <c r="B290" s="33" t="s">
        <v>39</v>
      </c>
      <c r="C290" s="33" t="s">
        <v>39</v>
      </c>
      <c r="D290" s="33" t="s">
        <v>39</v>
      </c>
      <c r="E290" s="49">
        <v>1.48</v>
      </c>
      <c r="F290" s="49">
        <v>1.5805</v>
      </c>
      <c r="G290" s="49">
        <v>1.6818</v>
      </c>
      <c r="H290" s="49">
        <v>1.8392999999999999</v>
      </c>
      <c r="I290" s="49">
        <v>1.8898999999999999</v>
      </c>
      <c r="J290" s="49">
        <v>1.9897</v>
      </c>
      <c r="K290" s="49">
        <v>2.0230000000000001</v>
      </c>
      <c r="L290" s="49">
        <v>2.65788</v>
      </c>
      <c r="M290" s="33" t="s">
        <v>39</v>
      </c>
      <c r="N290" s="33" t="s">
        <v>39</v>
      </c>
      <c r="O290" s="49">
        <v>2.6602000000000001</v>
      </c>
      <c r="P290" s="49">
        <v>2.7790300000000001</v>
      </c>
      <c r="Q290" s="49">
        <v>3.6059999999999999</v>
      </c>
      <c r="R290" s="49">
        <v>3.5333000000000001</v>
      </c>
      <c r="S290" s="49">
        <v>4.1204999999999998</v>
      </c>
      <c r="T290" s="49">
        <v>4.3543000000000003</v>
      </c>
      <c r="U290" s="49">
        <v>4.5746000000000002</v>
      </c>
      <c r="V290" s="50">
        <v>4.0934200000000001</v>
      </c>
      <c r="W290" s="50">
        <v>4.67117</v>
      </c>
      <c r="X290" s="50">
        <v>4.8876400000000002</v>
      </c>
      <c r="Y290" s="50">
        <v>5.2324000000000002</v>
      </c>
      <c r="Z290" s="50">
        <v>5.61632</v>
      </c>
      <c r="AA290" s="50">
        <v>5.8888800000000003</v>
      </c>
      <c r="AB290" s="50">
        <v>6.2485799999999996</v>
      </c>
      <c r="AC290" s="50">
        <v>6.7971199999999996</v>
      </c>
      <c r="AD290" s="50">
        <v>7.3779000000000003</v>
      </c>
    </row>
    <row r="291" spans="1:30">
      <c r="A291" s="32" t="s">
        <v>546</v>
      </c>
      <c r="B291" s="33" t="s">
        <v>39</v>
      </c>
      <c r="C291" s="33" t="s">
        <v>39</v>
      </c>
      <c r="D291" s="33" t="s">
        <v>39</v>
      </c>
      <c r="E291" s="50">
        <v>1.2749999999999999</v>
      </c>
      <c r="F291" s="50">
        <v>1.37</v>
      </c>
      <c r="G291" s="50">
        <v>-2.1</v>
      </c>
      <c r="H291" s="50">
        <v>-2.2000000000000002</v>
      </c>
      <c r="I291" s="50">
        <v>1.6850000000000001</v>
      </c>
      <c r="J291" s="50">
        <v>-8.5000000000000006E-2</v>
      </c>
      <c r="K291" s="50">
        <v>1.66</v>
      </c>
      <c r="L291" s="50">
        <v>-1.8</v>
      </c>
      <c r="M291" s="33" t="s">
        <v>39</v>
      </c>
      <c r="N291" s="33" t="s">
        <v>39</v>
      </c>
      <c r="O291" s="50">
        <v>2.48828</v>
      </c>
      <c r="P291" s="50">
        <v>2.2400000000000002</v>
      </c>
      <c r="Q291" s="50">
        <v>2.6711100000000001</v>
      </c>
      <c r="R291" s="50">
        <v>2.8251499999999998</v>
      </c>
      <c r="S291" s="50">
        <v>3.87839</v>
      </c>
      <c r="T291" s="50">
        <v>3.80159</v>
      </c>
      <c r="U291" s="50">
        <v>4.2463800000000003</v>
      </c>
      <c r="V291" s="33" t="s">
        <v>39</v>
      </c>
      <c r="W291" s="33" t="s">
        <v>39</v>
      </c>
      <c r="X291" s="33" t="s">
        <v>39</v>
      </c>
      <c r="Y291" s="33" t="s">
        <v>39</v>
      </c>
      <c r="Z291" s="33" t="s">
        <v>39</v>
      </c>
      <c r="AA291" s="33" t="s">
        <v>39</v>
      </c>
      <c r="AB291" s="33" t="s">
        <v>39</v>
      </c>
      <c r="AC291" s="33" t="s">
        <v>39</v>
      </c>
      <c r="AD291" s="33" t="s">
        <v>39</v>
      </c>
    </row>
    <row r="292" spans="1:30">
      <c r="A292" s="32" t="s">
        <v>547</v>
      </c>
      <c r="B292" s="33" t="s">
        <v>39</v>
      </c>
      <c r="C292" s="33" t="s">
        <v>39</v>
      </c>
      <c r="D292" s="33" t="s">
        <v>39</v>
      </c>
      <c r="E292" s="50">
        <v>1.2749999999999999</v>
      </c>
      <c r="F292" s="50">
        <v>1.37</v>
      </c>
      <c r="G292" s="50">
        <v>-2.1</v>
      </c>
      <c r="H292" s="50">
        <v>-2.2000000000000002</v>
      </c>
      <c r="I292" s="50">
        <v>1.6850000000000001</v>
      </c>
      <c r="J292" s="50">
        <v>-8.5000000000000006E-2</v>
      </c>
      <c r="K292" s="50">
        <v>1.66</v>
      </c>
      <c r="L292" s="50">
        <v>-1.8</v>
      </c>
      <c r="M292" s="33" t="s">
        <v>39</v>
      </c>
      <c r="N292" s="33" t="s">
        <v>39</v>
      </c>
      <c r="O292" s="50">
        <v>2.48828</v>
      </c>
      <c r="P292" s="50">
        <v>2.2400000000000002</v>
      </c>
      <c r="Q292" s="50">
        <v>2.6711100000000001</v>
      </c>
      <c r="R292" s="50">
        <v>2.7097600000000002</v>
      </c>
      <c r="S292" s="50">
        <v>3.87839</v>
      </c>
      <c r="T292" s="50">
        <v>3.9443199999999998</v>
      </c>
      <c r="U292" s="50">
        <v>4.2463800000000003</v>
      </c>
      <c r="V292" s="50">
        <v>4.0934200000000001</v>
      </c>
      <c r="W292" s="50">
        <v>4.67117</v>
      </c>
      <c r="X292" s="50">
        <v>4.8876400000000002</v>
      </c>
      <c r="Y292" s="50">
        <v>5.2324000000000002</v>
      </c>
      <c r="Z292" s="50">
        <v>5.61632</v>
      </c>
      <c r="AA292" s="50">
        <v>5.8888800000000003</v>
      </c>
      <c r="AB292" s="50">
        <v>6.2485799999999996</v>
      </c>
      <c r="AC292" s="50">
        <v>6.7971199999999996</v>
      </c>
      <c r="AD292" s="50">
        <v>7.3779000000000003</v>
      </c>
    </row>
    <row r="293" spans="1:30">
      <c r="A293" s="32" t="s">
        <v>548</v>
      </c>
      <c r="B293" s="33" t="s">
        <v>39</v>
      </c>
      <c r="C293" s="33" t="s">
        <v>39</v>
      </c>
      <c r="D293" s="33" t="s">
        <v>39</v>
      </c>
      <c r="E293" s="50">
        <v>1.28</v>
      </c>
      <c r="F293" s="50">
        <v>1.37</v>
      </c>
      <c r="G293" s="50">
        <v>-2.1</v>
      </c>
      <c r="H293" s="50">
        <v>-2.2000000000000002</v>
      </c>
      <c r="I293" s="50">
        <v>1.77</v>
      </c>
      <c r="J293" s="50">
        <v>1.63</v>
      </c>
      <c r="K293" s="50">
        <v>1.66</v>
      </c>
      <c r="L293" s="50">
        <v>-1.8</v>
      </c>
      <c r="M293" s="33" t="s">
        <v>39</v>
      </c>
      <c r="N293" s="33" t="s">
        <v>39</v>
      </c>
      <c r="O293" s="50">
        <v>2.7865500000000001</v>
      </c>
      <c r="P293" s="50">
        <v>2.2400000000000002</v>
      </c>
      <c r="Q293" s="50">
        <v>2.9422199999999998</v>
      </c>
      <c r="R293" s="50">
        <v>3.1956899999999999</v>
      </c>
      <c r="S293" s="50">
        <v>4.0845900000000004</v>
      </c>
      <c r="T293" s="50">
        <v>4.0704500000000001</v>
      </c>
      <c r="U293" s="50">
        <v>4.5085699999999997</v>
      </c>
      <c r="V293" s="50">
        <v>4.2468300000000001</v>
      </c>
      <c r="W293" s="50">
        <v>4.9504299999999999</v>
      </c>
      <c r="X293" s="50">
        <v>5.1875299999999998</v>
      </c>
      <c r="Y293" s="50">
        <v>5.5248699999999999</v>
      </c>
      <c r="Z293" s="50">
        <v>5.9119900000000003</v>
      </c>
      <c r="AA293" s="50">
        <v>6.19808</v>
      </c>
      <c r="AB293" s="50">
        <v>6.5917899999999996</v>
      </c>
      <c r="AC293" s="50">
        <v>7.1522899999999998</v>
      </c>
      <c r="AD293" s="50">
        <v>7.7458</v>
      </c>
    </row>
    <row r="294" spans="1:30">
      <c r="A294" s="32" t="s">
        <v>549</v>
      </c>
      <c r="B294" s="33" t="s">
        <v>39</v>
      </c>
      <c r="C294" s="33" t="s">
        <v>39</v>
      </c>
      <c r="D294" s="33" t="s">
        <v>39</v>
      </c>
      <c r="E294" s="50">
        <v>1.27</v>
      </c>
      <c r="F294" s="50">
        <v>1.37</v>
      </c>
      <c r="G294" s="50">
        <v>-2.1</v>
      </c>
      <c r="H294" s="50">
        <v>-2.2000000000000002</v>
      </c>
      <c r="I294" s="50">
        <v>1.6</v>
      </c>
      <c r="J294" s="50">
        <v>-1.8</v>
      </c>
      <c r="K294" s="50">
        <v>1.66</v>
      </c>
      <c r="L294" s="50">
        <v>-1.8</v>
      </c>
      <c r="M294" s="33" t="s">
        <v>39</v>
      </c>
      <c r="N294" s="33" t="s">
        <v>39</v>
      </c>
      <c r="O294" s="50">
        <v>2.19</v>
      </c>
      <c r="P294" s="50">
        <v>2.2400000000000002</v>
      </c>
      <c r="Q294" s="50">
        <v>2.4</v>
      </c>
      <c r="R294" s="50">
        <v>2.57</v>
      </c>
      <c r="S294" s="50">
        <v>3.6721900000000001</v>
      </c>
      <c r="T294" s="50">
        <v>3.39</v>
      </c>
      <c r="U294" s="50">
        <v>3.9841899999999999</v>
      </c>
      <c r="V294" s="50">
        <v>3.94</v>
      </c>
      <c r="W294" s="50">
        <v>4.3919100000000002</v>
      </c>
      <c r="X294" s="50">
        <v>4.5877400000000002</v>
      </c>
      <c r="Y294" s="50">
        <v>4.9399199999999999</v>
      </c>
      <c r="Z294" s="50">
        <v>5.32064</v>
      </c>
      <c r="AA294" s="50">
        <v>5.5796799999999998</v>
      </c>
      <c r="AB294" s="50">
        <v>5.9053800000000001</v>
      </c>
      <c r="AC294" s="50">
        <v>6.4419599999999999</v>
      </c>
      <c r="AD294" s="50">
        <v>7.01</v>
      </c>
    </row>
    <row r="295" spans="1:30">
      <c r="A295" s="32" t="s">
        <v>550</v>
      </c>
      <c r="B295" s="33" t="s">
        <v>39</v>
      </c>
      <c r="C295" s="33" t="s">
        <v>39</v>
      </c>
      <c r="D295" s="33" t="s">
        <v>39</v>
      </c>
      <c r="E295" s="45">
        <v>5.0000000000000001E-3</v>
      </c>
      <c r="F295" s="45">
        <v>0</v>
      </c>
      <c r="G295" s="45">
        <v>0</v>
      </c>
      <c r="H295" s="45">
        <v>0</v>
      </c>
      <c r="I295" s="45">
        <v>8.5000000000000006E-2</v>
      </c>
      <c r="J295" s="45">
        <v>1.7150000000000001</v>
      </c>
      <c r="K295" s="45">
        <v>0</v>
      </c>
      <c r="L295" s="45">
        <v>0</v>
      </c>
      <c r="M295" s="33" t="s">
        <v>39</v>
      </c>
      <c r="N295" s="33" t="s">
        <v>39</v>
      </c>
      <c r="O295" s="45">
        <v>0.29827999999999999</v>
      </c>
      <c r="P295" s="45">
        <v>0</v>
      </c>
      <c r="Q295" s="45">
        <v>0.27111000000000002</v>
      </c>
      <c r="R295" s="45">
        <v>0.26815</v>
      </c>
      <c r="S295" s="45">
        <v>0.20619999999999999</v>
      </c>
      <c r="T295" s="45">
        <v>0.29555999999999999</v>
      </c>
      <c r="U295" s="45">
        <v>0.26218999999999998</v>
      </c>
      <c r="V295" s="45">
        <v>0.15342</v>
      </c>
      <c r="W295" s="45">
        <v>0.27926000000000001</v>
      </c>
      <c r="X295" s="45">
        <v>0.2999</v>
      </c>
      <c r="Y295" s="45">
        <v>0.29248000000000002</v>
      </c>
      <c r="Z295" s="45">
        <v>0.29568</v>
      </c>
      <c r="AA295" s="45">
        <v>0.30919999999999997</v>
      </c>
      <c r="AB295" s="45">
        <v>0.34320000000000001</v>
      </c>
      <c r="AC295" s="45">
        <v>0.35515999999999998</v>
      </c>
      <c r="AD295" s="45">
        <v>0.3679</v>
      </c>
    </row>
    <row r="296" spans="1:30">
      <c r="A296" s="32" t="s">
        <v>551</v>
      </c>
      <c r="B296" s="33" t="s">
        <v>39</v>
      </c>
      <c r="C296" s="33" t="s">
        <v>39</v>
      </c>
      <c r="D296" s="33" t="s">
        <v>39</v>
      </c>
      <c r="E296" s="33" t="s">
        <v>587</v>
      </c>
      <c r="F296" s="33" t="s">
        <v>573</v>
      </c>
      <c r="G296" s="33" t="s">
        <v>573</v>
      </c>
      <c r="H296" s="33" t="s">
        <v>575</v>
      </c>
      <c r="I296" s="33" t="s">
        <v>586</v>
      </c>
      <c r="J296" s="33" t="s">
        <v>587</v>
      </c>
      <c r="K296" s="33" t="s">
        <v>573</v>
      </c>
      <c r="L296" s="33" t="s">
        <v>575</v>
      </c>
      <c r="M296" s="33" t="s">
        <v>39</v>
      </c>
      <c r="N296" s="33" t="s">
        <v>39</v>
      </c>
      <c r="O296" s="33" t="s">
        <v>587</v>
      </c>
      <c r="P296" s="33" t="s">
        <v>575</v>
      </c>
      <c r="Q296" s="33" t="s">
        <v>587</v>
      </c>
      <c r="R296" s="33" t="s">
        <v>577</v>
      </c>
      <c r="S296" s="33" t="s">
        <v>587</v>
      </c>
      <c r="T296" s="33" t="s">
        <v>577</v>
      </c>
      <c r="U296" s="33" t="s">
        <v>587</v>
      </c>
      <c r="V296" s="33" t="s">
        <v>586</v>
      </c>
      <c r="W296" s="33" t="s">
        <v>587</v>
      </c>
      <c r="X296" s="33" t="s">
        <v>587</v>
      </c>
      <c r="Y296" s="33" t="s">
        <v>587</v>
      </c>
      <c r="Z296" s="33" t="s">
        <v>587</v>
      </c>
      <c r="AA296" s="33" t="s">
        <v>587</v>
      </c>
      <c r="AB296" s="33" t="s">
        <v>587</v>
      </c>
      <c r="AC296" s="33" t="s">
        <v>587</v>
      </c>
      <c r="AD296" s="33" t="s">
        <v>587</v>
      </c>
    </row>
    <row r="297" spans="1:30">
      <c r="A297" s="32" t="s">
        <v>563</v>
      </c>
      <c r="B297" s="33" t="s">
        <v>39</v>
      </c>
      <c r="C297" s="33" t="s">
        <v>39</v>
      </c>
      <c r="D297" s="33" t="s">
        <v>39</v>
      </c>
      <c r="E297" s="33" t="s">
        <v>564</v>
      </c>
      <c r="F297" s="33" t="s">
        <v>564</v>
      </c>
      <c r="G297" s="33" t="s">
        <v>564</v>
      </c>
      <c r="H297" s="33" t="s">
        <v>564</v>
      </c>
      <c r="I297" s="33" t="s">
        <v>564</v>
      </c>
      <c r="J297" s="33" t="s">
        <v>564</v>
      </c>
      <c r="K297" s="33" t="s">
        <v>564</v>
      </c>
      <c r="L297" s="33" t="s">
        <v>564</v>
      </c>
      <c r="M297" s="33" t="s">
        <v>39</v>
      </c>
      <c r="N297" s="33" t="s">
        <v>39</v>
      </c>
      <c r="O297" s="33" t="s">
        <v>564</v>
      </c>
      <c r="P297" s="33" t="s">
        <v>564</v>
      </c>
      <c r="Q297" s="33" t="s">
        <v>564</v>
      </c>
      <c r="R297" s="33" t="s">
        <v>564</v>
      </c>
      <c r="S297" s="33" t="s">
        <v>564</v>
      </c>
      <c r="T297" s="33" t="s">
        <v>564</v>
      </c>
      <c r="U297" s="33" t="s">
        <v>564</v>
      </c>
      <c r="V297" s="33" t="s">
        <v>564</v>
      </c>
      <c r="W297" s="33" t="s">
        <v>564</v>
      </c>
      <c r="X297" s="33" t="s">
        <v>564</v>
      </c>
      <c r="Y297" s="33" t="s">
        <v>564</v>
      </c>
      <c r="Z297" s="33" t="s">
        <v>564</v>
      </c>
      <c r="AA297" s="33" t="s">
        <v>564</v>
      </c>
      <c r="AB297" s="33" t="s">
        <v>564</v>
      </c>
      <c r="AC297" s="33" t="s">
        <v>564</v>
      </c>
      <c r="AD297" s="33" t="s">
        <v>564</v>
      </c>
    </row>
    <row r="298" spans="1:30">
      <c r="A298" s="4" t="s">
        <v>584</v>
      </c>
      <c r="B298" s="33" t="s">
        <v>39</v>
      </c>
      <c r="C298" s="33" t="s">
        <v>39</v>
      </c>
      <c r="D298" s="33" t="s">
        <v>39</v>
      </c>
      <c r="E298" s="49">
        <v>1.26</v>
      </c>
      <c r="F298" s="49">
        <v>1.3707</v>
      </c>
      <c r="G298" s="49">
        <v>1.4769300000000001</v>
      </c>
      <c r="H298" s="33" t="s">
        <v>39</v>
      </c>
      <c r="I298" s="49">
        <v>1.7027000000000001</v>
      </c>
      <c r="J298" s="49">
        <v>1.6732499999999999</v>
      </c>
      <c r="K298" s="49">
        <v>1.5972</v>
      </c>
      <c r="L298" s="33" t="s">
        <v>39</v>
      </c>
      <c r="M298" s="33" t="s">
        <v>39</v>
      </c>
      <c r="N298" s="33" t="s">
        <v>39</v>
      </c>
      <c r="O298" s="49">
        <v>1.8378000000000001</v>
      </c>
      <c r="P298" s="49">
        <v>1.9475800000000001</v>
      </c>
      <c r="Q298" s="49">
        <v>2.6288299999999998</v>
      </c>
      <c r="R298" s="49">
        <v>2.8422999999999998</v>
      </c>
      <c r="S298" s="33" t="s">
        <v>39</v>
      </c>
      <c r="T298" s="49">
        <v>3.4601999999999999</v>
      </c>
      <c r="U298" s="33" t="s">
        <v>39</v>
      </c>
      <c r="V298" s="50">
        <v>3.16</v>
      </c>
      <c r="W298" s="33" t="s">
        <v>39</v>
      </c>
      <c r="X298" s="33" t="s">
        <v>39</v>
      </c>
      <c r="Y298" s="33" t="s">
        <v>39</v>
      </c>
      <c r="Z298" s="33" t="s">
        <v>39</v>
      </c>
      <c r="AA298" s="33" t="s">
        <v>39</v>
      </c>
      <c r="AB298" s="33" t="s">
        <v>39</v>
      </c>
      <c r="AC298" s="33" t="s">
        <v>39</v>
      </c>
      <c r="AD298" s="33" t="s">
        <v>39</v>
      </c>
    </row>
    <row r="299" spans="1:30">
      <c r="A299" s="32" t="s">
        <v>546</v>
      </c>
      <c r="B299" s="33" t="s">
        <v>39</v>
      </c>
      <c r="C299" s="33" t="s">
        <v>39</v>
      </c>
      <c r="D299" s="33" t="s">
        <v>39</v>
      </c>
      <c r="E299" s="50">
        <v>1.04</v>
      </c>
      <c r="F299" s="50">
        <v>1.1499999999999999</v>
      </c>
      <c r="G299" s="50">
        <v>1.22</v>
      </c>
      <c r="H299" s="33" t="s">
        <v>39</v>
      </c>
      <c r="I299" s="50">
        <v>1.42</v>
      </c>
      <c r="J299" s="50">
        <v>1.46</v>
      </c>
      <c r="K299" s="50">
        <v>1.5</v>
      </c>
      <c r="L299" s="33" t="s">
        <v>39</v>
      </c>
      <c r="M299" s="33" t="s">
        <v>39</v>
      </c>
      <c r="N299" s="33" t="s">
        <v>39</v>
      </c>
      <c r="O299" s="50">
        <v>1.5</v>
      </c>
      <c r="P299" s="50">
        <v>1.54</v>
      </c>
      <c r="Q299" s="50">
        <v>1.68</v>
      </c>
      <c r="R299" s="50">
        <v>1.88</v>
      </c>
      <c r="S299" s="33" t="s">
        <v>39</v>
      </c>
      <c r="T299" s="50">
        <v>2.64</v>
      </c>
      <c r="U299" s="33" t="s">
        <v>39</v>
      </c>
      <c r="V299" s="33" t="s">
        <v>39</v>
      </c>
      <c r="W299" s="33" t="s">
        <v>39</v>
      </c>
      <c r="X299" s="33" t="s">
        <v>39</v>
      </c>
      <c r="Y299" s="33" t="s">
        <v>39</v>
      </c>
      <c r="Z299" s="33" t="s">
        <v>39</v>
      </c>
      <c r="AA299" s="33" t="s">
        <v>39</v>
      </c>
      <c r="AB299" s="33" t="s">
        <v>39</v>
      </c>
      <c r="AC299" s="33" t="s">
        <v>39</v>
      </c>
      <c r="AD299" s="33" t="s">
        <v>39</v>
      </c>
    </row>
    <row r="300" spans="1:30">
      <c r="A300" s="32" t="s">
        <v>547</v>
      </c>
      <c r="B300" s="33" t="s">
        <v>39</v>
      </c>
      <c r="C300" s="33" t="s">
        <v>39</v>
      </c>
      <c r="D300" s="33" t="s">
        <v>39</v>
      </c>
      <c r="E300" s="50">
        <v>1.04</v>
      </c>
      <c r="F300" s="50">
        <v>1.1499999999999999</v>
      </c>
      <c r="G300" s="50">
        <v>1.22</v>
      </c>
      <c r="H300" s="33" t="s">
        <v>39</v>
      </c>
      <c r="I300" s="50">
        <v>1.42</v>
      </c>
      <c r="J300" s="50">
        <v>1.46</v>
      </c>
      <c r="K300" s="50">
        <v>1.5</v>
      </c>
      <c r="L300" s="33" t="s">
        <v>39</v>
      </c>
      <c r="M300" s="33" t="s">
        <v>39</v>
      </c>
      <c r="N300" s="33" t="s">
        <v>39</v>
      </c>
      <c r="O300" s="50">
        <v>1.5</v>
      </c>
      <c r="P300" s="50">
        <v>1.54</v>
      </c>
      <c r="Q300" s="50">
        <v>1.68</v>
      </c>
      <c r="R300" s="50">
        <v>1.88</v>
      </c>
      <c r="S300" s="33" t="s">
        <v>39</v>
      </c>
      <c r="T300" s="50">
        <v>2.64</v>
      </c>
      <c r="U300" s="33" t="s">
        <v>39</v>
      </c>
      <c r="V300" s="50">
        <v>3.16</v>
      </c>
      <c r="W300" s="33" t="s">
        <v>39</v>
      </c>
      <c r="X300" s="33" t="s">
        <v>39</v>
      </c>
      <c r="Y300" s="33" t="s">
        <v>39</v>
      </c>
      <c r="Z300" s="33" t="s">
        <v>39</v>
      </c>
      <c r="AA300" s="33" t="s">
        <v>39</v>
      </c>
      <c r="AB300" s="33" t="s">
        <v>39</v>
      </c>
      <c r="AC300" s="33" t="s">
        <v>39</v>
      </c>
      <c r="AD300" s="33" t="s">
        <v>39</v>
      </c>
    </row>
    <row r="301" spans="1:30">
      <c r="A301" s="32" t="s">
        <v>548</v>
      </c>
      <c r="B301" s="33" t="s">
        <v>39</v>
      </c>
      <c r="C301" s="33" t="s">
        <v>39</v>
      </c>
      <c r="D301" s="33" t="s">
        <v>39</v>
      </c>
      <c r="E301" s="50">
        <v>1.04</v>
      </c>
      <c r="F301" s="50">
        <v>1.1499999999999999</v>
      </c>
      <c r="G301" s="50">
        <v>1.22</v>
      </c>
      <c r="H301" s="33" t="s">
        <v>39</v>
      </c>
      <c r="I301" s="50">
        <v>1.42</v>
      </c>
      <c r="J301" s="50">
        <v>1.46</v>
      </c>
      <c r="K301" s="50">
        <v>1.5</v>
      </c>
      <c r="L301" s="33" t="s">
        <v>39</v>
      </c>
      <c r="M301" s="33" t="s">
        <v>39</v>
      </c>
      <c r="N301" s="33" t="s">
        <v>39</v>
      </c>
      <c r="O301" s="50">
        <v>1.5</v>
      </c>
      <c r="P301" s="50">
        <v>1.54</v>
      </c>
      <c r="Q301" s="50">
        <v>1.68</v>
      </c>
      <c r="R301" s="50">
        <v>1.88</v>
      </c>
      <c r="S301" s="33" t="s">
        <v>39</v>
      </c>
      <c r="T301" s="50">
        <v>2.64</v>
      </c>
      <c r="U301" s="33" t="s">
        <v>39</v>
      </c>
      <c r="V301" s="50">
        <v>3.16</v>
      </c>
      <c r="W301" s="33" t="s">
        <v>39</v>
      </c>
      <c r="X301" s="33" t="s">
        <v>39</v>
      </c>
      <c r="Y301" s="33" t="s">
        <v>39</v>
      </c>
      <c r="Z301" s="33" t="s">
        <v>39</v>
      </c>
      <c r="AA301" s="33" t="s">
        <v>39</v>
      </c>
      <c r="AB301" s="33" t="s">
        <v>39</v>
      </c>
      <c r="AC301" s="33" t="s">
        <v>39</v>
      </c>
      <c r="AD301" s="33" t="s">
        <v>39</v>
      </c>
    </row>
    <row r="302" spans="1:30">
      <c r="A302" s="32" t="s">
        <v>549</v>
      </c>
      <c r="B302" s="33" t="s">
        <v>39</v>
      </c>
      <c r="C302" s="33" t="s">
        <v>39</v>
      </c>
      <c r="D302" s="33" t="s">
        <v>39</v>
      </c>
      <c r="E302" s="50">
        <v>1.04</v>
      </c>
      <c r="F302" s="50">
        <v>1.1499999999999999</v>
      </c>
      <c r="G302" s="50">
        <v>1.22</v>
      </c>
      <c r="H302" s="33" t="s">
        <v>39</v>
      </c>
      <c r="I302" s="50">
        <v>1.42</v>
      </c>
      <c r="J302" s="50">
        <v>1.46</v>
      </c>
      <c r="K302" s="50">
        <v>1.5</v>
      </c>
      <c r="L302" s="33" t="s">
        <v>39</v>
      </c>
      <c r="M302" s="33" t="s">
        <v>39</v>
      </c>
      <c r="N302" s="33" t="s">
        <v>39</v>
      </c>
      <c r="O302" s="50">
        <v>1.5</v>
      </c>
      <c r="P302" s="50">
        <v>1.54</v>
      </c>
      <c r="Q302" s="50">
        <v>1.68</v>
      </c>
      <c r="R302" s="50">
        <v>1.88</v>
      </c>
      <c r="S302" s="33" t="s">
        <v>39</v>
      </c>
      <c r="T302" s="50">
        <v>2.64</v>
      </c>
      <c r="U302" s="33" t="s">
        <v>39</v>
      </c>
      <c r="V302" s="50">
        <v>3.16</v>
      </c>
      <c r="W302" s="33" t="s">
        <v>39</v>
      </c>
      <c r="X302" s="33" t="s">
        <v>39</v>
      </c>
      <c r="Y302" s="33" t="s">
        <v>39</v>
      </c>
      <c r="Z302" s="33" t="s">
        <v>39</v>
      </c>
      <c r="AA302" s="33" t="s">
        <v>39</v>
      </c>
      <c r="AB302" s="33" t="s">
        <v>39</v>
      </c>
      <c r="AC302" s="33" t="s">
        <v>39</v>
      </c>
      <c r="AD302" s="33" t="s">
        <v>39</v>
      </c>
    </row>
    <row r="303" spans="1:30">
      <c r="A303" s="32" t="s">
        <v>550</v>
      </c>
      <c r="B303" s="33" t="s">
        <v>39</v>
      </c>
      <c r="C303" s="33" t="s">
        <v>39</v>
      </c>
      <c r="D303" s="33" t="s">
        <v>39</v>
      </c>
      <c r="E303" s="45">
        <v>0</v>
      </c>
      <c r="F303" s="45">
        <v>0</v>
      </c>
      <c r="G303" s="45">
        <v>0</v>
      </c>
      <c r="H303" s="33" t="s">
        <v>39</v>
      </c>
      <c r="I303" s="45">
        <v>0</v>
      </c>
      <c r="J303" s="45">
        <v>0</v>
      </c>
      <c r="K303" s="45">
        <v>0</v>
      </c>
      <c r="L303" s="33" t="s">
        <v>39</v>
      </c>
      <c r="M303" s="33" t="s">
        <v>39</v>
      </c>
      <c r="N303" s="33" t="s">
        <v>39</v>
      </c>
      <c r="O303" s="45">
        <v>0</v>
      </c>
      <c r="P303" s="45">
        <v>0</v>
      </c>
      <c r="Q303" s="45">
        <v>0</v>
      </c>
      <c r="R303" s="45">
        <v>0</v>
      </c>
      <c r="S303" s="33" t="s">
        <v>39</v>
      </c>
      <c r="T303" s="45">
        <v>0</v>
      </c>
      <c r="U303" s="33" t="s">
        <v>39</v>
      </c>
      <c r="V303" s="45">
        <v>0</v>
      </c>
      <c r="W303" s="33" t="s">
        <v>39</v>
      </c>
      <c r="X303" s="33" t="s">
        <v>39</v>
      </c>
      <c r="Y303" s="33" t="s">
        <v>39</v>
      </c>
      <c r="Z303" s="33" t="s">
        <v>39</v>
      </c>
      <c r="AA303" s="33" t="s">
        <v>39</v>
      </c>
      <c r="AB303" s="33" t="s">
        <v>39</v>
      </c>
      <c r="AC303" s="33" t="s">
        <v>39</v>
      </c>
      <c r="AD303" s="33" t="s">
        <v>39</v>
      </c>
    </row>
    <row r="304" spans="1:30">
      <c r="A304" s="32" t="s">
        <v>551</v>
      </c>
      <c r="B304" s="33" t="s">
        <v>39</v>
      </c>
      <c r="C304" s="33" t="s">
        <v>39</v>
      </c>
      <c r="D304" s="33" t="s">
        <v>39</v>
      </c>
      <c r="E304" s="33" t="s">
        <v>575</v>
      </c>
      <c r="F304" s="33" t="s">
        <v>575</v>
      </c>
      <c r="G304" s="33" t="s">
        <v>575</v>
      </c>
      <c r="H304" s="33" t="s">
        <v>39</v>
      </c>
      <c r="I304" s="33" t="s">
        <v>575</v>
      </c>
      <c r="J304" s="33" t="s">
        <v>575</v>
      </c>
      <c r="K304" s="33" t="s">
        <v>575</v>
      </c>
      <c r="L304" s="33" t="s">
        <v>39</v>
      </c>
      <c r="M304" s="33" t="s">
        <v>39</v>
      </c>
      <c r="N304" s="33" t="s">
        <v>39</v>
      </c>
      <c r="O304" s="33" t="s">
        <v>575</v>
      </c>
      <c r="P304" s="33" t="s">
        <v>575</v>
      </c>
      <c r="Q304" s="33" t="s">
        <v>575</v>
      </c>
      <c r="R304" s="33" t="s">
        <v>575</v>
      </c>
      <c r="S304" s="33" t="s">
        <v>39</v>
      </c>
      <c r="T304" s="33" t="s">
        <v>575</v>
      </c>
      <c r="U304" s="33" t="s">
        <v>39</v>
      </c>
      <c r="V304" s="33" t="s">
        <v>575</v>
      </c>
      <c r="W304" s="33" t="s">
        <v>39</v>
      </c>
      <c r="X304" s="33" t="s">
        <v>39</v>
      </c>
      <c r="Y304" s="33" t="s">
        <v>39</v>
      </c>
      <c r="Z304" s="33" t="s">
        <v>39</v>
      </c>
      <c r="AA304" s="33" t="s">
        <v>39</v>
      </c>
      <c r="AB304" s="33" t="s">
        <v>39</v>
      </c>
      <c r="AC304" s="33" t="s">
        <v>39</v>
      </c>
      <c r="AD304" s="33" t="s">
        <v>39</v>
      </c>
    </row>
    <row r="305" spans="1:30">
      <c r="A305" s="32" t="s">
        <v>563</v>
      </c>
      <c r="B305" s="33" t="s">
        <v>39</v>
      </c>
      <c r="C305" s="33" t="s">
        <v>39</v>
      </c>
      <c r="D305" s="33" t="s">
        <v>39</v>
      </c>
      <c r="E305" s="33" t="s">
        <v>564</v>
      </c>
      <c r="F305" s="33" t="s">
        <v>564</v>
      </c>
      <c r="G305" s="33" t="s">
        <v>564</v>
      </c>
      <c r="H305" s="33" t="s">
        <v>39</v>
      </c>
      <c r="I305" s="33" t="s">
        <v>564</v>
      </c>
      <c r="J305" s="33" t="s">
        <v>564</v>
      </c>
      <c r="K305" s="33" t="s">
        <v>564</v>
      </c>
      <c r="L305" s="33" t="s">
        <v>39</v>
      </c>
      <c r="M305" s="33" t="s">
        <v>39</v>
      </c>
      <c r="N305" s="33" t="s">
        <v>39</v>
      </c>
      <c r="O305" s="33" t="s">
        <v>564</v>
      </c>
      <c r="P305" s="33" t="s">
        <v>564</v>
      </c>
      <c r="Q305" s="33" t="s">
        <v>564</v>
      </c>
      <c r="R305" s="33" t="s">
        <v>564</v>
      </c>
      <c r="S305" s="33" t="s">
        <v>39</v>
      </c>
      <c r="T305" s="33" t="s">
        <v>564</v>
      </c>
      <c r="U305" s="33" t="s">
        <v>39</v>
      </c>
      <c r="V305" s="33" t="s">
        <v>564</v>
      </c>
      <c r="W305" s="33" t="s">
        <v>39</v>
      </c>
      <c r="X305" s="33" t="s">
        <v>39</v>
      </c>
      <c r="Y305" s="33" t="s">
        <v>39</v>
      </c>
      <c r="Z305" s="33" t="s">
        <v>39</v>
      </c>
      <c r="AA305" s="33" t="s">
        <v>39</v>
      </c>
      <c r="AB305" s="33" t="s">
        <v>39</v>
      </c>
      <c r="AC305" s="33" t="s">
        <v>39</v>
      </c>
      <c r="AD305" s="33" t="s">
        <v>39</v>
      </c>
    </row>
    <row r="306" spans="1:30">
      <c r="A306" s="4" t="s">
        <v>585</v>
      </c>
      <c r="B306" s="33" t="s">
        <v>39</v>
      </c>
      <c r="C306" s="33" t="s">
        <v>39</v>
      </c>
      <c r="D306" s="33" t="s">
        <v>39</v>
      </c>
      <c r="E306" s="33" t="s">
        <v>39</v>
      </c>
      <c r="F306" s="33" t="s">
        <v>39</v>
      </c>
      <c r="G306" s="33" t="s">
        <v>39</v>
      </c>
      <c r="H306" s="33" t="s">
        <v>39</v>
      </c>
      <c r="I306" s="49">
        <v>0.10349999999999999</v>
      </c>
      <c r="J306" s="33" t="s">
        <v>39</v>
      </c>
      <c r="K306" s="49">
        <v>0.13145999999999999</v>
      </c>
      <c r="L306" s="49">
        <v>4.7059999999999998E-2</v>
      </c>
      <c r="M306" s="49">
        <v>0.1</v>
      </c>
      <c r="N306" s="49">
        <v>0.42620000000000002</v>
      </c>
      <c r="O306" s="49">
        <v>7.7380000000000004E-2</v>
      </c>
      <c r="P306" s="49">
        <v>0.27417000000000002</v>
      </c>
      <c r="Q306" s="49">
        <v>0.51200000000000001</v>
      </c>
      <c r="R306" s="49">
        <v>0.12590999999999999</v>
      </c>
      <c r="S306" s="49">
        <v>0.27889999999999998</v>
      </c>
      <c r="T306" s="49">
        <v>-0.621</v>
      </c>
      <c r="U306" s="49">
        <v>0.84560000000000002</v>
      </c>
      <c r="V306" s="50">
        <v>0.96828000000000003</v>
      </c>
      <c r="W306" s="50">
        <v>0.77154</v>
      </c>
      <c r="X306" s="50">
        <v>0.43228</v>
      </c>
      <c r="Y306" s="50">
        <v>0.34201999999999999</v>
      </c>
      <c r="Z306" s="50">
        <v>0.77</v>
      </c>
      <c r="AA306" s="33" t="s">
        <v>39</v>
      </c>
      <c r="AB306" s="33" t="s">
        <v>39</v>
      </c>
      <c r="AC306" s="33" t="s">
        <v>39</v>
      </c>
      <c r="AD306" s="33" t="s">
        <v>39</v>
      </c>
    </row>
    <row r="307" spans="1:30">
      <c r="A307" s="32" t="s">
        <v>546</v>
      </c>
      <c r="B307" s="33" t="s">
        <v>39</v>
      </c>
      <c r="C307" s="33" t="s">
        <v>39</v>
      </c>
      <c r="D307" s="33" t="s">
        <v>39</v>
      </c>
      <c r="E307" s="33" t="s">
        <v>39</v>
      </c>
      <c r="F307" s="33" t="s">
        <v>39</v>
      </c>
      <c r="G307" s="33" t="s">
        <v>39</v>
      </c>
      <c r="H307" s="33" t="s">
        <v>39</v>
      </c>
      <c r="I307" s="50">
        <v>0.12661</v>
      </c>
      <c r="J307" s="33" t="s">
        <v>39</v>
      </c>
      <c r="K307" s="50">
        <v>7.9399999999999998E-2</v>
      </c>
      <c r="L307" s="50">
        <v>0.23744999999999999</v>
      </c>
      <c r="M307" s="50">
        <v>0.15165000000000001</v>
      </c>
      <c r="N307" s="50">
        <v>0.11776</v>
      </c>
      <c r="O307" s="50">
        <v>0.23472000000000001</v>
      </c>
      <c r="P307" s="50">
        <v>0.21190999999999999</v>
      </c>
      <c r="Q307" s="50">
        <v>0.32952999999999999</v>
      </c>
      <c r="R307" s="50">
        <v>0.25013000000000002</v>
      </c>
      <c r="S307" s="50">
        <v>0.70059000000000005</v>
      </c>
      <c r="T307" s="50">
        <v>-0.12445000000000001</v>
      </c>
      <c r="U307" s="50">
        <v>0.83782000000000001</v>
      </c>
      <c r="V307" s="33" t="s">
        <v>39</v>
      </c>
      <c r="W307" s="33" t="s">
        <v>39</v>
      </c>
      <c r="X307" s="33" t="s">
        <v>39</v>
      </c>
      <c r="Y307" s="33" t="s">
        <v>39</v>
      </c>
      <c r="Z307" s="33" t="s">
        <v>39</v>
      </c>
      <c r="AA307" s="33" t="s">
        <v>39</v>
      </c>
      <c r="AB307" s="33" t="s">
        <v>39</v>
      </c>
      <c r="AC307" s="33" t="s">
        <v>39</v>
      </c>
      <c r="AD307" s="33" t="s">
        <v>39</v>
      </c>
    </row>
    <row r="308" spans="1:30">
      <c r="A308" s="32" t="s">
        <v>547</v>
      </c>
      <c r="B308" s="33" t="s">
        <v>39</v>
      </c>
      <c r="C308" s="33" t="s">
        <v>39</v>
      </c>
      <c r="D308" s="33" t="s">
        <v>39</v>
      </c>
      <c r="E308" s="33" t="s">
        <v>39</v>
      </c>
      <c r="F308" s="33" t="s">
        <v>39</v>
      </c>
      <c r="G308" s="33" t="s">
        <v>39</v>
      </c>
      <c r="H308" s="33" t="s">
        <v>39</v>
      </c>
      <c r="I308" s="50">
        <v>0.12661</v>
      </c>
      <c r="J308" s="33" t="s">
        <v>39</v>
      </c>
      <c r="K308" s="50">
        <v>7.9399999999999998E-2</v>
      </c>
      <c r="L308" s="50">
        <v>0.23744999999999999</v>
      </c>
      <c r="M308" s="50">
        <v>0.15165000000000001</v>
      </c>
      <c r="N308" s="50">
        <v>0.11776</v>
      </c>
      <c r="O308" s="50">
        <v>0.23472000000000001</v>
      </c>
      <c r="P308" s="50">
        <v>0.21190999999999999</v>
      </c>
      <c r="Q308" s="50">
        <v>0.32952999999999999</v>
      </c>
      <c r="R308" s="50">
        <v>0.25013000000000002</v>
      </c>
      <c r="S308" s="50">
        <v>0.70059000000000005</v>
      </c>
      <c r="T308" s="50">
        <v>-0.12445000000000001</v>
      </c>
      <c r="U308" s="50">
        <v>0.83782000000000001</v>
      </c>
      <c r="V308" s="50">
        <v>0.96828000000000003</v>
      </c>
      <c r="W308" s="50">
        <v>0.77154</v>
      </c>
      <c r="X308" s="50">
        <v>0.43228</v>
      </c>
      <c r="Y308" s="50">
        <v>0.34201999999999999</v>
      </c>
      <c r="Z308" s="50">
        <v>0.77</v>
      </c>
      <c r="AA308" s="33" t="s">
        <v>39</v>
      </c>
      <c r="AB308" s="33" t="s">
        <v>39</v>
      </c>
      <c r="AC308" s="33" t="s">
        <v>39</v>
      </c>
      <c r="AD308" s="33" t="s">
        <v>39</v>
      </c>
    </row>
    <row r="309" spans="1:30">
      <c r="A309" s="32" t="s">
        <v>548</v>
      </c>
      <c r="B309" s="33" t="s">
        <v>39</v>
      </c>
      <c r="C309" s="33" t="s">
        <v>39</v>
      </c>
      <c r="D309" s="33" t="s">
        <v>39</v>
      </c>
      <c r="E309" s="33" t="s">
        <v>39</v>
      </c>
      <c r="F309" s="33" t="s">
        <v>39</v>
      </c>
      <c r="G309" s="33" t="s">
        <v>39</v>
      </c>
      <c r="H309" s="33" t="s">
        <v>39</v>
      </c>
      <c r="I309" s="50">
        <v>0.12661</v>
      </c>
      <c r="J309" s="33" t="s">
        <v>39</v>
      </c>
      <c r="K309" s="50">
        <v>7.9399999999999998E-2</v>
      </c>
      <c r="L309" s="50">
        <v>0.23744999999999999</v>
      </c>
      <c r="M309" s="50">
        <v>0.15165000000000001</v>
      </c>
      <c r="N309" s="50">
        <v>0.11776</v>
      </c>
      <c r="O309" s="50">
        <v>0.35761999999999999</v>
      </c>
      <c r="P309" s="50">
        <v>0.21190999999999999</v>
      </c>
      <c r="Q309" s="50">
        <v>0.32952999999999999</v>
      </c>
      <c r="R309" s="50">
        <v>0.25572</v>
      </c>
      <c r="S309" s="50">
        <v>0.70059000000000005</v>
      </c>
      <c r="T309" s="50">
        <v>-0.12445000000000001</v>
      </c>
      <c r="U309" s="50">
        <v>0.83782000000000001</v>
      </c>
      <c r="V309" s="50">
        <v>1.2165600000000001</v>
      </c>
      <c r="W309" s="50">
        <v>0.77154</v>
      </c>
      <c r="X309" s="50">
        <v>0.54</v>
      </c>
      <c r="Y309" s="50">
        <v>0.71</v>
      </c>
      <c r="Z309" s="50">
        <v>0.77</v>
      </c>
      <c r="AA309" s="33" t="s">
        <v>39</v>
      </c>
      <c r="AB309" s="33" t="s">
        <v>39</v>
      </c>
      <c r="AC309" s="33" t="s">
        <v>39</v>
      </c>
      <c r="AD309" s="33" t="s">
        <v>39</v>
      </c>
    </row>
    <row r="310" spans="1:30">
      <c r="A310" s="32" t="s">
        <v>549</v>
      </c>
      <c r="B310" s="33" t="s">
        <v>39</v>
      </c>
      <c r="C310" s="33" t="s">
        <v>39</v>
      </c>
      <c r="D310" s="33" t="s">
        <v>39</v>
      </c>
      <c r="E310" s="33" t="s">
        <v>39</v>
      </c>
      <c r="F310" s="33" t="s">
        <v>39</v>
      </c>
      <c r="G310" s="33" t="s">
        <v>39</v>
      </c>
      <c r="H310" s="33" t="s">
        <v>39</v>
      </c>
      <c r="I310" s="50">
        <v>0.12661</v>
      </c>
      <c r="J310" s="33" t="s">
        <v>39</v>
      </c>
      <c r="K310" s="50">
        <v>7.9399999999999998E-2</v>
      </c>
      <c r="L310" s="50">
        <v>0.23744999999999999</v>
      </c>
      <c r="M310" s="50">
        <v>0.15165000000000001</v>
      </c>
      <c r="N310" s="50">
        <v>0.11776</v>
      </c>
      <c r="O310" s="50">
        <v>0.11183</v>
      </c>
      <c r="P310" s="50">
        <v>0.21190999999999999</v>
      </c>
      <c r="Q310" s="50">
        <v>0.32952999999999999</v>
      </c>
      <c r="R310" s="50">
        <v>0.24454000000000001</v>
      </c>
      <c r="S310" s="50">
        <v>0.70059000000000005</v>
      </c>
      <c r="T310" s="50">
        <v>-0.12445000000000001</v>
      </c>
      <c r="U310" s="50">
        <v>0.83782000000000001</v>
      </c>
      <c r="V310" s="50">
        <v>0.72</v>
      </c>
      <c r="W310" s="50">
        <v>0.77154</v>
      </c>
      <c r="X310" s="50">
        <v>0.32455000000000001</v>
      </c>
      <c r="Y310" s="50">
        <v>-2.5950000000000001E-2</v>
      </c>
      <c r="Z310" s="50">
        <v>0.77</v>
      </c>
      <c r="AA310" s="33" t="s">
        <v>39</v>
      </c>
      <c r="AB310" s="33" t="s">
        <v>39</v>
      </c>
      <c r="AC310" s="33" t="s">
        <v>39</v>
      </c>
      <c r="AD310" s="33" t="s">
        <v>39</v>
      </c>
    </row>
    <row r="311" spans="1:30">
      <c r="A311" s="32" t="s">
        <v>550</v>
      </c>
      <c r="B311" s="33" t="s">
        <v>39</v>
      </c>
      <c r="C311" s="33" t="s">
        <v>39</v>
      </c>
      <c r="D311" s="33" t="s">
        <v>39</v>
      </c>
      <c r="E311" s="33" t="s">
        <v>39</v>
      </c>
      <c r="F311" s="33" t="s">
        <v>39</v>
      </c>
      <c r="G311" s="33" t="s">
        <v>39</v>
      </c>
      <c r="H311" s="33" t="s">
        <v>39</v>
      </c>
      <c r="I311" s="45">
        <v>0</v>
      </c>
      <c r="J311" s="33" t="s">
        <v>39</v>
      </c>
      <c r="K311" s="45">
        <v>0</v>
      </c>
      <c r="L311" s="45">
        <v>0</v>
      </c>
      <c r="M311" s="45">
        <v>0</v>
      </c>
      <c r="N311" s="45">
        <v>0</v>
      </c>
      <c r="O311" s="45">
        <v>0.1229</v>
      </c>
      <c r="P311" s="45">
        <v>0</v>
      </c>
      <c r="Q311" s="45">
        <v>0</v>
      </c>
      <c r="R311" s="45">
        <v>5.5900000000000004E-3</v>
      </c>
      <c r="S311" s="45">
        <v>0</v>
      </c>
      <c r="T311" s="45">
        <v>0</v>
      </c>
      <c r="U311" s="45">
        <v>0</v>
      </c>
      <c r="V311" s="45">
        <v>0.24828</v>
      </c>
      <c r="W311" s="45">
        <v>0</v>
      </c>
      <c r="X311" s="45">
        <v>0.10772</v>
      </c>
      <c r="Y311" s="45">
        <v>0.36797999999999997</v>
      </c>
      <c r="Z311" s="45">
        <v>0</v>
      </c>
      <c r="AA311" s="33" t="s">
        <v>39</v>
      </c>
      <c r="AB311" s="33" t="s">
        <v>39</v>
      </c>
      <c r="AC311" s="33" t="s">
        <v>39</v>
      </c>
      <c r="AD311" s="33" t="s">
        <v>39</v>
      </c>
    </row>
    <row r="312" spans="1:30">
      <c r="A312" s="32" t="s">
        <v>551</v>
      </c>
      <c r="B312" s="33" t="s">
        <v>39</v>
      </c>
      <c r="C312" s="33" t="s">
        <v>39</v>
      </c>
      <c r="D312" s="33" t="s">
        <v>39</v>
      </c>
      <c r="E312" s="33" t="s">
        <v>39</v>
      </c>
      <c r="F312" s="33" t="s">
        <v>39</v>
      </c>
      <c r="G312" s="33" t="s">
        <v>39</v>
      </c>
      <c r="H312" s="33" t="s">
        <v>39</v>
      </c>
      <c r="I312" s="33" t="s">
        <v>575</v>
      </c>
      <c r="J312" s="33" t="s">
        <v>39</v>
      </c>
      <c r="K312" s="33" t="s">
        <v>575</v>
      </c>
      <c r="L312" s="33" t="s">
        <v>575</v>
      </c>
      <c r="M312" s="33" t="s">
        <v>575</v>
      </c>
      <c r="N312" s="33" t="s">
        <v>575</v>
      </c>
      <c r="O312" s="33" t="s">
        <v>587</v>
      </c>
      <c r="P312" s="33" t="s">
        <v>575</v>
      </c>
      <c r="Q312" s="33" t="s">
        <v>575</v>
      </c>
      <c r="R312" s="33" t="s">
        <v>587</v>
      </c>
      <c r="S312" s="33" t="s">
        <v>573</v>
      </c>
      <c r="T312" s="33" t="s">
        <v>573</v>
      </c>
      <c r="U312" s="33" t="s">
        <v>736</v>
      </c>
      <c r="V312" s="33" t="s">
        <v>586</v>
      </c>
      <c r="W312" s="33" t="s">
        <v>736</v>
      </c>
      <c r="X312" s="33" t="s">
        <v>586</v>
      </c>
      <c r="Y312" s="33" t="s">
        <v>586</v>
      </c>
      <c r="Z312" s="33" t="s">
        <v>573</v>
      </c>
      <c r="AA312" s="33" t="s">
        <v>39</v>
      </c>
      <c r="AB312" s="33" t="s">
        <v>39</v>
      </c>
      <c r="AC312" s="33" t="s">
        <v>39</v>
      </c>
      <c r="AD312" s="33" t="s">
        <v>39</v>
      </c>
    </row>
    <row r="313" spans="1:30">
      <c r="A313" s="32" t="s">
        <v>563</v>
      </c>
      <c r="B313" s="33" t="s">
        <v>39</v>
      </c>
      <c r="C313" s="33" t="s">
        <v>39</v>
      </c>
      <c r="D313" s="33" t="s">
        <v>39</v>
      </c>
      <c r="E313" s="33" t="s">
        <v>39</v>
      </c>
      <c r="F313" s="33" t="s">
        <v>39</v>
      </c>
      <c r="G313" s="33" t="s">
        <v>39</v>
      </c>
      <c r="H313" s="33" t="s">
        <v>39</v>
      </c>
      <c r="I313" s="33" t="s">
        <v>564</v>
      </c>
      <c r="J313" s="33" t="s">
        <v>39</v>
      </c>
      <c r="K313" s="33" t="s">
        <v>564</v>
      </c>
      <c r="L313" s="33" t="s">
        <v>564</v>
      </c>
      <c r="M313" s="33" t="s">
        <v>564</v>
      </c>
      <c r="N313" s="33" t="s">
        <v>564</v>
      </c>
      <c r="O313" s="33" t="s">
        <v>564</v>
      </c>
      <c r="P313" s="33" t="s">
        <v>564</v>
      </c>
      <c r="Q313" s="33" t="s">
        <v>564</v>
      </c>
      <c r="R313" s="33" t="s">
        <v>564</v>
      </c>
      <c r="S313" s="33" t="s">
        <v>564</v>
      </c>
      <c r="T313" s="33" t="s">
        <v>564</v>
      </c>
      <c r="U313" s="33" t="s">
        <v>564</v>
      </c>
      <c r="V313" s="33" t="s">
        <v>564</v>
      </c>
      <c r="W313" s="33" t="s">
        <v>564</v>
      </c>
      <c r="X313" s="33" t="s">
        <v>564</v>
      </c>
      <c r="Y313" s="33" t="s">
        <v>564</v>
      </c>
      <c r="Z313" s="33" t="s">
        <v>564</v>
      </c>
      <c r="AA313" s="33" t="s">
        <v>39</v>
      </c>
      <c r="AB313" s="33" t="s">
        <v>39</v>
      </c>
      <c r="AC313" s="33" t="s">
        <v>39</v>
      </c>
      <c r="AD313" s="33" t="s">
        <v>39</v>
      </c>
    </row>
    <row r="314" spans="1:30">
      <c r="A314" s="32"/>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row>
    <row r="315" spans="1:30" ht="14">
      <c r="A315" s="47" t="s">
        <v>592</v>
      </c>
      <c r="B315" s="48" t="s">
        <v>687</v>
      </c>
      <c r="C315" s="48" t="s">
        <v>688</v>
      </c>
      <c r="D315" s="48" t="s">
        <v>689</v>
      </c>
      <c r="E315" s="48" t="s">
        <v>690</v>
      </c>
      <c r="F315" s="48" t="s">
        <v>691</v>
      </c>
      <c r="G315" s="48" t="s">
        <v>692</v>
      </c>
      <c r="H315" s="48" t="s">
        <v>693</v>
      </c>
      <c r="I315" s="48" t="s">
        <v>694</v>
      </c>
      <c r="J315" s="48" t="s">
        <v>695</v>
      </c>
      <c r="K315" s="48" t="s">
        <v>696</v>
      </c>
      <c r="L315" s="48" t="s">
        <v>697</v>
      </c>
      <c r="M315" s="48" t="s">
        <v>698</v>
      </c>
      <c r="N315" s="48" t="s">
        <v>699</v>
      </c>
      <c r="O315" s="48" t="s">
        <v>700</v>
      </c>
      <c r="P315" s="48" t="s">
        <v>701</v>
      </c>
      <c r="Q315" s="48" t="s">
        <v>702</v>
      </c>
      <c r="R315" s="48" t="s">
        <v>703</v>
      </c>
      <c r="S315" s="48" t="s">
        <v>704</v>
      </c>
      <c r="T315" s="48" t="s">
        <v>705</v>
      </c>
      <c r="U315" s="48" t="s">
        <v>706</v>
      </c>
      <c r="V315" s="48" t="s">
        <v>707</v>
      </c>
      <c r="W315" s="48" t="s">
        <v>708</v>
      </c>
      <c r="X315" s="48" t="s">
        <v>709</v>
      </c>
      <c r="Y315" s="48" t="s">
        <v>710</v>
      </c>
      <c r="Z315" s="48" t="s">
        <v>711</v>
      </c>
      <c r="AA315" s="48" t="s">
        <v>712</v>
      </c>
      <c r="AB315" s="48" t="s">
        <v>713</v>
      </c>
      <c r="AC315" s="48" t="s">
        <v>714</v>
      </c>
      <c r="AD315" s="48" t="s">
        <v>715</v>
      </c>
    </row>
    <row r="316" spans="1:30">
      <c r="A316" s="4" t="s">
        <v>36</v>
      </c>
      <c r="B316" s="49">
        <v>134.54599999999999</v>
      </c>
      <c r="C316" s="49">
        <v>146</v>
      </c>
      <c r="D316" s="49">
        <v>170.809</v>
      </c>
      <c r="E316" s="49">
        <v>177.77699999999999</v>
      </c>
      <c r="F316" s="49">
        <v>192</v>
      </c>
      <c r="G316" s="49">
        <v>203.77600000000001</v>
      </c>
      <c r="H316" s="49">
        <v>240</v>
      </c>
      <c r="I316" s="49">
        <v>257.11599999999999</v>
      </c>
      <c r="J316" s="49">
        <v>282.65800000000002</v>
      </c>
      <c r="K316" s="49">
        <v>306.82</v>
      </c>
      <c r="L316" s="49">
        <v>385.43299999999999</v>
      </c>
      <c r="M316" s="49">
        <v>431.13600000000002</v>
      </c>
      <c r="N316" s="49">
        <v>464.25200000000001</v>
      </c>
      <c r="O316" s="49">
        <v>489.05</v>
      </c>
      <c r="P316" s="49">
        <v>562.79999999999995</v>
      </c>
      <c r="Q316" s="49">
        <v>602.21900000000005</v>
      </c>
      <c r="R316" s="49">
        <v>620.678</v>
      </c>
      <c r="S316" s="49">
        <v>1381.1089999999999</v>
      </c>
      <c r="T316" s="49">
        <v>1923.625</v>
      </c>
      <c r="U316" s="49">
        <v>3033.8739999999998</v>
      </c>
      <c r="V316" s="50">
        <v>3075.0783799999999</v>
      </c>
      <c r="W316" s="50">
        <v>2984.93451</v>
      </c>
      <c r="X316" s="50">
        <v>3128.1921200000002</v>
      </c>
      <c r="Y316" s="50">
        <v>3424.7513199999999</v>
      </c>
      <c r="Z316" s="50">
        <v>3622.5001299999999</v>
      </c>
      <c r="AA316" s="50">
        <v>3371.91725</v>
      </c>
      <c r="AB316" s="50">
        <v>3503.8262399999999</v>
      </c>
      <c r="AC316" s="50">
        <v>3848.2824500000002</v>
      </c>
      <c r="AD316" s="50">
        <v>3996.04169</v>
      </c>
    </row>
    <row r="317" spans="1:30">
      <c r="A317" s="32" t="s">
        <v>546</v>
      </c>
      <c r="B317" s="50">
        <v>124.57042</v>
      </c>
      <c r="C317" s="50">
        <v>135.02924999999999</v>
      </c>
      <c r="D317" s="50">
        <v>157.87281999999999</v>
      </c>
      <c r="E317" s="50">
        <v>172.53935000000001</v>
      </c>
      <c r="F317" s="50">
        <v>187.36133000000001</v>
      </c>
      <c r="G317" s="50">
        <v>193.06545</v>
      </c>
      <c r="H317" s="50">
        <v>228.64346</v>
      </c>
      <c r="I317" s="50">
        <v>244.95080999999999</v>
      </c>
      <c r="J317" s="50">
        <v>266.52458999999999</v>
      </c>
      <c r="K317" s="50">
        <v>293.01510999999999</v>
      </c>
      <c r="L317" s="50">
        <v>367.9873</v>
      </c>
      <c r="M317" s="50">
        <v>414.18772999999999</v>
      </c>
      <c r="N317" s="50">
        <v>453.87813</v>
      </c>
      <c r="O317" s="50">
        <v>479.63078000000002</v>
      </c>
      <c r="P317" s="50">
        <v>557.67462</v>
      </c>
      <c r="Q317" s="50">
        <v>596.84820999999999</v>
      </c>
      <c r="R317" s="50">
        <v>593.62869999999998</v>
      </c>
      <c r="S317" s="50">
        <v>1302.7853700000001</v>
      </c>
      <c r="T317" s="50">
        <v>1134.66949</v>
      </c>
      <c r="U317" s="50">
        <v>2079.6249899999998</v>
      </c>
      <c r="V317" s="33" t="s">
        <v>39</v>
      </c>
      <c r="W317" s="33" t="s">
        <v>39</v>
      </c>
      <c r="X317" s="33" t="s">
        <v>39</v>
      </c>
      <c r="Y317" s="33" t="s">
        <v>39</v>
      </c>
      <c r="Z317" s="33" t="s">
        <v>39</v>
      </c>
      <c r="AA317" s="33" t="s">
        <v>39</v>
      </c>
      <c r="AB317" s="33" t="s">
        <v>39</v>
      </c>
      <c r="AC317" s="33" t="s">
        <v>39</v>
      </c>
      <c r="AD317" s="33" t="s">
        <v>39</v>
      </c>
    </row>
    <row r="318" spans="1:30">
      <c r="A318" s="32" t="s">
        <v>547</v>
      </c>
      <c r="B318" s="50">
        <v>125.218</v>
      </c>
      <c r="C318" s="50">
        <v>135.98750000000001</v>
      </c>
      <c r="D318" s="50">
        <v>156.57300000000001</v>
      </c>
      <c r="E318" s="50">
        <v>172.95</v>
      </c>
      <c r="F318" s="50">
        <v>186.2</v>
      </c>
      <c r="G318" s="50">
        <v>193.18700000000001</v>
      </c>
      <c r="H318" s="50">
        <v>228.55</v>
      </c>
      <c r="I318" s="50">
        <v>244.86750000000001</v>
      </c>
      <c r="J318" s="50">
        <v>265.3</v>
      </c>
      <c r="K318" s="50">
        <v>293</v>
      </c>
      <c r="L318" s="50">
        <v>366</v>
      </c>
      <c r="M318" s="50">
        <v>413</v>
      </c>
      <c r="N318" s="50">
        <v>452.95</v>
      </c>
      <c r="O318" s="50">
        <v>480.7</v>
      </c>
      <c r="P318" s="50">
        <v>555</v>
      </c>
      <c r="Q318" s="50">
        <v>596.79999999999995</v>
      </c>
      <c r="R318" s="50">
        <v>594.16899999999998</v>
      </c>
      <c r="S318" s="50">
        <v>1302.72</v>
      </c>
      <c r="T318" s="50">
        <v>1153.1594600000001</v>
      </c>
      <c r="U318" s="50">
        <v>2147.5705400000002</v>
      </c>
      <c r="V318" s="50">
        <v>3092.0549999999998</v>
      </c>
      <c r="W318" s="50">
        <v>3080.89149</v>
      </c>
      <c r="X318" s="50">
        <v>3184.64</v>
      </c>
      <c r="Y318" s="50">
        <v>3458.95</v>
      </c>
      <c r="Z318" s="50">
        <v>3660.7469999999998</v>
      </c>
      <c r="AA318" s="50">
        <v>3304.5554999999999</v>
      </c>
      <c r="AB318" s="50">
        <v>3388.7855</v>
      </c>
      <c r="AC318" s="50">
        <v>3897.7401599999998</v>
      </c>
      <c r="AD318" s="50">
        <v>4008.3998999999999</v>
      </c>
    </row>
    <row r="319" spans="1:30">
      <c r="A319" s="32" t="s">
        <v>548</v>
      </c>
      <c r="B319" s="50">
        <v>132.1</v>
      </c>
      <c r="C319" s="50">
        <v>139.68899999999999</v>
      </c>
      <c r="D319" s="50">
        <v>167.92400000000001</v>
      </c>
      <c r="E319" s="50">
        <v>181.83699999999999</v>
      </c>
      <c r="F319" s="50">
        <v>197</v>
      </c>
      <c r="G319" s="50">
        <v>199</v>
      </c>
      <c r="H319" s="50">
        <v>236.1</v>
      </c>
      <c r="I319" s="50">
        <v>252</v>
      </c>
      <c r="J319" s="50">
        <v>278.36599999999999</v>
      </c>
      <c r="K319" s="50">
        <v>300</v>
      </c>
      <c r="L319" s="50">
        <v>384.97800000000001</v>
      </c>
      <c r="M319" s="50">
        <v>428.4</v>
      </c>
      <c r="N319" s="50">
        <v>476</v>
      </c>
      <c r="O319" s="50">
        <v>492.137</v>
      </c>
      <c r="P319" s="50">
        <v>573.678</v>
      </c>
      <c r="Q319" s="50">
        <v>615.03599999999994</v>
      </c>
      <c r="R319" s="50">
        <v>615.9</v>
      </c>
      <c r="S319" s="50">
        <v>1332.8016700000001</v>
      </c>
      <c r="T319" s="50">
        <v>1256.3030000000001</v>
      </c>
      <c r="U319" s="50">
        <v>2474.569</v>
      </c>
      <c r="V319" s="50">
        <v>3602.9639999999999</v>
      </c>
      <c r="W319" s="50">
        <v>3966.5</v>
      </c>
      <c r="X319" s="50">
        <v>4331.674</v>
      </c>
      <c r="Y319" s="50">
        <v>4871.0919999999996</v>
      </c>
      <c r="Z319" s="50">
        <v>5016.7070000000003</v>
      </c>
      <c r="AA319" s="50">
        <v>4328</v>
      </c>
      <c r="AB319" s="50">
        <v>4598.6000000000004</v>
      </c>
      <c r="AC319" s="50">
        <v>4948.8999999999996</v>
      </c>
      <c r="AD319" s="50">
        <v>5264.1</v>
      </c>
    </row>
    <row r="320" spans="1:30">
      <c r="A320" s="32" t="s">
        <v>549</v>
      </c>
      <c r="B320" s="50">
        <v>117.5</v>
      </c>
      <c r="C320" s="50">
        <v>123.9</v>
      </c>
      <c r="D320" s="50">
        <v>152.5</v>
      </c>
      <c r="E320" s="50">
        <v>167</v>
      </c>
      <c r="F320" s="50">
        <v>177.8</v>
      </c>
      <c r="G320" s="50">
        <v>187</v>
      </c>
      <c r="H320" s="50">
        <v>219.1</v>
      </c>
      <c r="I320" s="50">
        <v>238.6</v>
      </c>
      <c r="J320" s="50">
        <v>262.3</v>
      </c>
      <c r="K320" s="50">
        <v>276.08999999999997</v>
      </c>
      <c r="L320" s="50">
        <v>362</v>
      </c>
      <c r="M320" s="50">
        <v>408</v>
      </c>
      <c r="N320" s="50">
        <v>444.42</v>
      </c>
      <c r="O320" s="50">
        <v>467.61</v>
      </c>
      <c r="P320" s="50">
        <v>550</v>
      </c>
      <c r="Q320" s="50">
        <v>580.30999999999995</v>
      </c>
      <c r="R320" s="50">
        <v>575.11</v>
      </c>
      <c r="S320" s="50">
        <v>1243.979</v>
      </c>
      <c r="T320" s="50">
        <v>977.8</v>
      </c>
      <c r="U320" s="50">
        <v>1514.971</v>
      </c>
      <c r="V320" s="50">
        <v>2374.4</v>
      </c>
      <c r="W320" s="50">
        <v>2057.607</v>
      </c>
      <c r="X320" s="50">
        <v>2339.1480000000001</v>
      </c>
      <c r="Y320" s="50">
        <v>2554</v>
      </c>
      <c r="Z320" s="50">
        <v>2603.1999999999998</v>
      </c>
      <c r="AA320" s="50">
        <v>2630</v>
      </c>
      <c r="AB320" s="50">
        <v>2709.4</v>
      </c>
      <c r="AC320" s="50">
        <v>2841.7</v>
      </c>
      <c r="AD320" s="50">
        <v>2898.2</v>
      </c>
    </row>
    <row r="321" spans="1:30">
      <c r="A321" s="32" t="s">
        <v>550</v>
      </c>
      <c r="B321" s="45">
        <v>4.4260299999999999</v>
      </c>
      <c r="C321" s="45">
        <v>3.7778</v>
      </c>
      <c r="D321" s="45">
        <v>4.04582</v>
      </c>
      <c r="E321" s="45">
        <v>3.7734700000000001</v>
      </c>
      <c r="F321" s="45">
        <v>3.6507100000000001</v>
      </c>
      <c r="G321" s="45">
        <v>2.3990900000000002</v>
      </c>
      <c r="H321" s="45">
        <v>3.95865</v>
      </c>
      <c r="I321" s="45">
        <v>3.2064699999999999</v>
      </c>
      <c r="J321" s="45">
        <v>3.75726</v>
      </c>
      <c r="K321" s="45">
        <v>4.5924800000000001</v>
      </c>
      <c r="L321" s="45">
        <v>5.2742899999999997</v>
      </c>
      <c r="M321" s="45">
        <v>4.9929199999999998</v>
      </c>
      <c r="N321" s="45">
        <v>6.4119200000000003</v>
      </c>
      <c r="O321" s="45">
        <v>5.0932199999999996</v>
      </c>
      <c r="P321" s="45">
        <v>5.6571999999999996</v>
      </c>
      <c r="Q321" s="45">
        <v>5.6298700000000004</v>
      </c>
      <c r="R321" s="45">
        <v>9.1489399999999996</v>
      </c>
      <c r="S321" s="45">
        <v>19.026309999999999</v>
      </c>
      <c r="T321" s="45">
        <v>73.345160000000007</v>
      </c>
      <c r="U321" s="45">
        <v>221.91461000000001</v>
      </c>
      <c r="V321" s="45">
        <v>251.13668999999999</v>
      </c>
      <c r="W321" s="45">
        <v>474.58845000000002</v>
      </c>
      <c r="X321" s="45">
        <v>524.98027000000002</v>
      </c>
      <c r="Y321" s="45">
        <v>589.27887999999996</v>
      </c>
      <c r="Z321" s="45">
        <v>608.36896999999999</v>
      </c>
      <c r="AA321" s="45">
        <v>459.64152000000001</v>
      </c>
      <c r="AB321" s="45">
        <v>504.72264999999999</v>
      </c>
      <c r="AC321" s="45">
        <v>572.69929000000002</v>
      </c>
      <c r="AD321" s="45">
        <v>604.67318999999998</v>
      </c>
    </row>
    <row r="322" spans="1:30">
      <c r="A322" s="32" t="s">
        <v>551</v>
      </c>
      <c r="B322" s="33" t="s">
        <v>610</v>
      </c>
      <c r="C322" s="33" t="s">
        <v>593</v>
      </c>
      <c r="D322" s="33" t="s">
        <v>657</v>
      </c>
      <c r="E322" s="33" t="s">
        <v>737</v>
      </c>
      <c r="F322" s="33" t="s">
        <v>721</v>
      </c>
      <c r="G322" s="33" t="s">
        <v>738</v>
      </c>
      <c r="H322" s="33" t="s">
        <v>721</v>
      </c>
      <c r="I322" s="33" t="s">
        <v>644</v>
      </c>
      <c r="J322" s="33" t="s">
        <v>739</v>
      </c>
      <c r="K322" s="33" t="s">
        <v>722</v>
      </c>
      <c r="L322" s="33" t="s">
        <v>740</v>
      </c>
      <c r="M322" s="33" t="s">
        <v>603</v>
      </c>
      <c r="N322" s="33" t="s">
        <v>722</v>
      </c>
      <c r="O322" s="33" t="s">
        <v>595</v>
      </c>
      <c r="P322" s="33" t="s">
        <v>739</v>
      </c>
      <c r="Q322" s="33" t="s">
        <v>741</v>
      </c>
      <c r="R322" s="33" t="s">
        <v>742</v>
      </c>
      <c r="S322" s="33" t="s">
        <v>743</v>
      </c>
      <c r="T322" s="33" t="s">
        <v>600</v>
      </c>
      <c r="U322" s="33" t="s">
        <v>744</v>
      </c>
      <c r="V322" s="33" t="s">
        <v>745</v>
      </c>
      <c r="W322" s="33" t="s">
        <v>622</v>
      </c>
      <c r="X322" s="33" t="s">
        <v>622</v>
      </c>
      <c r="Y322" s="33" t="s">
        <v>746</v>
      </c>
      <c r="Z322" s="33" t="s">
        <v>620</v>
      </c>
      <c r="AA322" s="33" t="s">
        <v>633</v>
      </c>
      <c r="AB322" s="33" t="s">
        <v>633</v>
      </c>
      <c r="AC322" s="33" t="s">
        <v>633</v>
      </c>
      <c r="AD322" s="33" t="s">
        <v>633</v>
      </c>
    </row>
    <row r="323" spans="1:30">
      <c r="A323" s="32" t="s">
        <v>561</v>
      </c>
      <c r="B323" s="33" t="s">
        <v>39</v>
      </c>
      <c r="C323" s="51">
        <v>132</v>
      </c>
      <c r="D323" s="51">
        <v>151</v>
      </c>
      <c r="E323" s="51">
        <v>167</v>
      </c>
      <c r="F323" s="51">
        <v>182</v>
      </c>
      <c r="G323" s="51">
        <v>190</v>
      </c>
      <c r="H323" s="51">
        <v>223</v>
      </c>
      <c r="I323" s="51">
        <v>238</v>
      </c>
      <c r="J323" s="51">
        <v>262</v>
      </c>
      <c r="K323" s="51">
        <v>290</v>
      </c>
      <c r="L323" s="51">
        <v>362</v>
      </c>
      <c r="M323" s="51">
        <v>407</v>
      </c>
      <c r="N323" s="51">
        <v>446</v>
      </c>
      <c r="O323" s="51">
        <v>472</v>
      </c>
      <c r="P323" s="51">
        <v>545</v>
      </c>
      <c r="Q323" s="51">
        <v>590</v>
      </c>
      <c r="R323" s="51">
        <v>585</v>
      </c>
      <c r="S323" s="51">
        <v>1300</v>
      </c>
      <c r="T323" s="33" t="s">
        <v>39</v>
      </c>
      <c r="U323" s="33" t="s">
        <v>39</v>
      </c>
      <c r="V323" s="33" t="s">
        <v>39</v>
      </c>
      <c r="W323" s="33" t="s">
        <v>39</v>
      </c>
      <c r="X323" s="33" t="s">
        <v>39</v>
      </c>
      <c r="Y323" s="33" t="s">
        <v>39</v>
      </c>
      <c r="Z323" s="33" t="s">
        <v>39</v>
      </c>
      <c r="AA323" s="33" t="s">
        <v>39</v>
      </c>
      <c r="AB323" s="33" t="s">
        <v>39</v>
      </c>
      <c r="AC323" s="33" t="s">
        <v>39</v>
      </c>
      <c r="AD323" s="33" t="s">
        <v>39</v>
      </c>
    </row>
    <row r="324" spans="1:30">
      <c r="A324" s="32" t="s">
        <v>562</v>
      </c>
      <c r="B324" s="33" t="s">
        <v>39</v>
      </c>
      <c r="C324" s="52">
        <v>137</v>
      </c>
      <c r="D324" s="52">
        <v>156</v>
      </c>
      <c r="E324" s="52">
        <v>171</v>
      </c>
      <c r="F324" s="52">
        <v>185</v>
      </c>
      <c r="G324" s="52">
        <v>193</v>
      </c>
      <c r="H324" s="52">
        <v>226</v>
      </c>
      <c r="I324" s="52">
        <v>241</v>
      </c>
      <c r="J324" s="52">
        <v>265</v>
      </c>
      <c r="K324" s="52">
        <v>295</v>
      </c>
      <c r="L324" s="52">
        <v>367</v>
      </c>
      <c r="M324" s="52">
        <v>412</v>
      </c>
      <c r="N324" s="52">
        <v>451</v>
      </c>
      <c r="O324" s="52">
        <v>482</v>
      </c>
      <c r="P324" s="52">
        <v>555</v>
      </c>
      <c r="Q324" s="52">
        <v>600</v>
      </c>
      <c r="R324" s="52">
        <v>595</v>
      </c>
      <c r="S324" s="52">
        <v>1340</v>
      </c>
      <c r="T324" s="33" t="s">
        <v>39</v>
      </c>
      <c r="U324" s="33" t="s">
        <v>39</v>
      </c>
      <c r="V324" s="33" t="s">
        <v>39</v>
      </c>
      <c r="W324" s="33" t="s">
        <v>39</v>
      </c>
      <c r="X324" s="33" t="s">
        <v>39</v>
      </c>
      <c r="Y324" s="33" t="s">
        <v>39</v>
      </c>
      <c r="Z324" s="33" t="s">
        <v>39</v>
      </c>
      <c r="AA324" s="33" t="s">
        <v>39</v>
      </c>
      <c r="AB324" s="33" t="s">
        <v>39</v>
      </c>
      <c r="AC324" s="33" t="s">
        <v>39</v>
      </c>
      <c r="AD324" s="33" t="s">
        <v>39</v>
      </c>
    </row>
    <row r="325" spans="1:30">
      <c r="A325" s="32" t="s">
        <v>563</v>
      </c>
      <c r="B325" s="33" t="s">
        <v>564</v>
      </c>
      <c r="C325" s="33" t="s">
        <v>564</v>
      </c>
      <c r="D325" s="33" t="s">
        <v>564</v>
      </c>
      <c r="E325" s="33" t="s">
        <v>564</v>
      </c>
      <c r="F325" s="33" t="s">
        <v>564</v>
      </c>
      <c r="G325" s="33" t="s">
        <v>564</v>
      </c>
      <c r="H325" s="33" t="s">
        <v>564</v>
      </c>
      <c r="I325" s="33" t="s">
        <v>564</v>
      </c>
      <c r="J325" s="33" t="s">
        <v>564</v>
      </c>
      <c r="K325" s="33" t="s">
        <v>564</v>
      </c>
      <c r="L325" s="33" t="s">
        <v>564</v>
      </c>
      <c r="M325" s="33" t="s">
        <v>564</v>
      </c>
      <c r="N325" s="33" t="s">
        <v>564</v>
      </c>
      <c r="O325" s="33" t="s">
        <v>564</v>
      </c>
      <c r="P325" s="33" t="s">
        <v>564</v>
      </c>
      <c r="Q325" s="33" t="s">
        <v>564</v>
      </c>
      <c r="R325" s="33" t="s">
        <v>564</v>
      </c>
      <c r="S325" s="33" t="s">
        <v>564</v>
      </c>
      <c r="T325" s="33" t="s">
        <v>564</v>
      </c>
      <c r="U325" s="33" t="s">
        <v>564</v>
      </c>
      <c r="V325" s="33" t="s">
        <v>564</v>
      </c>
      <c r="W325" s="33" t="s">
        <v>564</v>
      </c>
      <c r="X325" s="33" t="s">
        <v>564</v>
      </c>
      <c r="Y325" s="33" t="s">
        <v>564</v>
      </c>
      <c r="Z325" s="33" t="s">
        <v>564</v>
      </c>
      <c r="AA325" s="33" t="s">
        <v>564</v>
      </c>
      <c r="AB325" s="33" t="s">
        <v>564</v>
      </c>
      <c r="AC325" s="33" t="s">
        <v>564</v>
      </c>
      <c r="AD325" s="33" t="s">
        <v>564</v>
      </c>
    </row>
    <row r="326" spans="1:30">
      <c r="A326" s="4" t="s">
        <v>48</v>
      </c>
      <c r="B326" s="49">
        <v>-6.069</v>
      </c>
      <c r="C326" s="49">
        <v>-9</v>
      </c>
      <c r="D326" s="49">
        <v>12.554</v>
      </c>
      <c r="E326" s="49">
        <v>11.622999999999999</v>
      </c>
      <c r="F326" s="49">
        <v>29.792999999999999</v>
      </c>
      <c r="G326" s="49">
        <v>27.024999999999999</v>
      </c>
      <c r="H326" s="49">
        <v>36.496000000000002</v>
      </c>
      <c r="I326" s="49">
        <v>34.304000000000002</v>
      </c>
      <c r="J326" s="49">
        <v>41.183999999999997</v>
      </c>
      <c r="K326" s="49">
        <v>35.893999999999998</v>
      </c>
      <c r="L326" s="49">
        <v>68.322000000000003</v>
      </c>
      <c r="M326" s="49">
        <v>70.997</v>
      </c>
      <c r="N326" s="49">
        <v>81.31</v>
      </c>
      <c r="O326" s="49">
        <v>61.697000000000003</v>
      </c>
      <c r="P326" s="49">
        <v>105.304</v>
      </c>
      <c r="Q326" s="49">
        <v>131.32300000000001</v>
      </c>
      <c r="R326" s="49">
        <v>118.529</v>
      </c>
      <c r="S326" s="49">
        <v>9.3309999999999995</v>
      </c>
      <c r="T326" s="49">
        <v>97.930999999999997</v>
      </c>
      <c r="U326" s="49">
        <v>181.32</v>
      </c>
      <c r="V326" s="50">
        <v>150.54602</v>
      </c>
      <c r="W326" s="50">
        <v>124.67264</v>
      </c>
      <c r="X326" s="50">
        <v>150.40361999999999</v>
      </c>
      <c r="Y326" s="50">
        <v>185.55455000000001</v>
      </c>
      <c r="Z326" s="50">
        <v>202.26966999999999</v>
      </c>
      <c r="AA326" s="50">
        <v>221.71351999999999</v>
      </c>
      <c r="AB326" s="50">
        <v>265.73944999999998</v>
      </c>
      <c r="AC326" s="50">
        <v>314.25763999999998</v>
      </c>
      <c r="AD326" s="50">
        <v>323.53707000000003</v>
      </c>
    </row>
    <row r="327" spans="1:30">
      <c r="A327" s="32" t="s">
        <v>546</v>
      </c>
      <c r="B327" s="50">
        <v>-15.261889999999999</v>
      </c>
      <c r="C327" s="50">
        <v>-9.85</v>
      </c>
      <c r="D327" s="50">
        <v>0.21285999999999999</v>
      </c>
      <c r="E327" s="50">
        <v>7.0379300000000002</v>
      </c>
      <c r="F327" s="50">
        <v>18.043379999999999</v>
      </c>
      <c r="G327" s="50">
        <v>17.82245</v>
      </c>
      <c r="H327" s="50">
        <v>30.18965</v>
      </c>
      <c r="I327" s="50">
        <v>32.48733</v>
      </c>
      <c r="J327" s="50">
        <v>38.411209999999997</v>
      </c>
      <c r="K327" s="50">
        <v>33.911639999999998</v>
      </c>
      <c r="L327" s="50">
        <v>64.584410000000005</v>
      </c>
      <c r="M327" s="50">
        <v>65.314850000000007</v>
      </c>
      <c r="N327" s="50">
        <v>79.035679999999999</v>
      </c>
      <c r="O327" s="50">
        <v>51.276090000000003</v>
      </c>
      <c r="P327" s="50">
        <v>93.92277</v>
      </c>
      <c r="Q327" s="50">
        <v>110.854</v>
      </c>
      <c r="R327" s="50">
        <v>115.72891</v>
      </c>
      <c r="S327" s="50">
        <v>78.9572</v>
      </c>
      <c r="T327" s="50">
        <v>-8.8043099999999992</v>
      </c>
      <c r="U327" s="50">
        <v>94.917249999999996</v>
      </c>
      <c r="V327" s="33" t="s">
        <v>39</v>
      </c>
      <c r="W327" s="33" t="s">
        <v>39</v>
      </c>
      <c r="X327" s="33" t="s">
        <v>39</v>
      </c>
      <c r="Y327" s="33" t="s">
        <v>39</v>
      </c>
      <c r="Z327" s="33" t="s">
        <v>39</v>
      </c>
      <c r="AA327" s="33" t="s">
        <v>39</v>
      </c>
      <c r="AB327" s="33" t="s">
        <v>39</v>
      </c>
      <c r="AC327" s="33" t="s">
        <v>39</v>
      </c>
      <c r="AD327" s="33" t="s">
        <v>39</v>
      </c>
    </row>
    <row r="328" spans="1:30">
      <c r="A328" s="32" t="s">
        <v>547</v>
      </c>
      <c r="B328" s="50">
        <v>-17.399999999999999</v>
      </c>
      <c r="C328" s="50">
        <v>-9.25</v>
      </c>
      <c r="D328" s="50">
        <v>-0.2</v>
      </c>
      <c r="E328" s="50">
        <v>6.1</v>
      </c>
      <c r="F328" s="50">
        <v>18</v>
      </c>
      <c r="G328" s="50">
        <v>17.850000000000001</v>
      </c>
      <c r="H328" s="50">
        <v>28.75</v>
      </c>
      <c r="I328" s="50">
        <v>32</v>
      </c>
      <c r="J328" s="50">
        <v>37.9</v>
      </c>
      <c r="K328" s="50">
        <v>34</v>
      </c>
      <c r="L328" s="50">
        <v>65</v>
      </c>
      <c r="M328" s="50">
        <v>65.099999999999994</v>
      </c>
      <c r="N328" s="50">
        <v>79.480500000000006</v>
      </c>
      <c r="O328" s="50">
        <v>50.9255</v>
      </c>
      <c r="P328" s="50">
        <v>93.301500000000004</v>
      </c>
      <c r="Q328" s="50">
        <v>108.95</v>
      </c>
      <c r="R328" s="50">
        <v>116</v>
      </c>
      <c r="S328" s="50">
        <v>80.347499999999997</v>
      </c>
      <c r="T328" s="50">
        <v>-9</v>
      </c>
      <c r="U328" s="50">
        <v>101.8</v>
      </c>
      <c r="V328" s="50">
        <v>141.50649999999999</v>
      </c>
      <c r="W328" s="50">
        <v>129.5155</v>
      </c>
      <c r="X328" s="50">
        <v>158.74850000000001</v>
      </c>
      <c r="Y328" s="50">
        <v>209.6</v>
      </c>
      <c r="Z328" s="50">
        <v>218.66</v>
      </c>
      <c r="AA328" s="50">
        <v>216.04114999999999</v>
      </c>
      <c r="AB328" s="50">
        <v>270.77913999999998</v>
      </c>
      <c r="AC328" s="50">
        <v>316.99975999999998</v>
      </c>
      <c r="AD328" s="50">
        <v>320.84500000000003</v>
      </c>
    </row>
    <row r="329" spans="1:30">
      <c r="A329" s="32" t="s">
        <v>548</v>
      </c>
      <c r="B329" s="50">
        <v>-7</v>
      </c>
      <c r="C329" s="50">
        <v>-7.1</v>
      </c>
      <c r="D329" s="50">
        <v>4.8259999999999996</v>
      </c>
      <c r="E329" s="50">
        <v>10.797000000000001</v>
      </c>
      <c r="F329" s="50">
        <v>20</v>
      </c>
      <c r="G329" s="50">
        <v>25</v>
      </c>
      <c r="H329" s="50">
        <v>40.851999999999997</v>
      </c>
      <c r="I329" s="50">
        <v>38.948999999999998</v>
      </c>
      <c r="J329" s="50">
        <v>45.5</v>
      </c>
      <c r="K329" s="50">
        <v>37</v>
      </c>
      <c r="L329" s="50">
        <v>75</v>
      </c>
      <c r="M329" s="50">
        <v>70.3</v>
      </c>
      <c r="N329" s="50">
        <v>85.4</v>
      </c>
      <c r="O329" s="50">
        <v>62.234000000000002</v>
      </c>
      <c r="P329" s="50">
        <v>103.934</v>
      </c>
      <c r="Q329" s="50">
        <v>125.9</v>
      </c>
      <c r="R329" s="50">
        <v>124.38741</v>
      </c>
      <c r="S329" s="50">
        <v>99.7</v>
      </c>
      <c r="T329" s="50">
        <v>66</v>
      </c>
      <c r="U329" s="50">
        <v>142</v>
      </c>
      <c r="V329" s="50">
        <v>234</v>
      </c>
      <c r="W329" s="50">
        <v>264.43286000000001</v>
      </c>
      <c r="X329" s="50">
        <v>265.60234000000003</v>
      </c>
      <c r="Y329" s="50">
        <v>271</v>
      </c>
      <c r="Z329" s="50">
        <v>300.2</v>
      </c>
      <c r="AA329" s="50">
        <v>288</v>
      </c>
      <c r="AB329" s="50">
        <v>321.8</v>
      </c>
      <c r="AC329" s="50">
        <v>391.49</v>
      </c>
      <c r="AD329" s="50">
        <v>404.2</v>
      </c>
    </row>
    <row r="330" spans="1:30">
      <c r="A330" s="32" t="s">
        <v>549</v>
      </c>
      <c r="B330" s="50">
        <v>-24</v>
      </c>
      <c r="C330" s="50">
        <v>-15.532999999999999</v>
      </c>
      <c r="D330" s="50">
        <v>-1</v>
      </c>
      <c r="E330" s="50">
        <v>5.077</v>
      </c>
      <c r="F330" s="50">
        <v>15.1</v>
      </c>
      <c r="G330" s="50">
        <v>12.324</v>
      </c>
      <c r="H330" s="50">
        <v>25</v>
      </c>
      <c r="I330" s="50">
        <v>27.4</v>
      </c>
      <c r="J330" s="50">
        <v>34.799999999999997</v>
      </c>
      <c r="K330" s="50">
        <v>30.9</v>
      </c>
      <c r="L330" s="50">
        <v>58.457999999999998</v>
      </c>
      <c r="M330" s="50">
        <v>55.968000000000004</v>
      </c>
      <c r="N330" s="50">
        <v>64.108000000000004</v>
      </c>
      <c r="O330" s="50">
        <v>47.573999999999998</v>
      </c>
      <c r="P330" s="50">
        <v>90.542000000000002</v>
      </c>
      <c r="Q330" s="50">
        <v>107</v>
      </c>
      <c r="R330" s="50">
        <v>101.9</v>
      </c>
      <c r="S330" s="50">
        <v>53.366999999999997</v>
      </c>
      <c r="T330" s="50">
        <v>-110.4</v>
      </c>
      <c r="U330" s="50">
        <v>23.4</v>
      </c>
      <c r="V330" s="50">
        <v>53.055999999999997</v>
      </c>
      <c r="W330" s="50">
        <v>15.269</v>
      </c>
      <c r="X330" s="50">
        <v>34.771000000000001</v>
      </c>
      <c r="Y330" s="50">
        <v>31.584</v>
      </c>
      <c r="Z330" s="50">
        <v>63.097000000000001</v>
      </c>
      <c r="AA330" s="50">
        <v>153.16200000000001</v>
      </c>
      <c r="AB330" s="50">
        <v>215.22</v>
      </c>
      <c r="AC330" s="50">
        <v>227.548</v>
      </c>
      <c r="AD330" s="50">
        <v>258.517</v>
      </c>
    </row>
    <row r="331" spans="1:30">
      <c r="A331" s="32" t="s">
        <v>550</v>
      </c>
      <c r="B331" s="45">
        <v>5.2469999999999999</v>
      </c>
      <c r="C331" s="45">
        <v>2.2786400000000002</v>
      </c>
      <c r="D331" s="45">
        <v>1.54122</v>
      </c>
      <c r="E331" s="45">
        <v>1.7672000000000001</v>
      </c>
      <c r="F331" s="45">
        <v>1.2210000000000001</v>
      </c>
      <c r="G331" s="45">
        <v>2.7964799999999999</v>
      </c>
      <c r="H331" s="45">
        <v>4.4141300000000001</v>
      </c>
      <c r="I331" s="45">
        <v>2.92563</v>
      </c>
      <c r="J331" s="45">
        <v>2.5756999999999999</v>
      </c>
      <c r="K331" s="45">
        <v>1.88229</v>
      </c>
      <c r="L331" s="45">
        <v>3.4945599999999999</v>
      </c>
      <c r="M331" s="45">
        <v>2.9790999999999999</v>
      </c>
      <c r="N331" s="45">
        <v>3.77955</v>
      </c>
      <c r="O331" s="45">
        <v>3.0917400000000002</v>
      </c>
      <c r="P331" s="45">
        <v>3.19272</v>
      </c>
      <c r="Q331" s="45">
        <v>4.1608499999999999</v>
      </c>
      <c r="R331" s="45">
        <v>3.4868199999999998</v>
      </c>
      <c r="S331" s="45">
        <v>11.174020000000001</v>
      </c>
      <c r="T331" s="45">
        <v>37.894260000000003</v>
      </c>
      <c r="U331" s="45">
        <v>31.149190000000001</v>
      </c>
      <c r="V331" s="45">
        <v>43.394889999999997</v>
      </c>
      <c r="W331" s="45">
        <v>53.116750000000003</v>
      </c>
      <c r="X331" s="45">
        <v>49.407580000000003</v>
      </c>
      <c r="Y331" s="45">
        <v>61.310969999999998</v>
      </c>
      <c r="Z331" s="45">
        <v>62.277329999999999</v>
      </c>
      <c r="AA331" s="45">
        <v>45.30406</v>
      </c>
      <c r="AB331" s="45">
        <v>37.244979999999998</v>
      </c>
      <c r="AC331" s="45">
        <v>53.918909999999997</v>
      </c>
      <c r="AD331" s="45">
        <v>52.872079999999997</v>
      </c>
    </row>
    <row r="332" spans="1:30">
      <c r="A332" s="32" t="s">
        <v>551</v>
      </c>
      <c r="B332" s="33" t="s">
        <v>618</v>
      </c>
      <c r="C332" s="33" t="s">
        <v>601</v>
      </c>
      <c r="D332" s="33" t="s">
        <v>569</v>
      </c>
      <c r="E332" s="33" t="s">
        <v>735</v>
      </c>
      <c r="F332" s="33" t="s">
        <v>568</v>
      </c>
      <c r="G332" s="33" t="s">
        <v>737</v>
      </c>
      <c r="H332" s="33" t="s">
        <v>737</v>
      </c>
      <c r="I332" s="33" t="s">
        <v>635</v>
      </c>
      <c r="J332" s="33" t="s">
        <v>747</v>
      </c>
      <c r="K332" s="33" t="s">
        <v>635</v>
      </c>
      <c r="L332" s="33" t="s">
        <v>748</v>
      </c>
      <c r="M332" s="33" t="s">
        <v>747</v>
      </c>
      <c r="N332" s="33" t="s">
        <v>644</v>
      </c>
      <c r="O332" s="33" t="s">
        <v>731</v>
      </c>
      <c r="P332" s="33" t="s">
        <v>721</v>
      </c>
      <c r="Q332" s="33" t="s">
        <v>749</v>
      </c>
      <c r="R332" s="33" t="s">
        <v>730</v>
      </c>
      <c r="S332" s="33" t="s">
        <v>604</v>
      </c>
      <c r="T332" s="33" t="s">
        <v>739</v>
      </c>
      <c r="U332" s="33" t="s">
        <v>635</v>
      </c>
      <c r="V332" s="33" t="s">
        <v>731</v>
      </c>
      <c r="W332" s="33" t="s">
        <v>750</v>
      </c>
      <c r="X332" s="33" t="s">
        <v>750</v>
      </c>
      <c r="Y332" s="33" t="s">
        <v>647</v>
      </c>
      <c r="Z332" s="33" t="s">
        <v>571</v>
      </c>
      <c r="AA332" s="33" t="s">
        <v>582</v>
      </c>
      <c r="AB332" s="33" t="s">
        <v>582</v>
      </c>
      <c r="AC332" s="33" t="s">
        <v>582</v>
      </c>
      <c r="AD332" s="33" t="s">
        <v>582</v>
      </c>
    </row>
    <row r="333" spans="1:30">
      <c r="A333" s="32" t="s">
        <v>561</v>
      </c>
      <c r="B333" s="33" t="s">
        <v>39</v>
      </c>
      <c r="C333" s="51">
        <v>-11</v>
      </c>
      <c r="D333" s="51">
        <v>-4</v>
      </c>
      <c r="E333" s="51">
        <v>5</v>
      </c>
      <c r="F333" s="51">
        <v>16</v>
      </c>
      <c r="G333" s="51">
        <v>14</v>
      </c>
      <c r="H333" s="51">
        <v>25</v>
      </c>
      <c r="I333" s="51">
        <v>27</v>
      </c>
      <c r="J333" s="51">
        <v>34</v>
      </c>
      <c r="K333" s="51">
        <v>30</v>
      </c>
      <c r="L333" s="51">
        <v>60</v>
      </c>
      <c r="M333" s="51">
        <v>62</v>
      </c>
      <c r="N333" s="51">
        <v>75</v>
      </c>
      <c r="O333" s="51">
        <v>47</v>
      </c>
      <c r="P333" s="51">
        <v>90</v>
      </c>
      <c r="Q333" s="51">
        <v>106</v>
      </c>
      <c r="R333" s="51">
        <v>112</v>
      </c>
      <c r="S333" s="33" t="s">
        <v>39</v>
      </c>
      <c r="T333" s="33" t="s">
        <v>39</v>
      </c>
      <c r="U333" s="33" t="s">
        <v>39</v>
      </c>
      <c r="V333" s="33" t="s">
        <v>39</v>
      </c>
      <c r="W333" s="33" t="s">
        <v>39</v>
      </c>
      <c r="X333" s="33" t="s">
        <v>39</v>
      </c>
      <c r="Y333" s="33" t="s">
        <v>39</v>
      </c>
      <c r="Z333" s="33" t="s">
        <v>39</v>
      </c>
      <c r="AA333" s="33" t="s">
        <v>39</v>
      </c>
      <c r="AB333" s="33" t="s">
        <v>39</v>
      </c>
      <c r="AC333" s="33" t="s">
        <v>39</v>
      </c>
      <c r="AD333" s="33" t="s">
        <v>39</v>
      </c>
    </row>
    <row r="334" spans="1:30">
      <c r="A334" s="32" t="s">
        <v>562</v>
      </c>
      <c r="B334" s="33" t="s">
        <v>39</v>
      </c>
      <c r="C334" s="52">
        <v>-9</v>
      </c>
      <c r="D334" s="52">
        <v>0</v>
      </c>
      <c r="E334" s="52">
        <v>6</v>
      </c>
      <c r="F334" s="52">
        <v>18</v>
      </c>
      <c r="G334" s="52">
        <v>18</v>
      </c>
      <c r="H334" s="52">
        <v>28</v>
      </c>
      <c r="I334" s="52">
        <v>30</v>
      </c>
      <c r="J334" s="52">
        <v>37</v>
      </c>
      <c r="K334" s="52">
        <v>33</v>
      </c>
      <c r="L334" s="52">
        <v>64</v>
      </c>
      <c r="M334" s="52">
        <v>65</v>
      </c>
      <c r="N334" s="52">
        <v>80</v>
      </c>
      <c r="O334" s="52">
        <v>51</v>
      </c>
      <c r="P334" s="52">
        <v>94</v>
      </c>
      <c r="Q334" s="52">
        <v>110</v>
      </c>
      <c r="R334" s="52">
        <v>117</v>
      </c>
      <c r="S334" s="52">
        <v>95</v>
      </c>
      <c r="T334" s="33" t="s">
        <v>39</v>
      </c>
      <c r="U334" s="33" t="s">
        <v>39</v>
      </c>
      <c r="V334" s="33" t="s">
        <v>39</v>
      </c>
      <c r="W334" s="33" t="s">
        <v>39</v>
      </c>
      <c r="X334" s="33" t="s">
        <v>39</v>
      </c>
      <c r="Y334" s="33" t="s">
        <v>39</v>
      </c>
      <c r="Z334" s="33" t="s">
        <v>39</v>
      </c>
      <c r="AA334" s="33" t="s">
        <v>39</v>
      </c>
      <c r="AB334" s="33" t="s">
        <v>39</v>
      </c>
      <c r="AC334" s="33" t="s">
        <v>39</v>
      </c>
      <c r="AD334" s="33" t="s">
        <v>39</v>
      </c>
    </row>
    <row r="335" spans="1:30">
      <c r="A335" s="32" t="s">
        <v>563</v>
      </c>
      <c r="B335" s="33" t="s">
        <v>564</v>
      </c>
      <c r="C335" s="33" t="s">
        <v>564</v>
      </c>
      <c r="D335" s="33" t="s">
        <v>564</v>
      </c>
      <c r="E335" s="33" t="s">
        <v>564</v>
      </c>
      <c r="F335" s="33" t="s">
        <v>564</v>
      </c>
      <c r="G335" s="33" t="s">
        <v>564</v>
      </c>
      <c r="H335" s="33" t="s">
        <v>564</v>
      </c>
      <c r="I335" s="33" t="s">
        <v>564</v>
      </c>
      <c r="J335" s="33" t="s">
        <v>564</v>
      </c>
      <c r="K335" s="33" t="s">
        <v>564</v>
      </c>
      <c r="L335" s="33" t="s">
        <v>564</v>
      </c>
      <c r="M335" s="33" t="s">
        <v>564</v>
      </c>
      <c r="N335" s="33" t="s">
        <v>564</v>
      </c>
      <c r="O335" s="33" t="s">
        <v>564</v>
      </c>
      <c r="P335" s="33" t="s">
        <v>564</v>
      </c>
      <c r="Q335" s="33" t="s">
        <v>564</v>
      </c>
      <c r="R335" s="33" t="s">
        <v>564</v>
      </c>
      <c r="S335" s="33" t="s">
        <v>564</v>
      </c>
      <c r="T335" s="33" t="s">
        <v>564</v>
      </c>
      <c r="U335" s="33" t="s">
        <v>564</v>
      </c>
      <c r="V335" s="33" t="s">
        <v>564</v>
      </c>
      <c r="W335" s="33" t="s">
        <v>564</v>
      </c>
      <c r="X335" s="33" t="s">
        <v>564</v>
      </c>
      <c r="Y335" s="33" t="s">
        <v>564</v>
      </c>
      <c r="Z335" s="33" t="s">
        <v>564</v>
      </c>
      <c r="AA335" s="33" t="s">
        <v>564</v>
      </c>
      <c r="AB335" s="33" t="s">
        <v>564</v>
      </c>
      <c r="AC335" s="33" t="s">
        <v>564</v>
      </c>
      <c r="AD335" s="33" t="s">
        <v>564</v>
      </c>
    </row>
    <row r="336" spans="1:30">
      <c r="A336" s="4" t="s">
        <v>50</v>
      </c>
      <c r="B336" s="49">
        <v>-47.817</v>
      </c>
      <c r="C336" s="49">
        <v>-89.272000000000006</v>
      </c>
      <c r="D336" s="49">
        <v>-27.36</v>
      </c>
      <c r="E336" s="49">
        <v>-31.981999999999999</v>
      </c>
      <c r="F336" s="49">
        <v>-13.978</v>
      </c>
      <c r="G336" s="49">
        <v>-14.082000000000001</v>
      </c>
      <c r="H336" s="49">
        <v>-12.224</v>
      </c>
      <c r="I336" s="49">
        <v>-14.891</v>
      </c>
      <c r="J336" s="49">
        <v>-13.009</v>
      </c>
      <c r="K336" s="49">
        <v>-20.992000000000001</v>
      </c>
      <c r="L336" s="49">
        <v>-2.6469999999999998</v>
      </c>
      <c r="M336" s="49">
        <v>-9.8670000000000009</v>
      </c>
      <c r="N336" s="49">
        <v>-3.1080000000000001</v>
      </c>
      <c r="O336" s="49">
        <v>-22.042000000000002</v>
      </c>
      <c r="P336" s="49">
        <v>-0.84299999999999997</v>
      </c>
      <c r="Q336" s="49">
        <v>32.094000000000001</v>
      </c>
      <c r="R336" s="49">
        <v>17.347999999999999</v>
      </c>
      <c r="S336" s="49">
        <v>-90.287999999999997</v>
      </c>
      <c r="T336" s="49">
        <v>-23.052</v>
      </c>
      <c r="U336" s="49">
        <v>49.341999999999999</v>
      </c>
      <c r="V336" s="50">
        <v>3.16553</v>
      </c>
      <c r="W336" s="50">
        <v>-9.60304</v>
      </c>
      <c r="X336" s="50">
        <v>0.68318000000000001</v>
      </c>
      <c r="Y336" s="50">
        <v>27.238109999999999</v>
      </c>
      <c r="Z336" s="50">
        <v>38.021999999999998</v>
      </c>
      <c r="AA336" s="50">
        <v>54.81917</v>
      </c>
      <c r="AB336" s="50">
        <v>96.269980000000004</v>
      </c>
      <c r="AC336" s="50">
        <v>117.33407</v>
      </c>
      <c r="AD336" s="50">
        <v>116.36673999999999</v>
      </c>
    </row>
    <row r="337" spans="1:30">
      <c r="A337" s="32" t="s">
        <v>546</v>
      </c>
      <c r="B337" s="50">
        <v>-49.175539999999998</v>
      </c>
      <c r="C337" s="50">
        <v>-48.847810000000003</v>
      </c>
      <c r="D337" s="50">
        <v>-41.379399999999997</v>
      </c>
      <c r="E337" s="50">
        <v>-38.366039999999998</v>
      </c>
      <c r="F337" s="50">
        <v>-30.255929999999999</v>
      </c>
      <c r="G337" s="50">
        <v>-28.93093</v>
      </c>
      <c r="H337" s="50">
        <v>-18.116309999999999</v>
      </c>
      <c r="I337" s="50">
        <v>-18.14714</v>
      </c>
      <c r="J337" s="50">
        <v>-12.46996</v>
      </c>
      <c r="K337" s="50">
        <v>-20.73282</v>
      </c>
      <c r="L337" s="50">
        <v>-13.9345</v>
      </c>
      <c r="M337" s="50">
        <v>-14.87961</v>
      </c>
      <c r="N337" s="50">
        <v>-13.04022</v>
      </c>
      <c r="O337" s="50">
        <v>-36.510919999999999</v>
      </c>
      <c r="P337" s="50">
        <v>-2.5055299999999998</v>
      </c>
      <c r="Q337" s="50">
        <v>6.5169100000000002</v>
      </c>
      <c r="R337" s="50">
        <v>11.366429999999999</v>
      </c>
      <c r="S337" s="50">
        <v>-31.40324</v>
      </c>
      <c r="T337" s="50">
        <v>-112.31746</v>
      </c>
      <c r="U337" s="50">
        <v>-36.5916</v>
      </c>
      <c r="V337" s="33" t="s">
        <v>39</v>
      </c>
      <c r="W337" s="33" t="s">
        <v>39</v>
      </c>
      <c r="X337" s="33" t="s">
        <v>39</v>
      </c>
      <c r="Y337" s="33" t="s">
        <v>39</v>
      </c>
      <c r="Z337" s="33" t="s">
        <v>39</v>
      </c>
      <c r="AA337" s="33" t="s">
        <v>39</v>
      </c>
      <c r="AB337" s="33" t="s">
        <v>39</v>
      </c>
      <c r="AC337" s="33" t="s">
        <v>39</v>
      </c>
      <c r="AD337" s="33" t="s">
        <v>39</v>
      </c>
    </row>
    <row r="338" spans="1:30">
      <c r="A338" s="32" t="s">
        <v>547</v>
      </c>
      <c r="B338" s="50">
        <v>-50</v>
      </c>
      <c r="C338" s="50">
        <v>-45.677</v>
      </c>
      <c r="D338" s="50">
        <v>-40.701000000000001</v>
      </c>
      <c r="E338" s="50">
        <v>-39.200000000000003</v>
      </c>
      <c r="F338" s="50">
        <v>-30.869</v>
      </c>
      <c r="G338" s="50">
        <v>-29</v>
      </c>
      <c r="H338" s="50">
        <v>-18.725000000000001</v>
      </c>
      <c r="I338" s="50">
        <v>-18</v>
      </c>
      <c r="J338" s="50">
        <v>-12</v>
      </c>
      <c r="K338" s="50">
        <v>-21.05</v>
      </c>
      <c r="L338" s="50">
        <v>-19.7</v>
      </c>
      <c r="M338" s="50">
        <v>-15.5915</v>
      </c>
      <c r="N338" s="50">
        <v>-8.9418000000000006</v>
      </c>
      <c r="O338" s="50">
        <v>-35.299999999999997</v>
      </c>
      <c r="P338" s="50">
        <v>-1.6</v>
      </c>
      <c r="Q338" s="50">
        <v>6</v>
      </c>
      <c r="R338" s="50">
        <v>10.39494</v>
      </c>
      <c r="S338" s="50">
        <v>-23.934999999999999</v>
      </c>
      <c r="T338" s="50">
        <v>-105.39149999999999</v>
      </c>
      <c r="U338" s="50">
        <v>-28.579000000000001</v>
      </c>
      <c r="V338" s="50">
        <v>7.1589999999999998</v>
      </c>
      <c r="W338" s="50">
        <v>2.7549999999999999</v>
      </c>
      <c r="X338" s="50">
        <v>16.91</v>
      </c>
      <c r="Y338" s="50">
        <v>53.1</v>
      </c>
      <c r="Z338" s="50">
        <v>48.453000000000003</v>
      </c>
      <c r="AA338" s="50">
        <v>62.3</v>
      </c>
      <c r="AB338" s="50">
        <v>103.33499999999999</v>
      </c>
      <c r="AC338" s="50">
        <v>131.643</v>
      </c>
      <c r="AD338" s="50">
        <v>138.26599999999999</v>
      </c>
    </row>
    <row r="339" spans="1:30">
      <c r="A339" s="32" t="s">
        <v>548</v>
      </c>
      <c r="B339" s="50">
        <v>-24.8</v>
      </c>
      <c r="C339" s="50">
        <v>-43.367489999999997</v>
      </c>
      <c r="D339" s="50">
        <v>-33.6</v>
      </c>
      <c r="E339" s="50">
        <v>-31.454999999999998</v>
      </c>
      <c r="F339" s="50">
        <v>-27</v>
      </c>
      <c r="G339" s="50">
        <v>-23.65</v>
      </c>
      <c r="H339" s="50">
        <v>-6.742</v>
      </c>
      <c r="I339" s="50">
        <v>-12.227</v>
      </c>
      <c r="J339" s="50">
        <v>-5.4349999999999996</v>
      </c>
      <c r="K339" s="50">
        <v>-6.1</v>
      </c>
      <c r="L339" s="50">
        <v>-0.34399999999999997</v>
      </c>
      <c r="M339" s="50">
        <v>2.84</v>
      </c>
      <c r="N339" s="50">
        <v>-3.6339999999999999</v>
      </c>
      <c r="O339" s="50">
        <v>-18.75</v>
      </c>
      <c r="P339" s="50">
        <v>19.61</v>
      </c>
      <c r="Q339" s="50">
        <v>17.59</v>
      </c>
      <c r="R339" s="50">
        <v>19.956</v>
      </c>
      <c r="S339" s="50">
        <v>-6.202</v>
      </c>
      <c r="T339" s="50">
        <v>-65.5</v>
      </c>
      <c r="U339" s="50">
        <v>-6.4</v>
      </c>
      <c r="V339" s="50">
        <v>112</v>
      </c>
      <c r="W339" s="50">
        <v>63.6</v>
      </c>
      <c r="X339" s="50">
        <v>50.4</v>
      </c>
      <c r="Y339" s="50">
        <v>94.9</v>
      </c>
      <c r="Z339" s="50">
        <v>147.80000000000001</v>
      </c>
      <c r="AA339" s="50">
        <v>153.69999999999999</v>
      </c>
      <c r="AB339" s="50">
        <v>166.2</v>
      </c>
      <c r="AC339" s="50">
        <v>200.68600000000001</v>
      </c>
      <c r="AD339" s="50">
        <v>243</v>
      </c>
    </row>
    <row r="340" spans="1:30">
      <c r="A340" s="32" t="s">
        <v>549</v>
      </c>
      <c r="B340" s="50">
        <v>-59.3</v>
      </c>
      <c r="C340" s="50">
        <v>-63.45</v>
      </c>
      <c r="D340" s="50">
        <v>-50.54</v>
      </c>
      <c r="E340" s="50">
        <v>-48.4</v>
      </c>
      <c r="F340" s="50">
        <v>-33.1</v>
      </c>
      <c r="G340" s="50">
        <v>-34</v>
      </c>
      <c r="H340" s="50">
        <v>-23.501000000000001</v>
      </c>
      <c r="I340" s="50">
        <v>-23.437000000000001</v>
      </c>
      <c r="J340" s="50">
        <v>-20.2</v>
      </c>
      <c r="K340" s="50">
        <v>-35</v>
      </c>
      <c r="L340" s="50">
        <v>-29</v>
      </c>
      <c r="M340" s="50">
        <v>-28.7</v>
      </c>
      <c r="N340" s="50">
        <v>-41</v>
      </c>
      <c r="O340" s="50">
        <v>-49.426000000000002</v>
      </c>
      <c r="P340" s="50">
        <v>-14.9</v>
      </c>
      <c r="Q340" s="50">
        <v>0.439</v>
      </c>
      <c r="R340" s="50">
        <v>0.58799999999999997</v>
      </c>
      <c r="S340" s="50">
        <v>-103</v>
      </c>
      <c r="T340" s="50">
        <v>-193.5</v>
      </c>
      <c r="U340" s="50">
        <v>-102.3</v>
      </c>
      <c r="V340" s="50">
        <v>-101.2</v>
      </c>
      <c r="W340" s="50">
        <v>-116.233</v>
      </c>
      <c r="X340" s="50">
        <v>-103.25</v>
      </c>
      <c r="Y340" s="50">
        <v>-115.375</v>
      </c>
      <c r="Z340" s="50">
        <v>-109.777</v>
      </c>
      <c r="AA340" s="50">
        <v>-108.6</v>
      </c>
      <c r="AB340" s="50">
        <v>24.1</v>
      </c>
      <c r="AC340" s="50">
        <v>6.6</v>
      </c>
      <c r="AD340" s="50">
        <v>-40.700000000000003</v>
      </c>
    </row>
    <row r="341" spans="1:30">
      <c r="A341" s="32" t="s">
        <v>550</v>
      </c>
      <c r="B341" s="45">
        <v>10.008559999999999</v>
      </c>
      <c r="C341" s="45">
        <v>6.4475300000000004</v>
      </c>
      <c r="D341" s="45">
        <v>4.9535499999999999</v>
      </c>
      <c r="E341" s="45">
        <v>4.19259</v>
      </c>
      <c r="F341" s="45">
        <v>1.9118900000000001</v>
      </c>
      <c r="G341" s="45">
        <v>3.1337199999999998</v>
      </c>
      <c r="H341" s="45">
        <v>4.0651000000000002</v>
      </c>
      <c r="I341" s="45">
        <v>2.7949099999999998</v>
      </c>
      <c r="J341" s="45">
        <v>3.33358</v>
      </c>
      <c r="K341" s="45">
        <v>6.1421299999999999</v>
      </c>
      <c r="L341" s="45">
        <v>9.6555800000000005</v>
      </c>
      <c r="M341" s="45">
        <v>7.8419100000000004</v>
      </c>
      <c r="N341" s="45">
        <v>11.262600000000001</v>
      </c>
      <c r="O341" s="45">
        <v>6.86639</v>
      </c>
      <c r="P341" s="45">
        <v>8.4426600000000001</v>
      </c>
      <c r="Q341" s="45">
        <v>4.6196400000000004</v>
      </c>
      <c r="R341" s="45">
        <v>5.0678000000000001</v>
      </c>
      <c r="S341" s="45">
        <v>22.184249999999999</v>
      </c>
      <c r="T341" s="45">
        <v>36.840890000000002</v>
      </c>
      <c r="U341" s="45">
        <v>25.731940000000002</v>
      </c>
      <c r="V341" s="45">
        <v>47.022660000000002</v>
      </c>
      <c r="W341" s="45">
        <v>43.208820000000003</v>
      </c>
      <c r="X341" s="45">
        <v>45.637949999999996</v>
      </c>
      <c r="Y341" s="45">
        <v>60.080730000000003</v>
      </c>
      <c r="Z341" s="45">
        <v>66.123769999999993</v>
      </c>
      <c r="AA341" s="45">
        <v>76.058400000000006</v>
      </c>
      <c r="AB341" s="45">
        <v>44.202530000000003</v>
      </c>
      <c r="AC341" s="45">
        <v>61.652050000000003</v>
      </c>
      <c r="AD341" s="45">
        <v>83.433589999999995</v>
      </c>
    </row>
    <row r="342" spans="1:30">
      <c r="A342" s="32" t="s">
        <v>551</v>
      </c>
      <c r="B342" s="33" t="s">
        <v>618</v>
      </c>
      <c r="C342" s="33" t="s">
        <v>751</v>
      </c>
      <c r="D342" s="33" t="s">
        <v>572</v>
      </c>
      <c r="E342" s="33" t="s">
        <v>752</v>
      </c>
      <c r="F342" s="33" t="s">
        <v>570</v>
      </c>
      <c r="G342" s="33" t="s">
        <v>753</v>
      </c>
      <c r="H342" s="33" t="s">
        <v>733</v>
      </c>
      <c r="I342" s="33" t="s">
        <v>650</v>
      </c>
      <c r="J342" s="33" t="s">
        <v>754</v>
      </c>
      <c r="K342" s="33" t="s">
        <v>755</v>
      </c>
      <c r="L342" s="33" t="s">
        <v>756</v>
      </c>
      <c r="M342" s="33" t="s">
        <v>611</v>
      </c>
      <c r="N342" s="33" t="s">
        <v>757</v>
      </c>
      <c r="O342" s="33" t="s">
        <v>613</v>
      </c>
      <c r="P342" s="33" t="s">
        <v>758</v>
      </c>
      <c r="Q342" s="33" t="s">
        <v>759</v>
      </c>
      <c r="R342" s="33" t="s">
        <v>760</v>
      </c>
      <c r="S342" s="33" t="s">
        <v>761</v>
      </c>
      <c r="T342" s="33" t="s">
        <v>761</v>
      </c>
      <c r="U342" s="33" t="s">
        <v>762</v>
      </c>
      <c r="V342" s="33" t="s">
        <v>621</v>
      </c>
      <c r="W342" s="33" t="s">
        <v>763</v>
      </c>
      <c r="X342" s="33" t="s">
        <v>763</v>
      </c>
      <c r="Y342" s="33" t="s">
        <v>764</v>
      </c>
      <c r="Z342" s="33" t="s">
        <v>623</v>
      </c>
      <c r="AA342" s="33" t="s">
        <v>668</v>
      </c>
      <c r="AB342" s="33" t="s">
        <v>668</v>
      </c>
      <c r="AC342" s="33" t="s">
        <v>668</v>
      </c>
      <c r="AD342" s="33" t="s">
        <v>668</v>
      </c>
    </row>
    <row r="343" spans="1:30">
      <c r="A343" s="32" t="s">
        <v>563</v>
      </c>
      <c r="B343" s="33" t="s">
        <v>564</v>
      </c>
      <c r="C343" s="33" t="s">
        <v>564</v>
      </c>
      <c r="D343" s="33" t="s">
        <v>564</v>
      </c>
      <c r="E343" s="33" t="s">
        <v>564</v>
      </c>
      <c r="F343" s="33" t="s">
        <v>564</v>
      </c>
      <c r="G343" s="33" t="s">
        <v>564</v>
      </c>
      <c r="H343" s="33" t="s">
        <v>564</v>
      </c>
      <c r="I343" s="33" t="s">
        <v>564</v>
      </c>
      <c r="J343" s="33" t="s">
        <v>564</v>
      </c>
      <c r="K343" s="33" t="s">
        <v>564</v>
      </c>
      <c r="L343" s="33" t="s">
        <v>564</v>
      </c>
      <c r="M343" s="33" t="s">
        <v>564</v>
      </c>
      <c r="N343" s="33" t="s">
        <v>564</v>
      </c>
      <c r="O343" s="33" t="s">
        <v>564</v>
      </c>
      <c r="P343" s="33" t="s">
        <v>564</v>
      </c>
      <c r="Q343" s="33" t="s">
        <v>564</v>
      </c>
      <c r="R343" s="33" t="s">
        <v>564</v>
      </c>
      <c r="S343" s="33" t="s">
        <v>564</v>
      </c>
      <c r="T343" s="33" t="s">
        <v>564</v>
      </c>
      <c r="U343" s="33" t="s">
        <v>564</v>
      </c>
      <c r="V343" s="33" t="s">
        <v>564</v>
      </c>
      <c r="W343" s="33" t="s">
        <v>564</v>
      </c>
      <c r="X343" s="33" t="s">
        <v>564</v>
      </c>
      <c r="Y343" s="33" t="s">
        <v>564</v>
      </c>
      <c r="Z343" s="33" t="s">
        <v>564</v>
      </c>
      <c r="AA343" s="33" t="s">
        <v>564</v>
      </c>
      <c r="AB343" s="33" t="s">
        <v>564</v>
      </c>
      <c r="AC343" s="33" t="s">
        <v>564</v>
      </c>
      <c r="AD343" s="33" t="s">
        <v>564</v>
      </c>
    </row>
    <row r="344" spans="1:30">
      <c r="A344" s="4" t="s">
        <v>293</v>
      </c>
      <c r="B344" s="49">
        <v>-0.16800000000000001</v>
      </c>
      <c r="C344" s="49">
        <v>-6.9000000000000006E-2</v>
      </c>
      <c r="D344" s="49">
        <v>0.129</v>
      </c>
      <c r="E344" s="49">
        <v>0.183</v>
      </c>
      <c r="F344" s="49">
        <v>-0.153</v>
      </c>
      <c r="G344" s="49">
        <v>-0.499</v>
      </c>
      <c r="H344" s="49">
        <v>-3.266</v>
      </c>
      <c r="I344" s="49">
        <v>-1.8540000000000001</v>
      </c>
      <c r="J344" s="49">
        <v>-2.839</v>
      </c>
      <c r="K344" s="49">
        <v>-2.819</v>
      </c>
      <c r="L344" s="49">
        <v>-2.6549999999999998</v>
      </c>
      <c r="M344" s="49">
        <v>-7.2240000000000002</v>
      </c>
      <c r="N344" s="49">
        <v>-5.1760000000000002</v>
      </c>
      <c r="O344" s="49">
        <v>-4.681</v>
      </c>
      <c r="P344" s="49">
        <v>-5.1429999999999998</v>
      </c>
      <c r="Q344" s="49">
        <v>-5.6319999999999997</v>
      </c>
      <c r="R344" s="49">
        <v>-6.06</v>
      </c>
      <c r="S344" s="49">
        <v>-9.2059999999999995</v>
      </c>
      <c r="T344" s="49">
        <v>-14.769</v>
      </c>
      <c r="U344" s="49">
        <v>-14.98</v>
      </c>
      <c r="V344" s="50">
        <v>-13.796279999999999</v>
      </c>
      <c r="W344" s="50">
        <v>-13.823790000000001</v>
      </c>
      <c r="X344" s="50">
        <v>-13.795210000000001</v>
      </c>
      <c r="Y344" s="50">
        <v>-13.838789999999999</v>
      </c>
      <c r="Z344" s="50">
        <v>-13.81021</v>
      </c>
      <c r="AA344" s="50">
        <v>-13.3155</v>
      </c>
      <c r="AB344" s="50">
        <v>-13.22383</v>
      </c>
      <c r="AC344" s="50">
        <v>-13.298830000000001</v>
      </c>
      <c r="AD344" s="50">
        <v>-13.20717</v>
      </c>
    </row>
    <row r="345" spans="1:30">
      <c r="A345" s="32" t="s">
        <v>546</v>
      </c>
      <c r="B345" s="50">
        <v>-0.11025</v>
      </c>
      <c r="C345" s="50">
        <v>-0.13819999999999999</v>
      </c>
      <c r="D345" s="50">
        <v>-0.17621999999999999</v>
      </c>
      <c r="E345" s="50">
        <v>-0.19438</v>
      </c>
      <c r="F345" s="50">
        <v>-0.17057</v>
      </c>
      <c r="G345" s="50">
        <v>-0.16700000000000001</v>
      </c>
      <c r="H345" s="50">
        <v>-0.47499999999999998</v>
      </c>
      <c r="I345" s="50">
        <v>-3.81467</v>
      </c>
      <c r="J345" s="50">
        <v>-2.79617</v>
      </c>
      <c r="K345" s="50">
        <v>-3.2938999999999998</v>
      </c>
      <c r="L345" s="50">
        <v>-4.4779999999999998</v>
      </c>
      <c r="M345" s="50">
        <v>-5.2539400000000001</v>
      </c>
      <c r="N345" s="50">
        <v>-7.9805999999999999</v>
      </c>
      <c r="O345" s="50">
        <v>-5.5120500000000003</v>
      </c>
      <c r="P345" s="50">
        <v>-6.51694</v>
      </c>
      <c r="Q345" s="50">
        <v>-5.7648900000000003</v>
      </c>
      <c r="R345" s="50">
        <v>-5.4759399999999996</v>
      </c>
      <c r="S345" s="50">
        <v>-6.4340000000000002</v>
      </c>
      <c r="T345" s="50">
        <v>-9.9043899999999994</v>
      </c>
      <c r="U345" s="50">
        <v>-13.5045</v>
      </c>
      <c r="V345" s="33" t="s">
        <v>39</v>
      </c>
      <c r="W345" s="33" t="s">
        <v>39</v>
      </c>
      <c r="X345" s="33" t="s">
        <v>39</v>
      </c>
      <c r="Y345" s="33" t="s">
        <v>39</v>
      </c>
      <c r="Z345" s="33" t="s">
        <v>39</v>
      </c>
      <c r="AA345" s="33" t="s">
        <v>39</v>
      </c>
      <c r="AB345" s="33" t="s">
        <v>39</v>
      </c>
      <c r="AC345" s="33" t="s">
        <v>39</v>
      </c>
      <c r="AD345" s="33" t="s">
        <v>39</v>
      </c>
    </row>
    <row r="346" spans="1:30">
      <c r="A346" s="32" t="s">
        <v>547</v>
      </c>
      <c r="B346" s="50">
        <v>-0.1</v>
      </c>
      <c r="C346" s="50">
        <v>-0.14099999999999999</v>
      </c>
      <c r="D346" s="50">
        <v>-0.1</v>
      </c>
      <c r="E346" s="50">
        <v>-0.1275</v>
      </c>
      <c r="F346" s="50">
        <v>-0.153</v>
      </c>
      <c r="G346" s="50">
        <v>-0.13400000000000001</v>
      </c>
      <c r="H346" s="50">
        <v>-0.5</v>
      </c>
      <c r="I346" s="50">
        <v>-3.266</v>
      </c>
      <c r="J346" s="50">
        <v>-2.25</v>
      </c>
      <c r="K346" s="50">
        <v>-2.95</v>
      </c>
      <c r="L346" s="50">
        <v>-4</v>
      </c>
      <c r="M346" s="50">
        <v>-3.04</v>
      </c>
      <c r="N346" s="50">
        <v>-7.2</v>
      </c>
      <c r="O346" s="50">
        <v>-5.1760000000000002</v>
      </c>
      <c r="P346" s="50">
        <v>-5</v>
      </c>
      <c r="Q346" s="50">
        <v>-5.1429999999999998</v>
      </c>
      <c r="R346" s="50">
        <v>-5.6</v>
      </c>
      <c r="S346" s="50">
        <v>-6.1</v>
      </c>
      <c r="T346" s="50">
        <v>-9.2059999999999995</v>
      </c>
      <c r="U346" s="50">
        <v>-14.7845</v>
      </c>
      <c r="V346" s="50">
        <v>-15</v>
      </c>
      <c r="W346" s="50">
        <v>-14.99</v>
      </c>
      <c r="X346" s="50">
        <v>-14.98</v>
      </c>
      <c r="Y346" s="50">
        <v>-14.98</v>
      </c>
      <c r="Z346" s="50">
        <v>-14.98</v>
      </c>
      <c r="AA346" s="50">
        <v>-13.99</v>
      </c>
      <c r="AB346" s="50">
        <v>-13.49</v>
      </c>
      <c r="AC346" s="50">
        <v>-13.49</v>
      </c>
      <c r="AD346" s="50">
        <v>-12.99</v>
      </c>
    </row>
    <row r="347" spans="1:30">
      <c r="A347" s="32" t="s">
        <v>548</v>
      </c>
      <c r="B347" s="50">
        <v>-0.14099999999999999</v>
      </c>
      <c r="C347" s="50">
        <v>-0.2</v>
      </c>
      <c r="D347" s="50">
        <v>-0.5</v>
      </c>
      <c r="E347" s="50">
        <v>-0.5</v>
      </c>
      <c r="F347" s="50">
        <v>-0.3</v>
      </c>
      <c r="G347" s="50">
        <v>-0.3</v>
      </c>
      <c r="H347" s="50">
        <v>-0.5</v>
      </c>
      <c r="I347" s="50">
        <v>-6.5</v>
      </c>
      <c r="J347" s="50">
        <v>-5.5</v>
      </c>
      <c r="K347" s="50">
        <v>-4.7</v>
      </c>
      <c r="L347" s="50">
        <v>-9.4</v>
      </c>
      <c r="M347" s="50">
        <v>-12.7</v>
      </c>
      <c r="N347" s="50">
        <v>-15</v>
      </c>
      <c r="O347" s="50">
        <v>-12.7</v>
      </c>
      <c r="P347" s="50">
        <v>-16</v>
      </c>
      <c r="Q347" s="50">
        <v>-12.7</v>
      </c>
      <c r="R347" s="50">
        <v>-6</v>
      </c>
      <c r="S347" s="50">
        <v>-8.484</v>
      </c>
      <c r="T347" s="50">
        <v>-17.405000000000001</v>
      </c>
      <c r="U347" s="50">
        <v>-15.218999999999999</v>
      </c>
      <c r="V347" s="50">
        <v>-15.43</v>
      </c>
      <c r="W347" s="50">
        <v>-15.88</v>
      </c>
      <c r="X347" s="50">
        <v>-16.329999999999998</v>
      </c>
      <c r="Y347" s="50">
        <v>-16.78</v>
      </c>
      <c r="Z347" s="50">
        <v>-17.23</v>
      </c>
      <c r="AA347" s="50">
        <v>-17.68</v>
      </c>
      <c r="AB347" s="50">
        <v>-18.13</v>
      </c>
      <c r="AC347" s="50">
        <v>-18.579999999999998</v>
      </c>
      <c r="AD347" s="50">
        <v>-19.03</v>
      </c>
    </row>
    <row r="348" spans="1:30">
      <c r="A348" s="32" t="s">
        <v>549</v>
      </c>
      <c r="B348" s="50">
        <v>-0.1</v>
      </c>
      <c r="C348" s="50">
        <v>-0.1</v>
      </c>
      <c r="D348" s="50">
        <v>-6.9000000000000006E-2</v>
      </c>
      <c r="E348" s="50">
        <v>-0.1</v>
      </c>
      <c r="F348" s="50">
        <v>-0.1</v>
      </c>
      <c r="G348" s="50">
        <v>-0.1</v>
      </c>
      <c r="H348" s="50">
        <v>-0.42499999999999999</v>
      </c>
      <c r="I348" s="50">
        <v>-1.8</v>
      </c>
      <c r="J348" s="50">
        <v>-1.5</v>
      </c>
      <c r="K348" s="50">
        <v>-2.5</v>
      </c>
      <c r="L348" s="50">
        <v>-2.5</v>
      </c>
      <c r="M348" s="50">
        <v>-2.2000000000000002</v>
      </c>
      <c r="N348" s="50">
        <v>-3.2850000000000001</v>
      </c>
      <c r="O348" s="50">
        <v>-2.1</v>
      </c>
      <c r="P348" s="50">
        <v>-4</v>
      </c>
      <c r="Q348" s="50">
        <v>-4.6900000000000004</v>
      </c>
      <c r="R348" s="50">
        <v>-5</v>
      </c>
      <c r="S348" s="50">
        <v>-5</v>
      </c>
      <c r="T348" s="50">
        <v>-5.8620000000000001</v>
      </c>
      <c r="U348" s="50">
        <v>-9.3369999999999997</v>
      </c>
      <c r="V348" s="50">
        <v>-9.2330000000000005</v>
      </c>
      <c r="W348" s="50">
        <v>-9</v>
      </c>
      <c r="X348" s="50">
        <v>-9</v>
      </c>
      <c r="Y348" s="50">
        <v>-9</v>
      </c>
      <c r="Z348" s="50">
        <v>-9</v>
      </c>
      <c r="AA348" s="50">
        <v>-9.2330000000000005</v>
      </c>
      <c r="AB348" s="50">
        <v>-9.2330000000000005</v>
      </c>
      <c r="AC348" s="50">
        <v>-9.2330000000000005</v>
      </c>
      <c r="AD348" s="50">
        <v>-9.2330000000000005</v>
      </c>
    </row>
    <row r="349" spans="1:30">
      <c r="A349" s="32" t="s">
        <v>550</v>
      </c>
      <c r="B349" s="45">
        <v>1.7749999999999998E-2</v>
      </c>
      <c r="C349" s="45">
        <v>3.7109999999999997E-2</v>
      </c>
      <c r="D349" s="45">
        <v>0.13372000000000001</v>
      </c>
      <c r="E349" s="45">
        <v>0.13258</v>
      </c>
      <c r="F349" s="45">
        <v>6.5060000000000007E-2</v>
      </c>
      <c r="G349" s="45">
        <v>7.8189999999999996E-2</v>
      </c>
      <c r="H349" s="45">
        <v>3.5360000000000003E-2</v>
      </c>
      <c r="I349" s="45">
        <v>1.3779399999999999</v>
      </c>
      <c r="J349" s="45">
        <v>1.22898</v>
      </c>
      <c r="K349" s="45">
        <v>0.80574000000000001</v>
      </c>
      <c r="L349" s="45">
        <v>2.0285700000000002</v>
      </c>
      <c r="M349" s="45">
        <v>3.6336300000000001</v>
      </c>
      <c r="N349" s="45">
        <v>3.0312600000000001</v>
      </c>
      <c r="O349" s="45">
        <v>2.09605</v>
      </c>
      <c r="P349" s="45">
        <v>3.18031</v>
      </c>
      <c r="Q349" s="45">
        <v>1.8298399999999999</v>
      </c>
      <c r="R349" s="45">
        <v>0.36635000000000001</v>
      </c>
      <c r="S349" s="45">
        <v>0.94954000000000005</v>
      </c>
      <c r="T349" s="45">
        <v>2.9891800000000002</v>
      </c>
      <c r="U349" s="45">
        <v>2.22078</v>
      </c>
      <c r="V349" s="45">
        <v>2.2283599999999999</v>
      </c>
      <c r="W349" s="45">
        <v>2.3357999999999999</v>
      </c>
      <c r="X349" s="45">
        <v>2.3532999999999999</v>
      </c>
      <c r="Y349" s="45">
        <v>2.3984800000000002</v>
      </c>
      <c r="Z349" s="45">
        <v>2.45825</v>
      </c>
      <c r="AA349" s="45">
        <v>2.95567</v>
      </c>
      <c r="AB349" s="45">
        <v>3.11253</v>
      </c>
      <c r="AC349" s="45">
        <v>3.2329400000000001</v>
      </c>
      <c r="AD349" s="45">
        <v>3.4451399999999999</v>
      </c>
    </row>
    <row r="350" spans="1:30">
      <c r="A350" s="32" t="s">
        <v>551</v>
      </c>
      <c r="B350" s="33" t="s">
        <v>578</v>
      </c>
      <c r="C350" s="33" t="s">
        <v>516</v>
      </c>
      <c r="D350" s="33" t="s">
        <v>618</v>
      </c>
      <c r="E350" s="33" t="s">
        <v>582</v>
      </c>
      <c r="F350" s="33" t="s">
        <v>580</v>
      </c>
      <c r="G350" s="33" t="s">
        <v>590</v>
      </c>
      <c r="H350" s="33" t="s">
        <v>765</v>
      </c>
      <c r="I350" s="33" t="s">
        <v>666</v>
      </c>
      <c r="J350" s="33" t="s">
        <v>680</v>
      </c>
      <c r="K350" s="33" t="s">
        <v>766</v>
      </c>
      <c r="L350" s="33" t="s">
        <v>767</v>
      </c>
      <c r="M350" s="33" t="s">
        <v>657</v>
      </c>
      <c r="N350" s="33" t="s">
        <v>752</v>
      </c>
      <c r="O350" s="33" t="s">
        <v>640</v>
      </c>
      <c r="P350" s="33" t="s">
        <v>634</v>
      </c>
      <c r="Q350" s="33" t="s">
        <v>567</v>
      </c>
      <c r="R350" s="33" t="s">
        <v>637</v>
      </c>
      <c r="S350" s="33" t="s">
        <v>768</v>
      </c>
      <c r="T350" s="33" t="s">
        <v>567</v>
      </c>
      <c r="U350" s="33" t="s">
        <v>769</v>
      </c>
      <c r="V350" s="33" t="s">
        <v>755</v>
      </c>
      <c r="W350" s="33" t="s">
        <v>769</v>
      </c>
      <c r="X350" s="33" t="s">
        <v>769</v>
      </c>
      <c r="Y350" s="33" t="s">
        <v>769</v>
      </c>
      <c r="Z350" s="33" t="s">
        <v>769</v>
      </c>
      <c r="AA350" s="33" t="s">
        <v>682</v>
      </c>
      <c r="AB350" s="33" t="s">
        <v>682</v>
      </c>
      <c r="AC350" s="33" t="s">
        <v>682</v>
      </c>
      <c r="AD350" s="33" t="s">
        <v>682</v>
      </c>
    </row>
    <row r="351" spans="1:30">
      <c r="A351" s="32" t="s">
        <v>563</v>
      </c>
      <c r="B351" s="33" t="s">
        <v>564</v>
      </c>
      <c r="C351" s="33" t="s">
        <v>564</v>
      </c>
      <c r="D351" s="33" t="s">
        <v>564</v>
      </c>
      <c r="E351" s="33" t="s">
        <v>564</v>
      </c>
      <c r="F351" s="33" t="s">
        <v>564</v>
      </c>
      <c r="G351" s="33" t="s">
        <v>564</v>
      </c>
      <c r="H351" s="33" t="s">
        <v>564</v>
      </c>
      <c r="I351" s="33" t="s">
        <v>564</v>
      </c>
      <c r="J351" s="33" t="s">
        <v>564</v>
      </c>
      <c r="K351" s="33" t="s">
        <v>564</v>
      </c>
      <c r="L351" s="33" t="s">
        <v>564</v>
      </c>
      <c r="M351" s="33" t="s">
        <v>564</v>
      </c>
      <c r="N351" s="33" t="s">
        <v>564</v>
      </c>
      <c r="O351" s="33" t="s">
        <v>564</v>
      </c>
      <c r="P351" s="33" t="s">
        <v>564</v>
      </c>
      <c r="Q351" s="33" t="s">
        <v>564</v>
      </c>
      <c r="R351" s="33" t="s">
        <v>564</v>
      </c>
      <c r="S351" s="33" t="s">
        <v>564</v>
      </c>
      <c r="T351" s="33" t="s">
        <v>564</v>
      </c>
      <c r="U351" s="33" t="s">
        <v>564</v>
      </c>
      <c r="V351" s="33" t="s">
        <v>564</v>
      </c>
      <c r="W351" s="33" t="s">
        <v>564</v>
      </c>
      <c r="X351" s="33" t="s">
        <v>564</v>
      </c>
      <c r="Y351" s="33" t="s">
        <v>564</v>
      </c>
      <c r="Z351" s="33" t="s">
        <v>564</v>
      </c>
      <c r="AA351" s="33" t="s">
        <v>564</v>
      </c>
      <c r="AB351" s="33" t="s">
        <v>564</v>
      </c>
      <c r="AC351" s="33" t="s">
        <v>564</v>
      </c>
      <c r="AD351" s="33" t="s">
        <v>564</v>
      </c>
    </row>
    <row r="352" spans="1:30">
      <c r="A352" s="4" t="s">
        <v>624</v>
      </c>
      <c r="B352" s="49">
        <v>-47.045000000000002</v>
      </c>
      <c r="C352" s="49">
        <v>-96.415999999999997</v>
      </c>
      <c r="D352" s="49">
        <v>-27.033000000000001</v>
      </c>
      <c r="E352" s="49">
        <v>-32.093000000000004</v>
      </c>
      <c r="F352" s="49">
        <v>-14.131</v>
      </c>
      <c r="G352" s="49">
        <v>20.6</v>
      </c>
      <c r="H352" s="49">
        <v>30.268999999999998</v>
      </c>
      <c r="I352" s="49">
        <v>29.446000000000002</v>
      </c>
      <c r="J352" s="49">
        <v>34.795000000000002</v>
      </c>
      <c r="K352" s="49">
        <v>29.158999999999999</v>
      </c>
      <c r="L352" s="49">
        <v>62.984999999999999</v>
      </c>
      <c r="M352" s="49">
        <v>66.465999999999994</v>
      </c>
      <c r="N352" s="49">
        <v>68.06</v>
      </c>
      <c r="O352" s="49">
        <v>53.927999999999997</v>
      </c>
      <c r="P352" s="49">
        <v>98.673000000000002</v>
      </c>
      <c r="Q352" s="49">
        <v>123.32899999999999</v>
      </c>
      <c r="R352" s="49">
        <v>110.001</v>
      </c>
      <c r="S352" s="49">
        <v>-8.1280000000000001</v>
      </c>
      <c r="T352" s="49">
        <v>88.412999999999997</v>
      </c>
      <c r="U352" s="49">
        <v>170.655</v>
      </c>
      <c r="V352" s="50">
        <v>142.95975000000001</v>
      </c>
      <c r="W352" s="50">
        <v>112.86839000000001</v>
      </c>
      <c r="X352" s="50">
        <v>132.84504999999999</v>
      </c>
      <c r="Y352" s="50">
        <v>178.22210999999999</v>
      </c>
      <c r="Z352" s="50">
        <v>202.38503</v>
      </c>
      <c r="AA352" s="50">
        <v>184.36188999999999</v>
      </c>
      <c r="AB352" s="50">
        <v>212.77654000000001</v>
      </c>
      <c r="AC352" s="50">
        <v>269.71471000000003</v>
      </c>
      <c r="AD352" s="50">
        <v>299.36520000000002</v>
      </c>
    </row>
    <row r="353" spans="1:30">
      <c r="A353" s="32" t="s">
        <v>546</v>
      </c>
      <c r="B353" s="50">
        <v>-44.150109999999998</v>
      </c>
      <c r="C353" s="50">
        <v>-40.611870000000003</v>
      </c>
      <c r="D353" s="50">
        <v>-35.690399999999997</v>
      </c>
      <c r="E353" s="50">
        <v>-38.991709999999998</v>
      </c>
      <c r="F353" s="50">
        <v>-25.949000000000002</v>
      </c>
      <c r="G353" s="50">
        <v>8.6333300000000008</v>
      </c>
      <c r="H353" s="50">
        <v>23.5</v>
      </c>
      <c r="I353" s="50">
        <v>26</v>
      </c>
      <c r="J353" s="50">
        <v>34.1</v>
      </c>
      <c r="K353" s="50">
        <v>27.5</v>
      </c>
      <c r="L353" s="50">
        <v>66.599999999999994</v>
      </c>
      <c r="M353" s="50">
        <v>61.333329999999997</v>
      </c>
      <c r="N353" s="50">
        <v>73</v>
      </c>
      <c r="O353" s="50">
        <v>42.67</v>
      </c>
      <c r="P353" s="50">
        <v>83.85</v>
      </c>
      <c r="Q353" s="50">
        <v>102.66508</v>
      </c>
      <c r="R353" s="50">
        <v>107.75964</v>
      </c>
      <c r="S353" s="50">
        <v>74.88261</v>
      </c>
      <c r="T353" s="50">
        <v>-32.867849999999997</v>
      </c>
      <c r="U353" s="50">
        <v>95.077929999999995</v>
      </c>
      <c r="V353" s="33" t="s">
        <v>39</v>
      </c>
      <c r="W353" s="33" t="s">
        <v>39</v>
      </c>
      <c r="X353" s="33" t="s">
        <v>39</v>
      </c>
      <c r="Y353" s="33" t="s">
        <v>39</v>
      </c>
      <c r="Z353" s="33" t="s">
        <v>39</v>
      </c>
      <c r="AA353" s="33" t="s">
        <v>39</v>
      </c>
      <c r="AB353" s="33" t="s">
        <v>39</v>
      </c>
      <c r="AC353" s="33" t="s">
        <v>39</v>
      </c>
      <c r="AD353" s="33" t="s">
        <v>39</v>
      </c>
    </row>
    <row r="354" spans="1:30">
      <c r="A354" s="32" t="s">
        <v>547</v>
      </c>
      <c r="B354" s="50">
        <v>-50.8</v>
      </c>
      <c r="C354" s="50">
        <v>-46.151240000000001</v>
      </c>
      <c r="D354" s="50">
        <v>-40.932000000000002</v>
      </c>
      <c r="E354" s="50">
        <v>-38.107999999999997</v>
      </c>
      <c r="F354" s="50">
        <v>-28.701000000000001</v>
      </c>
      <c r="G354" s="50">
        <v>8</v>
      </c>
      <c r="H354" s="50">
        <v>23.5</v>
      </c>
      <c r="I354" s="50">
        <v>26</v>
      </c>
      <c r="J354" s="50">
        <v>34.1</v>
      </c>
      <c r="K354" s="50">
        <v>27.5</v>
      </c>
      <c r="L354" s="50">
        <v>66.599999999999994</v>
      </c>
      <c r="M354" s="50">
        <v>58</v>
      </c>
      <c r="N354" s="50">
        <v>73</v>
      </c>
      <c r="O354" s="50">
        <v>42.67</v>
      </c>
      <c r="P354" s="50">
        <v>83.85</v>
      </c>
      <c r="Q354" s="50">
        <v>101.59524999999999</v>
      </c>
      <c r="R354" s="50">
        <v>108.035</v>
      </c>
      <c r="S354" s="50">
        <v>75.878720000000001</v>
      </c>
      <c r="T354" s="50">
        <v>-34.9</v>
      </c>
      <c r="U354" s="50">
        <v>102.23699999999999</v>
      </c>
      <c r="V354" s="50">
        <v>139.61449999999999</v>
      </c>
      <c r="W354" s="50">
        <v>105.45317</v>
      </c>
      <c r="X354" s="50">
        <v>132.49216000000001</v>
      </c>
      <c r="Y354" s="50">
        <v>186.76722000000001</v>
      </c>
      <c r="Z354" s="50">
        <v>206.65010000000001</v>
      </c>
      <c r="AA354" s="50">
        <v>163.38767000000001</v>
      </c>
      <c r="AB354" s="50">
        <v>221.91362000000001</v>
      </c>
      <c r="AC354" s="50">
        <v>299.66000000000003</v>
      </c>
      <c r="AD354" s="50">
        <v>315.53300000000002</v>
      </c>
    </row>
    <row r="355" spans="1:30">
      <c r="A355" s="32" t="s">
        <v>548</v>
      </c>
      <c r="B355" s="50">
        <v>-15</v>
      </c>
      <c r="C355" s="50">
        <v>-15.9</v>
      </c>
      <c r="D355" s="50">
        <v>-6.7</v>
      </c>
      <c r="E355" s="50">
        <v>-31.9</v>
      </c>
      <c r="F355" s="50">
        <v>9.1</v>
      </c>
      <c r="G355" s="50">
        <v>13.2</v>
      </c>
      <c r="H355" s="50">
        <v>23.5</v>
      </c>
      <c r="I355" s="50">
        <v>26</v>
      </c>
      <c r="J355" s="50">
        <v>36.700000000000003</v>
      </c>
      <c r="K355" s="50">
        <v>30.1</v>
      </c>
      <c r="L355" s="50">
        <v>66.599999999999994</v>
      </c>
      <c r="M355" s="50">
        <v>72.2</v>
      </c>
      <c r="N355" s="50">
        <v>81</v>
      </c>
      <c r="O355" s="50">
        <v>48.4</v>
      </c>
      <c r="P355" s="50">
        <v>86.6</v>
      </c>
      <c r="Q355" s="50">
        <v>107</v>
      </c>
      <c r="R355" s="50">
        <v>111</v>
      </c>
      <c r="S355" s="50">
        <v>89.373000000000005</v>
      </c>
      <c r="T355" s="50">
        <v>-14.07</v>
      </c>
      <c r="U355" s="50">
        <v>121.3</v>
      </c>
      <c r="V355" s="50">
        <v>163.61000000000001</v>
      </c>
      <c r="W355" s="50">
        <v>140.4</v>
      </c>
      <c r="X355" s="50">
        <v>145.30000000000001</v>
      </c>
      <c r="Y355" s="50">
        <v>205.45400000000001</v>
      </c>
      <c r="Z355" s="50">
        <v>220.505</v>
      </c>
      <c r="AA355" s="50">
        <v>238</v>
      </c>
      <c r="AB355" s="50">
        <v>229</v>
      </c>
      <c r="AC355" s="50">
        <v>312.88414</v>
      </c>
      <c r="AD355" s="50">
        <v>338.76261</v>
      </c>
    </row>
    <row r="356" spans="1:30">
      <c r="A356" s="32" t="s">
        <v>549</v>
      </c>
      <c r="B356" s="50">
        <v>-59.37885</v>
      </c>
      <c r="C356" s="50">
        <v>-54.244999999999997</v>
      </c>
      <c r="D356" s="50">
        <v>-48</v>
      </c>
      <c r="E356" s="50">
        <v>-48.9</v>
      </c>
      <c r="F356" s="50">
        <v>-33</v>
      </c>
      <c r="G356" s="50">
        <v>4.7</v>
      </c>
      <c r="H356" s="50">
        <v>23.5</v>
      </c>
      <c r="I356" s="50">
        <v>26</v>
      </c>
      <c r="J356" s="50">
        <v>31.5</v>
      </c>
      <c r="K356" s="50">
        <v>24.9</v>
      </c>
      <c r="L356" s="50">
        <v>66.599999999999994</v>
      </c>
      <c r="M356" s="50">
        <v>53.8</v>
      </c>
      <c r="N356" s="50">
        <v>65</v>
      </c>
      <c r="O356" s="50">
        <v>36.94</v>
      </c>
      <c r="P356" s="50">
        <v>81.099999999999994</v>
      </c>
      <c r="Q356" s="50">
        <v>99.4</v>
      </c>
      <c r="R356" s="50">
        <v>103.96857</v>
      </c>
      <c r="S356" s="50">
        <v>58.4</v>
      </c>
      <c r="T356" s="50">
        <v>-49.63355</v>
      </c>
      <c r="U356" s="50">
        <v>44.4</v>
      </c>
      <c r="V356" s="50">
        <v>129</v>
      </c>
      <c r="W356" s="50">
        <v>92.751999999999995</v>
      </c>
      <c r="X356" s="50">
        <v>120.74299999999999</v>
      </c>
      <c r="Y356" s="50">
        <v>133.9</v>
      </c>
      <c r="Z356" s="50">
        <v>180</v>
      </c>
      <c r="AA356" s="50">
        <v>151.69800000000001</v>
      </c>
      <c r="AB356" s="50">
        <v>187.416</v>
      </c>
      <c r="AC356" s="50">
        <v>196.6</v>
      </c>
      <c r="AD356" s="50">
        <v>243.8</v>
      </c>
    </row>
    <row r="357" spans="1:30">
      <c r="A357" s="32" t="s">
        <v>550</v>
      </c>
      <c r="B357" s="45">
        <v>15.95229</v>
      </c>
      <c r="C357" s="45">
        <v>14.859299999999999</v>
      </c>
      <c r="D357" s="45">
        <v>15.09135</v>
      </c>
      <c r="E357" s="45">
        <v>5.0699399999999999</v>
      </c>
      <c r="F357" s="45">
        <v>12.527900000000001</v>
      </c>
      <c r="G357" s="45">
        <v>3.4988899999999998</v>
      </c>
      <c r="H357" s="45">
        <v>0</v>
      </c>
      <c r="I357" s="45">
        <v>0</v>
      </c>
      <c r="J357" s="45">
        <v>2.6</v>
      </c>
      <c r="K357" s="45">
        <v>2.6</v>
      </c>
      <c r="L357" s="45">
        <v>0</v>
      </c>
      <c r="M357" s="45">
        <v>7.8728800000000003</v>
      </c>
      <c r="N357" s="45">
        <v>8</v>
      </c>
      <c r="O357" s="45">
        <v>5.73</v>
      </c>
      <c r="P357" s="45">
        <v>2.75</v>
      </c>
      <c r="Q357" s="45">
        <v>3.1935799999999999</v>
      </c>
      <c r="R357" s="45">
        <v>2.7858700000000001</v>
      </c>
      <c r="S357" s="45">
        <v>11.576779999999999</v>
      </c>
      <c r="T357" s="45">
        <v>14.589689999999999</v>
      </c>
      <c r="U357" s="45">
        <v>27.600989999999999</v>
      </c>
      <c r="V357" s="45">
        <v>12.68566</v>
      </c>
      <c r="W357" s="45">
        <v>20.1465</v>
      </c>
      <c r="X357" s="45">
        <v>10.028460000000001</v>
      </c>
      <c r="Y357" s="45">
        <v>27.040949999999999</v>
      </c>
      <c r="Z357" s="45">
        <v>16.808859999999999</v>
      </c>
      <c r="AA357" s="45">
        <v>38.226930000000003</v>
      </c>
      <c r="AB357" s="45">
        <v>18.164470000000001</v>
      </c>
      <c r="AC357" s="45">
        <v>51.981029999999997</v>
      </c>
      <c r="AD357" s="45">
        <v>40.41883</v>
      </c>
    </row>
    <row r="358" spans="1:30">
      <c r="A358" s="32" t="s">
        <v>551</v>
      </c>
      <c r="B358" s="33" t="s">
        <v>582</v>
      </c>
      <c r="C358" s="33" t="s">
        <v>578</v>
      </c>
      <c r="D358" s="33" t="s">
        <v>654</v>
      </c>
      <c r="E358" s="33" t="s">
        <v>673</v>
      </c>
      <c r="F358" s="33" t="s">
        <v>649</v>
      </c>
      <c r="G358" s="33" t="s">
        <v>609</v>
      </c>
      <c r="H358" s="33" t="s">
        <v>684</v>
      </c>
      <c r="I358" s="33" t="s">
        <v>736</v>
      </c>
      <c r="J358" s="33" t="s">
        <v>591</v>
      </c>
      <c r="K358" s="33" t="s">
        <v>591</v>
      </c>
      <c r="L358" s="33" t="s">
        <v>736</v>
      </c>
      <c r="M358" s="33" t="s">
        <v>560</v>
      </c>
      <c r="N358" s="33" t="s">
        <v>652</v>
      </c>
      <c r="O358" s="33" t="s">
        <v>652</v>
      </c>
      <c r="P358" s="33" t="s">
        <v>652</v>
      </c>
      <c r="Q358" s="33" t="s">
        <v>589</v>
      </c>
      <c r="R358" s="33" t="s">
        <v>628</v>
      </c>
      <c r="S358" s="33" t="s">
        <v>672</v>
      </c>
      <c r="T358" s="33" t="s">
        <v>653</v>
      </c>
      <c r="U358" s="33" t="s">
        <v>629</v>
      </c>
      <c r="V358" s="33" t="s">
        <v>672</v>
      </c>
      <c r="W358" s="33" t="s">
        <v>589</v>
      </c>
      <c r="X358" s="33" t="s">
        <v>589</v>
      </c>
      <c r="Y358" s="33" t="s">
        <v>628</v>
      </c>
      <c r="Z358" s="33" t="s">
        <v>589</v>
      </c>
      <c r="AA358" s="33" t="s">
        <v>609</v>
      </c>
      <c r="AB358" s="33" t="s">
        <v>609</v>
      </c>
      <c r="AC358" s="33" t="s">
        <v>609</v>
      </c>
      <c r="AD358" s="33" t="s">
        <v>609</v>
      </c>
    </row>
    <row r="359" spans="1:30">
      <c r="A359" s="32" t="s">
        <v>563</v>
      </c>
      <c r="B359" s="33" t="s">
        <v>564</v>
      </c>
      <c r="C359" s="33" t="s">
        <v>564</v>
      </c>
      <c r="D359" s="33" t="s">
        <v>564</v>
      </c>
      <c r="E359" s="33" t="s">
        <v>564</v>
      </c>
      <c r="F359" s="33" t="s">
        <v>564</v>
      </c>
      <c r="G359" s="33" t="s">
        <v>564</v>
      </c>
      <c r="H359" s="33" t="s">
        <v>564</v>
      </c>
      <c r="I359" s="33" t="s">
        <v>564</v>
      </c>
      <c r="J359" s="33" t="s">
        <v>564</v>
      </c>
      <c r="K359" s="33" t="s">
        <v>564</v>
      </c>
      <c r="L359" s="33" t="s">
        <v>564</v>
      </c>
      <c r="M359" s="33" t="s">
        <v>564</v>
      </c>
      <c r="N359" s="33" t="s">
        <v>564</v>
      </c>
      <c r="O359" s="33" t="s">
        <v>564</v>
      </c>
      <c r="P359" s="33" t="s">
        <v>564</v>
      </c>
      <c r="Q359" s="33" t="s">
        <v>564</v>
      </c>
      <c r="R359" s="33" t="s">
        <v>564</v>
      </c>
      <c r="S359" s="33" t="s">
        <v>564</v>
      </c>
      <c r="T359" s="33" t="s">
        <v>564</v>
      </c>
      <c r="U359" s="33" t="s">
        <v>564</v>
      </c>
      <c r="V359" s="33" t="s">
        <v>564</v>
      </c>
      <c r="W359" s="33" t="s">
        <v>564</v>
      </c>
      <c r="X359" s="33" t="s">
        <v>564</v>
      </c>
      <c r="Y359" s="33" t="s">
        <v>564</v>
      </c>
      <c r="Z359" s="33" t="s">
        <v>564</v>
      </c>
      <c r="AA359" s="33" t="s">
        <v>564</v>
      </c>
      <c r="AB359" s="33" t="s">
        <v>564</v>
      </c>
      <c r="AC359" s="33" t="s">
        <v>564</v>
      </c>
      <c r="AD359" s="33" t="s">
        <v>564</v>
      </c>
    </row>
    <row r="360" spans="1:30">
      <c r="A360" s="4" t="s">
        <v>632</v>
      </c>
      <c r="B360" s="49">
        <v>-47.045000000000002</v>
      </c>
      <c r="C360" s="49">
        <v>-96.415999999999997</v>
      </c>
      <c r="D360" s="49">
        <v>-27.033000000000001</v>
      </c>
      <c r="E360" s="49">
        <v>-32.093000000000004</v>
      </c>
      <c r="F360" s="49">
        <v>-14.131</v>
      </c>
      <c r="G360" s="49">
        <v>-14.581</v>
      </c>
      <c r="H360" s="49">
        <v>-15.49</v>
      </c>
      <c r="I360" s="49">
        <v>-16.745000000000001</v>
      </c>
      <c r="J360" s="49">
        <v>-15.848000000000001</v>
      </c>
      <c r="K360" s="49">
        <v>-23.811</v>
      </c>
      <c r="L360" s="49">
        <v>-5.3019999999999996</v>
      </c>
      <c r="M360" s="49">
        <v>20.709</v>
      </c>
      <c r="N360" s="49">
        <v>-27.722999999999999</v>
      </c>
      <c r="O360" s="49">
        <v>-38.021999999999998</v>
      </c>
      <c r="P360" s="49">
        <v>-7.2160000000000002</v>
      </c>
      <c r="Q360" s="49">
        <v>32.003</v>
      </c>
      <c r="R360" s="49">
        <v>391.44799999999998</v>
      </c>
      <c r="S360" s="49">
        <v>-105.35599999999999</v>
      </c>
      <c r="T360" s="49">
        <v>-12.23</v>
      </c>
      <c r="U360" s="49">
        <v>35.146000000000001</v>
      </c>
      <c r="V360" s="50">
        <v>-6.1412199999999997</v>
      </c>
      <c r="W360" s="50">
        <v>-22.704360000000001</v>
      </c>
      <c r="X360" s="50">
        <v>-13.638439999999999</v>
      </c>
      <c r="Y360" s="50">
        <v>10.93568</v>
      </c>
      <c r="Z360" s="50">
        <v>28.24682</v>
      </c>
      <c r="AA360" s="50">
        <v>51.834479999999999</v>
      </c>
      <c r="AB360" s="50">
        <v>80.007549999999995</v>
      </c>
      <c r="AC360" s="50">
        <v>93.885360000000006</v>
      </c>
      <c r="AD360" s="50">
        <v>110.52227999999999</v>
      </c>
    </row>
    <row r="361" spans="1:30">
      <c r="A361" s="32" t="s">
        <v>546</v>
      </c>
      <c r="B361" s="50">
        <v>-48.610080000000004</v>
      </c>
      <c r="C361" s="50">
        <v>-45.777940000000001</v>
      </c>
      <c r="D361" s="50">
        <v>-41.084330000000001</v>
      </c>
      <c r="E361" s="50">
        <v>-38.590159999999997</v>
      </c>
      <c r="F361" s="50">
        <v>-30.125330000000002</v>
      </c>
      <c r="G361" s="50">
        <v>-29.6754</v>
      </c>
      <c r="H361" s="50">
        <v>-19.705880000000001</v>
      </c>
      <c r="I361" s="50">
        <v>-20.114979999999999</v>
      </c>
      <c r="J361" s="50">
        <v>-14.691409999999999</v>
      </c>
      <c r="K361" s="50">
        <v>-23.139309999999998</v>
      </c>
      <c r="L361" s="50">
        <v>-19.622769999999999</v>
      </c>
      <c r="M361" s="50">
        <v>-21.296530000000001</v>
      </c>
      <c r="N361" s="50">
        <v>-13.805910000000001</v>
      </c>
      <c r="O361" s="50">
        <v>-42.569159999999997</v>
      </c>
      <c r="P361" s="50">
        <v>-11.57413</v>
      </c>
      <c r="Q361" s="50">
        <v>1.61592</v>
      </c>
      <c r="R361" s="50">
        <v>6.9464399999999999</v>
      </c>
      <c r="S361" s="50">
        <v>-30.990559999999999</v>
      </c>
      <c r="T361" s="50">
        <v>-119.02902</v>
      </c>
      <c r="U361" s="50">
        <v>-37.72551</v>
      </c>
      <c r="V361" s="33" t="s">
        <v>39</v>
      </c>
      <c r="W361" s="33" t="s">
        <v>39</v>
      </c>
      <c r="X361" s="33" t="s">
        <v>39</v>
      </c>
      <c r="Y361" s="33" t="s">
        <v>39</v>
      </c>
      <c r="Z361" s="33" t="s">
        <v>39</v>
      </c>
      <c r="AA361" s="33" t="s">
        <v>39</v>
      </c>
      <c r="AB361" s="33" t="s">
        <v>39</v>
      </c>
      <c r="AC361" s="33" t="s">
        <v>39</v>
      </c>
      <c r="AD361" s="33" t="s">
        <v>39</v>
      </c>
    </row>
    <row r="362" spans="1:30">
      <c r="A362" s="32" t="s">
        <v>547</v>
      </c>
      <c r="B362" s="50">
        <v>-50.8</v>
      </c>
      <c r="C362" s="50">
        <v>-45.4</v>
      </c>
      <c r="D362" s="50">
        <v>-40.816000000000003</v>
      </c>
      <c r="E362" s="50">
        <v>-39.299999999999997</v>
      </c>
      <c r="F362" s="50">
        <v>-30.521999999999998</v>
      </c>
      <c r="G362" s="50">
        <v>-29.7</v>
      </c>
      <c r="H362" s="50">
        <v>-20.5</v>
      </c>
      <c r="I362" s="50">
        <v>-20.2</v>
      </c>
      <c r="J362" s="50">
        <v>-15.045999999999999</v>
      </c>
      <c r="K362" s="50">
        <v>-24.75</v>
      </c>
      <c r="L362" s="50">
        <v>-23</v>
      </c>
      <c r="M362" s="50">
        <v>-23.702000000000002</v>
      </c>
      <c r="N362" s="50">
        <v>-11.47</v>
      </c>
      <c r="O362" s="50">
        <v>-41.25</v>
      </c>
      <c r="P362" s="50">
        <v>-13</v>
      </c>
      <c r="Q362" s="50">
        <v>-1.4139999999999999</v>
      </c>
      <c r="R362" s="50">
        <v>6.9734999999999996</v>
      </c>
      <c r="S362" s="50">
        <v>-30.945</v>
      </c>
      <c r="T362" s="50">
        <v>-117.193</v>
      </c>
      <c r="U362" s="50">
        <v>-31.608000000000001</v>
      </c>
      <c r="V362" s="50">
        <v>-6.2</v>
      </c>
      <c r="W362" s="50">
        <v>-10.645</v>
      </c>
      <c r="X362" s="50">
        <v>-2.0649999999999999</v>
      </c>
      <c r="Y362" s="50">
        <v>32.685000000000002</v>
      </c>
      <c r="Z362" s="50">
        <v>39.270000000000003</v>
      </c>
      <c r="AA362" s="50">
        <v>66.900000000000006</v>
      </c>
      <c r="AB362" s="50">
        <v>69.441999999999993</v>
      </c>
      <c r="AC362" s="50">
        <v>115.828</v>
      </c>
      <c r="AD362" s="50">
        <v>130.36199999999999</v>
      </c>
    </row>
    <row r="363" spans="1:30">
      <c r="A363" s="32" t="s">
        <v>548</v>
      </c>
      <c r="B363" s="50">
        <v>-15</v>
      </c>
      <c r="C363" s="50">
        <v>-20</v>
      </c>
      <c r="D363" s="50">
        <v>-33.799999999999997</v>
      </c>
      <c r="E363" s="50">
        <v>-30.82</v>
      </c>
      <c r="F363" s="50">
        <v>-27</v>
      </c>
      <c r="G363" s="50">
        <v>-23.65</v>
      </c>
      <c r="H363" s="50">
        <v>-6.6449999999999996</v>
      </c>
      <c r="I363" s="50">
        <v>-10.593</v>
      </c>
      <c r="J363" s="50">
        <v>-7.1470000000000002</v>
      </c>
      <c r="K363" s="50">
        <v>-6.1</v>
      </c>
      <c r="L363" s="50">
        <v>-4.1630000000000003</v>
      </c>
      <c r="M363" s="50">
        <v>-7.6180000000000003</v>
      </c>
      <c r="N363" s="50">
        <v>-5.7430000000000003</v>
      </c>
      <c r="O363" s="50">
        <v>-23.98</v>
      </c>
      <c r="P363" s="50">
        <v>17.61</v>
      </c>
      <c r="Q363" s="50">
        <v>29.9</v>
      </c>
      <c r="R363" s="50">
        <v>18.992999999999999</v>
      </c>
      <c r="S363" s="50">
        <v>-12.262</v>
      </c>
      <c r="T363" s="50">
        <v>-13.4</v>
      </c>
      <c r="U363" s="50">
        <v>-2.5390000000000001</v>
      </c>
      <c r="V363" s="50">
        <v>98</v>
      </c>
      <c r="W363" s="50">
        <v>47.72</v>
      </c>
      <c r="X363" s="50">
        <v>33.042000000000002</v>
      </c>
      <c r="Y363" s="50">
        <v>80</v>
      </c>
      <c r="Z363" s="50">
        <v>129.30000000000001</v>
      </c>
      <c r="AA363" s="50">
        <v>135.19999999999999</v>
      </c>
      <c r="AB363" s="50">
        <v>147.69999999999999</v>
      </c>
      <c r="AC363" s="50">
        <v>163.19999999999999</v>
      </c>
      <c r="AD363" s="50">
        <v>224.5</v>
      </c>
    </row>
    <row r="364" spans="1:30">
      <c r="A364" s="32" t="s">
        <v>549</v>
      </c>
      <c r="B364" s="50">
        <v>-60</v>
      </c>
      <c r="C364" s="50">
        <v>-63.45</v>
      </c>
      <c r="D364" s="50">
        <v>-50.54</v>
      </c>
      <c r="E364" s="50">
        <v>-48.9</v>
      </c>
      <c r="F364" s="50">
        <v>-33.200000000000003</v>
      </c>
      <c r="G364" s="50">
        <v>-34</v>
      </c>
      <c r="H364" s="50">
        <v>-28.425999999999998</v>
      </c>
      <c r="I364" s="50">
        <v>-26.7</v>
      </c>
      <c r="J364" s="50">
        <v>-20.7</v>
      </c>
      <c r="K364" s="50">
        <v>-34</v>
      </c>
      <c r="L364" s="50">
        <v>-35.259</v>
      </c>
      <c r="M364" s="50">
        <v>-31.7</v>
      </c>
      <c r="N364" s="50">
        <v>-35.848999999999997</v>
      </c>
      <c r="O364" s="50">
        <v>-54.601999999999997</v>
      </c>
      <c r="P364" s="50">
        <v>-24.446999999999999</v>
      </c>
      <c r="Q364" s="50">
        <v>-8.6</v>
      </c>
      <c r="R364" s="50">
        <v>-5.6760000000000002</v>
      </c>
      <c r="S364" s="50">
        <v>-56.35</v>
      </c>
      <c r="T364" s="50">
        <v>-193.8</v>
      </c>
      <c r="U364" s="50">
        <v>-97.3</v>
      </c>
      <c r="V364" s="50">
        <v>-101.2</v>
      </c>
      <c r="W364" s="50">
        <v>-133.80199999999999</v>
      </c>
      <c r="X364" s="50">
        <v>-120.154</v>
      </c>
      <c r="Y364" s="50">
        <v>-133.05600000000001</v>
      </c>
      <c r="Z364" s="50">
        <v>-127.515</v>
      </c>
      <c r="AA364" s="50">
        <v>-118.6</v>
      </c>
      <c r="AB364" s="50">
        <v>14.1</v>
      </c>
      <c r="AC364" s="50">
        <v>6.3</v>
      </c>
      <c r="AD364" s="50">
        <v>-50.7</v>
      </c>
    </row>
    <row r="365" spans="1:30">
      <c r="A365" s="32" t="s">
        <v>550</v>
      </c>
      <c r="B365" s="45">
        <v>12.27553</v>
      </c>
      <c r="C365" s="45">
        <v>10.961069999999999</v>
      </c>
      <c r="D365" s="45">
        <v>4.82212</v>
      </c>
      <c r="E365" s="45">
        <v>4.2809999999999997</v>
      </c>
      <c r="F365" s="45">
        <v>1.96976</v>
      </c>
      <c r="G365" s="45">
        <v>2.8322799999999999</v>
      </c>
      <c r="H365" s="45">
        <v>5.5724200000000002</v>
      </c>
      <c r="I365" s="45">
        <v>4.0426599999999997</v>
      </c>
      <c r="J365" s="45">
        <v>3.49404</v>
      </c>
      <c r="K365" s="45">
        <v>6.7735799999999999</v>
      </c>
      <c r="L365" s="45">
        <v>10.62682</v>
      </c>
      <c r="M365" s="45">
        <v>7.7215400000000001</v>
      </c>
      <c r="N365" s="45">
        <v>8.2539200000000008</v>
      </c>
      <c r="O365" s="45">
        <v>7.2029100000000001</v>
      </c>
      <c r="P365" s="45">
        <v>11.33304</v>
      </c>
      <c r="Q365" s="45">
        <v>8.5598799999999997</v>
      </c>
      <c r="R365" s="45">
        <v>6.5291800000000002</v>
      </c>
      <c r="S365" s="45">
        <v>10.761189999999999</v>
      </c>
      <c r="T365" s="45">
        <v>42.393450000000001</v>
      </c>
      <c r="U365" s="45">
        <v>27.68421</v>
      </c>
      <c r="V365" s="45">
        <v>45.420389999999998</v>
      </c>
      <c r="W365" s="45">
        <v>42.999310000000001</v>
      </c>
      <c r="X365" s="45">
        <v>46.006259999999997</v>
      </c>
      <c r="Y365" s="45">
        <v>60.01153</v>
      </c>
      <c r="Z365" s="45">
        <v>66.912030000000001</v>
      </c>
      <c r="AA365" s="45">
        <v>75.634050000000002</v>
      </c>
      <c r="AB365" s="45">
        <v>41.496270000000003</v>
      </c>
      <c r="AC365" s="45">
        <v>52.15869</v>
      </c>
      <c r="AD365" s="45">
        <v>84.382239999999996</v>
      </c>
    </row>
    <row r="366" spans="1:30">
      <c r="A366" s="32" t="s">
        <v>551</v>
      </c>
      <c r="B366" s="33" t="s">
        <v>633</v>
      </c>
      <c r="C366" s="33" t="s">
        <v>649</v>
      </c>
      <c r="D366" s="33" t="s">
        <v>572</v>
      </c>
      <c r="E366" s="33" t="s">
        <v>732</v>
      </c>
      <c r="F366" s="33" t="s">
        <v>735</v>
      </c>
      <c r="G366" s="33" t="s">
        <v>735</v>
      </c>
      <c r="H366" s="33" t="s">
        <v>770</v>
      </c>
      <c r="I366" s="33" t="s">
        <v>640</v>
      </c>
      <c r="J366" s="33" t="s">
        <v>568</v>
      </c>
      <c r="K366" s="33" t="s">
        <v>770</v>
      </c>
      <c r="L366" s="33" t="s">
        <v>753</v>
      </c>
      <c r="M366" s="33" t="s">
        <v>634</v>
      </c>
      <c r="N366" s="33" t="s">
        <v>677</v>
      </c>
      <c r="O366" s="33" t="s">
        <v>732</v>
      </c>
      <c r="P366" s="33" t="s">
        <v>658</v>
      </c>
      <c r="Q366" s="33" t="s">
        <v>734</v>
      </c>
      <c r="R366" s="33" t="s">
        <v>734</v>
      </c>
      <c r="S366" s="33" t="s">
        <v>770</v>
      </c>
      <c r="T366" s="33" t="s">
        <v>657</v>
      </c>
      <c r="U366" s="33" t="s">
        <v>658</v>
      </c>
      <c r="V366" s="33" t="s">
        <v>734</v>
      </c>
      <c r="W366" s="33" t="s">
        <v>770</v>
      </c>
      <c r="X366" s="33" t="s">
        <v>770</v>
      </c>
      <c r="Y366" s="33" t="s">
        <v>770</v>
      </c>
      <c r="Z366" s="33" t="s">
        <v>770</v>
      </c>
      <c r="AA366" s="33" t="s">
        <v>580</v>
      </c>
      <c r="AB366" s="33" t="s">
        <v>580</v>
      </c>
      <c r="AC366" s="33" t="s">
        <v>580</v>
      </c>
      <c r="AD366" s="33" t="s">
        <v>580</v>
      </c>
    </row>
    <row r="367" spans="1:30">
      <c r="A367" s="32" t="s">
        <v>563</v>
      </c>
      <c r="B367" s="33" t="s">
        <v>564</v>
      </c>
      <c r="C367" s="33" t="s">
        <v>564</v>
      </c>
      <c r="D367" s="33" t="s">
        <v>564</v>
      </c>
      <c r="E367" s="33" t="s">
        <v>564</v>
      </c>
      <c r="F367" s="33" t="s">
        <v>564</v>
      </c>
      <c r="G367" s="33" t="s">
        <v>564</v>
      </c>
      <c r="H367" s="33" t="s">
        <v>564</v>
      </c>
      <c r="I367" s="33" t="s">
        <v>564</v>
      </c>
      <c r="J367" s="33" t="s">
        <v>564</v>
      </c>
      <c r="K367" s="33" t="s">
        <v>564</v>
      </c>
      <c r="L367" s="33" t="s">
        <v>564</v>
      </c>
      <c r="M367" s="33" t="s">
        <v>564</v>
      </c>
      <c r="N367" s="33" t="s">
        <v>564</v>
      </c>
      <c r="O367" s="33" t="s">
        <v>564</v>
      </c>
      <c r="P367" s="33" t="s">
        <v>564</v>
      </c>
      <c r="Q367" s="33" t="s">
        <v>564</v>
      </c>
      <c r="R367" s="33" t="s">
        <v>564</v>
      </c>
      <c r="S367" s="33" t="s">
        <v>564</v>
      </c>
      <c r="T367" s="33" t="s">
        <v>564</v>
      </c>
      <c r="U367" s="33" t="s">
        <v>564</v>
      </c>
      <c r="V367" s="33" t="s">
        <v>564</v>
      </c>
      <c r="W367" s="33" t="s">
        <v>564</v>
      </c>
      <c r="X367" s="33" t="s">
        <v>564</v>
      </c>
      <c r="Y367" s="33" t="s">
        <v>564</v>
      </c>
      <c r="Z367" s="33" t="s">
        <v>564</v>
      </c>
      <c r="AA367" s="33" t="s">
        <v>564</v>
      </c>
      <c r="AB367" s="33" t="s">
        <v>564</v>
      </c>
      <c r="AC367" s="33" t="s">
        <v>564</v>
      </c>
      <c r="AD367" s="33" t="s">
        <v>564</v>
      </c>
    </row>
    <row r="368" spans="1:30">
      <c r="A368" s="4" t="s">
        <v>641</v>
      </c>
      <c r="B368" s="49">
        <v>-48.289000000000001</v>
      </c>
      <c r="C368" s="49">
        <v>-96.756</v>
      </c>
      <c r="D368" s="49">
        <v>-27.344999999999999</v>
      </c>
      <c r="E368" s="49">
        <v>-32.323</v>
      </c>
      <c r="F368" s="49">
        <v>-15.167</v>
      </c>
      <c r="G368" s="49">
        <v>20.091000000000001</v>
      </c>
      <c r="H368" s="49">
        <v>29.797000000000001</v>
      </c>
      <c r="I368" s="49">
        <v>30.093</v>
      </c>
      <c r="J368" s="49">
        <v>34.979999999999997</v>
      </c>
      <c r="K368" s="49">
        <v>28.984000000000002</v>
      </c>
      <c r="L368" s="49">
        <v>62.381</v>
      </c>
      <c r="M368" s="49">
        <v>65.400000000000006</v>
      </c>
      <c r="N368" s="49">
        <v>67.578999999999994</v>
      </c>
      <c r="O368" s="49">
        <v>53.798999999999999</v>
      </c>
      <c r="P368" s="49">
        <v>99.149000000000001</v>
      </c>
      <c r="Q368" s="49">
        <v>120.723</v>
      </c>
      <c r="R368" s="49">
        <v>109.49299999999999</v>
      </c>
      <c r="S368" s="49">
        <v>-8.6630000000000003</v>
      </c>
      <c r="T368" s="49">
        <v>89.165000000000006</v>
      </c>
      <c r="U368" s="49">
        <v>172.024</v>
      </c>
      <c r="V368" s="50">
        <v>136.18897000000001</v>
      </c>
      <c r="W368" s="50">
        <v>108.06295</v>
      </c>
      <c r="X368" s="50">
        <v>136.98598999999999</v>
      </c>
      <c r="Y368" s="50">
        <v>166.25796</v>
      </c>
      <c r="Z368" s="50">
        <v>180.87527</v>
      </c>
      <c r="AA368" s="50">
        <v>174.90903</v>
      </c>
      <c r="AB368" s="50">
        <v>228.46708000000001</v>
      </c>
      <c r="AC368" s="50">
        <v>274.22426000000002</v>
      </c>
      <c r="AD368" s="50">
        <v>276.71435000000002</v>
      </c>
    </row>
    <row r="369" spans="1:30">
      <c r="A369" s="32" t="s">
        <v>546</v>
      </c>
      <c r="B369" s="50">
        <v>-44.496749999999999</v>
      </c>
      <c r="C369" s="50">
        <v>-34.448250000000002</v>
      </c>
      <c r="D369" s="50">
        <v>-18.785699999999999</v>
      </c>
      <c r="E369" s="50">
        <v>-39.207569999999997</v>
      </c>
      <c r="F369" s="50">
        <v>-25.805</v>
      </c>
      <c r="G369" s="50">
        <v>8.6743299999999994</v>
      </c>
      <c r="H369" s="50">
        <v>20.981000000000002</v>
      </c>
      <c r="I369" s="50">
        <v>23.076789999999999</v>
      </c>
      <c r="J369" s="50">
        <v>30.20532</v>
      </c>
      <c r="K369" s="50">
        <v>25.3552</v>
      </c>
      <c r="L369" s="50">
        <v>53.86571</v>
      </c>
      <c r="M369" s="50">
        <v>54.028230000000001</v>
      </c>
      <c r="N369" s="50">
        <v>67.127799999999993</v>
      </c>
      <c r="O369" s="50">
        <v>37.809800000000003</v>
      </c>
      <c r="P369" s="50">
        <v>79.596519999999998</v>
      </c>
      <c r="Q369" s="50">
        <v>99.388369999999995</v>
      </c>
      <c r="R369" s="50">
        <v>103.03276</v>
      </c>
      <c r="S369" s="50">
        <v>65.97448</v>
      </c>
      <c r="T369" s="50">
        <v>-21.333500000000001</v>
      </c>
      <c r="U369" s="50">
        <v>89.240520000000004</v>
      </c>
      <c r="V369" s="33" t="s">
        <v>39</v>
      </c>
      <c r="W369" s="33" t="s">
        <v>39</v>
      </c>
      <c r="X369" s="33" t="s">
        <v>39</v>
      </c>
      <c r="Y369" s="33" t="s">
        <v>39</v>
      </c>
      <c r="Z369" s="33" t="s">
        <v>39</v>
      </c>
      <c r="AA369" s="33" t="s">
        <v>39</v>
      </c>
      <c r="AB369" s="33" t="s">
        <v>39</v>
      </c>
      <c r="AC369" s="33" t="s">
        <v>39</v>
      </c>
      <c r="AD369" s="33" t="s">
        <v>39</v>
      </c>
    </row>
    <row r="370" spans="1:30">
      <c r="A370" s="32" t="s">
        <v>547</v>
      </c>
      <c r="B370" s="50">
        <v>-51.3</v>
      </c>
      <c r="C370" s="50">
        <v>-33.460500000000003</v>
      </c>
      <c r="D370" s="50">
        <v>-10.6</v>
      </c>
      <c r="E370" s="50">
        <v>-39.250999999999998</v>
      </c>
      <c r="F370" s="50">
        <v>-29.6005</v>
      </c>
      <c r="G370" s="50">
        <v>8.5190000000000001</v>
      </c>
      <c r="H370" s="50">
        <v>19.600000000000001</v>
      </c>
      <c r="I370" s="50">
        <v>23.1</v>
      </c>
      <c r="J370" s="50">
        <v>29.9</v>
      </c>
      <c r="K370" s="50">
        <v>24.8</v>
      </c>
      <c r="L370" s="50">
        <v>53.276000000000003</v>
      </c>
      <c r="M370" s="50">
        <v>54.85</v>
      </c>
      <c r="N370" s="50">
        <v>66.150000000000006</v>
      </c>
      <c r="O370" s="50">
        <v>39.200000000000003</v>
      </c>
      <c r="P370" s="50">
        <v>80.099999999999994</v>
      </c>
      <c r="Q370" s="50">
        <v>98.4</v>
      </c>
      <c r="R370" s="50">
        <v>103.1105</v>
      </c>
      <c r="S370" s="50">
        <v>65.416460000000001</v>
      </c>
      <c r="T370" s="50">
        <v>-23.997</v>
      </c>
      <c r="U370" s="50">
        <v>92.894000000000005</v>
      </c>
      <c r="V370" s="50">
        <v>130</v>
      </c>
      <c r="W370" s="50">
        <v>105.46057999999999</v>
      </c>
      <c r="X370" s="50">
        <v>138.74608000000001</v>
      </c>
      <c r="Y370" s="50">
        <v>182.23699999999999</v>
      </c>
      <c r="Z370" s="50">
        <v>191.9</v>
      </c>
      <c r="AA370" s="50">
        <v>176.73</v>
      </c>
      <c r="AB370" s="50">
        <v>215.36776</v>
      </c>
      <c r="AC370" s="50">
        <v>292</v>
      </c>
      <c r="AD370" s="50">
        <v>279.26299999999998</v>
      </c>
    </row>
    <row r="371" spans="1:30">
      <c r="A371" s="32" t="s">
        <v>548</v>
      </c>
      <c r="B371" s="50">
        <v>-15</v>
      </c>
      <c r="C371" s="50">
        <v>-15</v>
      </c>
      <c r="D371" s="50">
        <v>-6.7</v>
      </c>
      <c r="E371" s="50">
        <v>-32.268000000000001</v>
      </c>
      <c r="F371" s="50">
        <v>7.9</v>
      </c>
      <c r="G371" s="50">
        <v>12.5</v>
      </c>
      <c r="H371" s="50">
        <v>30.9</v>
      </c>
      <c r="I371" s="50">
        <v>33.828000000000003</v>
      </c>
      <c r="J371" s="50">
        <v>36.1</v>
      </c>
      <c r="K371" s="50">
        <v>34.4</v>
      </c>
      <c r="L371" s="50">
        <v>64.599999999999994</v>
      </c>
      <c r="M371" s="50">
        <v>70</v>
      </c>
      <c r="N371" s="50">
        <v>78.5</v>
      </c>
      <c r="O371" s="50">
        <v>44.5</v>
      </c>
      <c r="P371" s="50">
        <v>86.629000000000005</v>
      </c>
      <c r="Q371" s="50">
        <v>118</v>
      </c>
      <c r="R371" s="50">
        <v>116.15600000000001</v>
      </c>
      <c r="S371" s="50">
        <v>88.286000000000001</v>
      </c>
      <c r="T371" s="50">
        <v>65.400000000000006</v>
      </c>
      <c r="U371" s="50">
        <v>126.6</v>
      </c>
      <c r="V371" s="50">
        <v>210.8</v>
      </c>
      <c r="W371" s="50">
        <v>249.78386</v>
      </c>
      <c r="X371" s="50">
        <v>250.95334</v>
      </c>
      <c r="Y371" s="50">
        <v>236.49</v>
      </c>
      <c r="Z371" s="50">
        <v>255.8</v>
      </c>
      <c r="AA371" s="50">
        <v>248.6</v>
      </c>
      <c r="AB371" s="50">
        <v>290.22899999999998</v>
      </c>
      <c r="AC371" s="50">
        <v>368.13200000000001</v>
      </c>
      <c r="AD371" s="50">
        <v>368.7</v>
      </c>
    </row>
    <row r="372" spans="1:30">
      <c r="A372" s="32" t="s">
        <v>549</v>
      </c>
      <c r="B372" s="50">
        <v>-59</v>
      </c>
      <c r="C372" s="50">
        <v>-55.872</v>
      </c>
      <c r="D372" s="50">
        <v>-48.5</v>
      </c>
      <c r="E372" s="50">
        <v>-48.9</v>
      </c>
      <c r="F372" s="50">
        <v>-33</v>
      </c>
      <c r="G372" s="50">
        <v>3.3</v>
      </c>
      <c r="H372" s="50">
        <v>14.3</v>
      </c>
      <c r="I372" s="50">
        <v>17.516999999999999</v>
      </c>
      <c r="J372" s="50">
        <v>24</v>
      </c>
      <c r="K372" s="50">
        <v>17.8</v>
      </c>
      <c r="L372" s="50">
        <v>49.137999999999998</v>
      </c>
      <c r="M372" s="50">
        <v>44.8</v>
      </c>
      <c r="N372" s="50">
        <v>57</v>
      </c>
      <c r="O372" s="50">
        <v>27.8</v>
      </c>
      <c r="P372" s="50">
        <v>61.2</v>
      </c>
      <c r="Q372" s="50">
        <v>88.8</v>
      </c>
      <c r="R372" s="50">
        <v>91.3</v>
      </c>
      <c r="S372" s="50">
        <v>44.1</v>
      </c>
      <c r="T372" s="50">
        <v>-118.1</v>
      </c>
      <c r="U372" s="50">
        <v>23</v>
      </c>
      <c r="V372" s="50">
        <v>82.7</v>
      </c>
      <c r="W372" s="50">
        <v>2.2770000000000001</v>
      </c>
      <c r="X372" s="50">
        <v>19.992000000000001</v>
      </c>
      <c r="Y372" s="50">
        <v>40.593000000000004</v>
      </c>
      <c r="Z372" s="50">
        <v>44.128</v>
      </c>
      <c r="AA372" s="50">
        <v>33.49</v>
      </c>
      <c r="AB372" s="50">
        <v>183.69897</v>
      </c>
      <c r="AC372" s="50">
        <v>196.6</v>
      </c>
      <c r="AD372" s="50">
        <v>125.762</v>
      </c>
    </row>
    <row r="373" spans="1:30">
      <c r="A373" s="32" t="s">
        <v>550</v>
      </c>
      <c r="B373" s="45">
        <v>16.141279999999998</v>
      </c>
      <c r="C373" s="45">
        <v>19.07816</v>
      </c>
      <c r="D373" s="45">
        <v>15.72836</v>
      </c>
      <c r="E373" s="45">
        <v>4.98292</v>
      </c>
      <c r="F373" s="45">
        <v>12.87792</v>
      </c>
      <c r="G373" s="45">
        <v>2.6424699999999999</v>
      </c>
      <c r="H373" s="45">
        <v>4.7666899999999996</v>
      </c>
      <c r="I373" s="45">
        <v>3.9007800000000001</v>
      </c>
      <c r="J373" s="45">
        <v>2.9432</v>
      </c>
      <c r="K373" s="45">
        <v>3.3529599999999999</v>
      </c>
      <c r="L373" s="45">
        <v>3.4317000000000002</v>
      </c>
      <c r="M373" s="45">
        <v>5.6826999999999996</v>
      </c>
      <c r="N373" s="45">
        <v>4.6877300000000002</v>
      </c>
      <c r="O373" s="45">
        <v>4.5522999999999998</v>
      </c>
      <c r="P373" s="45">
        <v>5.1406299999999998</v>
      </c>
      <c r="Q373" s="45">
        <v>5.3032399999999997</v>
      </c>
      <c r="R373" s="45">
        <v>5.2902199999999997</v>
      </c>
      <c r="S373" s="45">
        <v>12.22433</v>
      </c>
      <c r="T373" s="45">
        <v>40.445650000000001</v>
      </c>
      <c r="U373" s="45">
        <v>26.61289</v>
      </c>
      <c r="V373" s="45">
        <v>32.230170000000001</v>
      </c>
      <c r="W373" s="45">
        <v>52.9694</v>
      </c>
      <c r="X373" s="45">
        <v>47.528750000000002</v>
      </c>
      <c r="Y373" s="45">
        <v>56.06129</v>
      </c>
      <c r="Z373" s="45">
        <v>62.141869999999997</v>
      </c>
      <c r="AA373" s="45">
        <v>62.379429999999999</v>
      </c>
      <c r="AB373" s="45">
        <v>40.015610000000002</v>
      </c>
      <c r="AC373" s="45">
        <v>52.878590000000003</v>
      </c>
      <c r="AD373" s="45">
        <v>66.595209999999994</v>
      </c>
    </row>
    <row r="374" spans="1:30">
      <c r="A374" s="32" t="s">
        <v>551</v>
      </c>
      <c r="B374" s="33" t="s">
        <v>582</v>
      </c>
      <c r="C374" s="33" t="s">
        <v>590</v>
      </c>
      <c r="D374" s="33" t="s">
        <v>766</v>
      </c>
      <c r="E374" s="33" t="s">
        <v>771</v>
      </c>
      <c r="F374" s="33" t="s">
        <v>772</v>
      </c>
      <c r="G374" s="33" t="s">
        <v>610</v>
      </c>
      <c r="H374" s="33" t="s">
        <v>663</v>
      </c>
      <c r="I374" s="33" t="s">
        <v>734</v>
      </c>
      <c r="J374" s="33" t="s">
        <v>568</v>
      </c>
      <c r="K374" s="33" t="s">
        <v>640</v>
      </c>
      <c r="L374" s="33" t="s">
        <v>650</v>
      </c>
      <c r="M374" s="33" t="s">
        <v>738</v>
      </c>
      <c r="N374" s="33" t="s">
        <v>738</v>
      </c>
      <c r="O374" s="33" t="s">
        <v>638</v>
      </c>
      <c r="P374" s="33" t="s">
        <v>737</v>
      </c>
      <c r="Q374" s="33" t="s">
        <v>639</v>
      </c>
      <c r="R374" s="33" t="s">
        <v>721</v>
      </c>
      <c r="S374" s="33" t="s">
        <v>773</v>
      </c>
      <c r="T374" s="33" t="s">
        <v>738</v>
      </c>
      <c r="U374" s="33" t="s">
        <v>738</v>
      </c>
      <c r="V374" s="33" t="s">
        <v>568</v>
      </c>
      <c r="W374" s="33" t="s">
        <v>770</v>
      </c>
      <c r="X374" s="33" t="s">
        <v>770</v>
      </c>
      <c r="Y374" s="33" t="s">
        <v>657</v>
      </c>
      <c r="Z374" s="33" t="s">
        <v>658</v>
      </c>
      <c r="AA374" s="33" t="s">
        <v>618</v>
      </c>
      <c r="AB374" s="33" t="s">
        <v>618</v>
      </c>
      <c r="AC374" s="33" t="s">
        <v>618</v>
      </c>
      <c r="AD374" s="33" t="s">
        <v>618</v>
      </c>
    </row>
    <row r="375" spans="1:30">
      <c r="A375" s="32" t="s">
        <v>563</v>
      </c>
      <c r="B375" s="33" t="s">
        <v>564</v>
      </c>
      <c r="C375" s="33" t="s">
        <v>564</v>
      </c>
      <c r="D375" s="33" t="s">
        <v>564</v>
      </c>
      <c r="E375" s="33" t="s">
        <v>564</v>
      </c>
      <c r="F375" s="33" t="s">
        <v>564</v>
      </c>
      <c r="G375" s="33" t="s">
        <v>564</v>
      </c>
      <c r="H375" s="33" t="s">
        <v>564</v>
      </c>
      <c r="I375" s="33" t="s">
        <v>564</v>
      </c>
      <c r="J375" s="33" t="s">
        <v>564</v>
      </c>
      <c r="K375" s="33" t="s">
        <v>564</v>
      </c>
      <c r="L375" s="33" t="s">
        <v>564</v>
      </c>
      <c r="M375" s="33" t="s">
        <v>564</v>
      </c>
      <c r="N375" s="33" t="s">
        <v>564</v>
      </c>
      <c r="O375" s="33" t="s">
        <v>564</v>
      </c>
      <c r="P375" s="33" t="s">
        <v>564</v>
      </c>
      <c r="Q375" s="33" t="s">
        <v>564</v>
      </c>
      <c r="R375" s="33" t="s">
        <v>564</v>
      </c>
      <c r="S375" s="33" t="s">
        <v>564</v>
      </c>
      <c r="T375" s="33" t="s">
        <v>564</v>
      </c>
      <c r="U375" s="33" t="s">
        <v>564</v>
      </c>
      <c r="V375" s="33" t="s">
        <v>564</v>
      </c>
      <c r="W375" s="33" t="s">
        <v>564</v>
      </c>
      <c r="X375" s="33" t="s">
        <v>564</v>
      </c>
      <c r="Y375" s="33" t="s">
        <v>564</v>
      </c>
      <c r="Z375" s="33" t="s">
        <v>564</v>
      </c>
      <c r="AA375" s="33" t="s">
        <v>564</v>
      </c>
      <c r="AB375" s="33" t="s">
        <v>564</v>
      </c>
      <c r="AC375" s="33" t="s">
        <v>564</v>
      </c>
      <c r="AD375" s="33" t="s">
        <v>564</v>
      </c>
    </row>
    <row r="376" spans="1:30">
      <c r="A376" s="4" t="s">
        <v>648</v>
      </c>
      <c r="B376" s="49">
        <v>-80.489000000000004</v>
      </c>
      <c r="C376" s="49">
        <v>-96.756</v>
      </c>
      <c r="D376" s="49">
        <v>-27.3</v>
      </c>
      <c r="E376" s="49">
        <v>-32.323</v>
      </c>
      <c r="F376" s="49">
        <v>-15.167</v>
      </c>
      <c r="G376" s="49">
        <v>-15.09</v>
      </c>
      <c r="H376" s="49">
        <v>-15.962</v>
      </c>
      <c r="I376" s="49">
        <v>-16.097999999999999</v>
      </c>
      <c r="J376" s="49">
        <v>-15.663</v>
      </c>
      <c r="K376" s="49">
        <v>-23.986000000000001</v>
      </c>
      <c r="L376" s="49">
        <v>-5.9059999999999997</v>
      </c>
      <c r="M376" s="49">
        <v>19.643000000000001</v>
      </c>
      <c r="N376" s="49">
        <v>-28.204000000000001</v>
      </c>
      <c r="O376" s="49">
        <v>-38.151000000000003</v>
      </c>
      <c r="P376" s="49">
        <v>-6.74</v>
      </c>
      <c r="Q376" s="49">
        <v>29.396999999999998</v>
      </c>
      <c r="R376" s="49">
        <v>390.94</v>
      </c>
      <c r="S376" s="49">
        <v>-105.89100000000001</v>
      </c>
      <c r="T376" s="49">
        <v>-11.478</v>
      </c>
      <c r="U376" s="49">
        <v>36.515000000000001</v>
      </c>
      <c r="V376" s="50">
        <v>4.4670399999999999</v>
      </c>
      <c r="W376" s="50">
        <v>-7.8150300000000001</v>
      </c>
      <c r="X376" s="50">
        <v>-1.0909599999999999</v>
      </c>
      <c r="Y376" s="50">
        <v>11.503310000000001</v>
      </c>
      <c r="Z376" s="50">
        <v>18.87415</v>
      </c>
      <c r="AA376" s="50">
        <v>29.399450000000002</v>
      </c>
      <c r="AB376" s="50">
        <v>58.486040000000003</v>
      </c>
      <c r="AC376" s="50">
        <v>74.140739999999994</v>
      </c>
      <c r="AD376" s="50">
        <v>84.484819999999999</v>
      </c>
    </row>
    <row r="377" spans="1:30">
      <c r="A377" s="32" t="s">
        <v>546</v>
      </c>
      <c r="B377" s="50">
        <v>-52.794759999999997</v>
      </c>
      <c r="C377" s="50">
        <v>-46.449829999999999</v>
      </c>
      <c r="D377" s="50">
        <v>-41.51247</v>
      </c>
      <c r="E377" s="50">
        <v>-38.955329999999996</v>
      </c>
      <c r="F377" s="50">
        <v>-30.041219999999999</v>
      </c>
      <c r="G377" s="50">
        <v>-29.34141</v>
      </c>
      <c r="H377" s="50">
        <v>-20.141470000000002</v>
      </c>
      <c r="I377" s="50">
        <v>-21.064299999999999</v>
      </c>
      <c r="J377" s="50">
        <v>-14.950049999999999</v>
      </c>
      <c r="K377" s="50">
        <v>-23.660830000000001</v>
      </c>
      <c r="L377" s="50">
        <v>-21.5565</v>
      </c>
      <c r="M377" s="50">
        <v>-24.17952</v>
      </c>
      <c r="N377" s="50">
        <v>-30.987939999999998</v>
      </c>
      <c r="O377" s="50">
        <v>-42.528829999999999</v>
      </c>
      <c r="P377" s="50">
        <v>-13.753310000000001</v>
      </c>
      <c r="Q377" s="50">
        <v>0.67157999999999995</v>
      </c>
      <c r="R377" s="50">
        <v>6.2606000000000002</v>
      </c>
      <c r="S377" s="50">
        <v>-36.017620000000001</v>
      </c>
      <c r="T377" s="50">
        <v>-116.16633</v>
      </c>
      <c r="U377" s="50">
        <v>-36.465940000000003</v>
      </c>
      <c r="V377" s="33" t="s">
        <v>39</v>
      </c>
      <c r="W377" s="33" t="s">
        <v>39</v>
      </c>
      <c r="X377" s="33" t="s">
        <v>39</v>
      </c>
      <c r="Y377" s="33" t="s">
        <v>39</v>
      </c>
      <c r="Z377" s="33" t="s">
        <v>39</v>
      </c>
      <c r="AA377" s="33" t="s">
        <v>39</v>
      </c>
      <c r="AB377" s="33" t="s">
        <v>39</v>
      </c>
      <c r="AC377" s="33" t="s">
        <v>39</v>
      </c>
      <c r="AD377" s="33" t="s">
        <v>39</v>
      </c>
    </row>
    <row r="378" spans="1:30">
      <c r="A378" s="32" t="s">
        <v>547</v>
      </c>
      <c r="B378" s="50">
        <v>-52</v>
      </c>
      <c r="C378" s="50">
        <v>-46.21</v>
      </c>
      <c r="D378" s="50">
        <v>-41.43</v>
      </c>
      <c r="E378" s="50">
        <v>-39.5</v>
      </c>
      <c r="F378" s="50">
        <v>-30.664999999999999</v>
      </c>
      <c r="G378" s="50">
        <v>-29.262</v>
      </c>
      <c r="H378" s="50">
        <v>-20.6</v>
      </c>
      <c r="I378" s="50">
        <v>-21.0625</v>
      </c>
      <c r="J378" s="50">
        <v>-15.346</v>
      </c>
      <c r="K378" s="50">
        <v>-25.5</v>
      </c>
      <c r="L378" s="50">
        <v>-24</v>
      </c>
      <c r="M378" s="50">
        <v>-26.7</v>
      </c>
      <c r="N378" s="50">
        <v>-18.7</v>
      </c>
      <c r="O378" s="50">
        <v>-42.412500000000001</v>
      </c>
      <c r="P378" s="50">
        <v>-16.82827</v>
      </c>
      <c r="Q378" s="50">
        <v>-1.9039999999999999</v>
      </c>
      <c r="R378" s="50">
        <v>7</v>
      </c>
      <c r="S378" s="50">
        <v>-29.204000000000001</v>
      </c>
      <c r="T378" s="50">
        <v>-116.76776</v>
      </c>
      <c r="U378" s="50">
        <v>-35.404000000000003</v>
      </c>
      <c r="V378" s="50">
        <v>-4.3004800000000003</v>
      </c>
      <c r="W378" s="50">
        <v>-10.3287</v>
      </c>
      <c r="X378" s="50">
        <v>-2.1297799999999998</v>
      </c>
      <c r="Y378" s="50">
        <v>27.27</v>
      </c>
      <c r="Z378" s="50">
        <v>33.604999999999997</v>
      </c>
      <c r="AA378" s="50">
        <v>45.912999999999997</v>
      </c>
      <c r="AB378" s="50">
        <v>58.177</v>
      </c>
      <c r="AC378" s="50">
        <v>78.498999999999995</v>
      </c>
      <c r="AD378" s="50">
        <v>97.772000000000006</v>
      </c>
    </row>
    <row r="379" spans="1:30">
      <c r="A379" s="32" t="s">
        <v>548</v>
      </c>
      <c r="B379" s="50">
        <v>-43.2</v>
      </c>
      <c r="C379" s="50">
        <v>-20</v>
      </c>
      <c r="D379" s="50">
        <v>-33.799999999999997</v>
      </c>
      <c r="E379" s="50">
        <v>-31.32</v>
      </c>
      <c r="F379" s="50">
        <v>-25.1</v>
      </c>
      <c r="G379" s="50">
        <v>-23.6</v>
      </c>
      <c r="H379" s="50">
        <v>-6.6449999999999996</v>
      </c>
      <c r="I379" s="50">
        <v>-10.893000000000001</v>
      </c>
      <c r="J379" s="50">
        <v>-7.1470000000000002</v>
      </c>
      <c r="K379" s="50">
        <v>-7.1</v>
      </c>
      <c r="L379" s="50">
        <v>-4.1630000000000003</v>
      </c>
      <c r="M379" s="50">
        <v>-8.532</v>
      </c>
      <c r="N379" s="50">
        <v>-5.7430000000000003</v>
      </c>
      <c r="O379" s="50">
        <v>-23.98</v>
      </c>
      <c r="P379" s="50">
        <v>16.728999999999999</v>
      </c>
      <c r="Q379" s="50">
        <v>29.9</v>
      </c>
      <c r="R379" s="50">
        <v>21.578849999999999</v>
      </c>
      <c r="S379" s="50">
        <v>-7.8746499999999999</v>
      </c>
      <c r="T379" s="50">
        <v>-13.4</v>
      </c>
      <c r="U379" s="50">
        <v>-2.4369999999999998</v>
      </c>
      <c r="V379" s="50">
        <v>186.28196</v>
      </c>
      <c r="W379" s="50">
        <v>249.78386</v>
      </c>
      <c r="X379" s="50">
        <v>250.95334</v>
      </c>
      <c r="Y379" s="50">
        <v>123.49760000000001</v>
      </c>
      <c r="Z379" s="50">
        <v>90</v>
      </c>
      <c r="AA379" s="50">
        <v>88.395349999999993</v>
      </c>
      <c r="AB379" s="50">
        <v>114.90085999999999</v>
      </c>
      <c r="AC379" s="50">
        <v>137.22354000000001</v>
      </c>
      <c r="AD379" s="50">
        <v>179.95896999999999</v>
      </c>
    </row>
    <row r="380" spans="1:30">
      <c r="A380" s="32" t="s">
        <v>549</v>
      </c>
      <c r="B380" s="50">
        <v>-60</v>
      </c>
      <c r="C380" s="50">
        <v>-63.45</v>
      </c>
      <c r="D380" s="50">
        <v>-50.54</v>
      </c>
      <c r="E380" s="50">
        <v>-48.9</v>
      </c>
      <c r="F380" s="50">
        <v>-33.5</v>
      </c>
      <c r="G380" s="50">
        <v>-37</v>
      </c>
      <c r="H380" s="50">
        <v>-28.994</v>
      </c>
      <c r="I380" s="50">
        <v>-27.6</v>
      </c>
      <c r="J380" s="50">
        <v>-20.7</v>
      </c>
      <c r="K380" s="50">
        <v>-34</v>
      </c>
      <c r="L380" s="50">
        <v>-36.668999999999997</v>
      </c>
      <c r="M380" s="50">
        <v>-36.32</v>
      </c>
      <c r="N380" s="50">
        <v>-63</v>
      </c>
      <c r="O380" s="50">
        <v>-51.2</v>
      </c>
      <c r="P380" s="50">
        <v>-25.7</v>
      </c>
      <c r="Q380" s="50">
        <v>-8.6</v>
      </c>
      <c r="R380" s="50">
        <v>-10</v>
      </c>
      <c r="S380" s="50">
        <v>-152.80000000000001</v>
      </c>
      <c r="T380" s="50">
        <v>-193.8</v>
      </c>
      <c r="U380" s="50">
        <v>-97.3</v>
      </c>
      <c r="V380" s="50">
        <v>-101.2</v>
      </c>
      <c r="W380" s="50">
        <v>-133.80199999999999</v>
      </c>
      <c r="X380" s="50">
        <v>-120.154</v>
      </c>
      <c r="Y380" s="50">
        <v>-133.05600000000001</v>
      </c>
      <c r="Z380" s="50">
        <v>-127.515</v>
      </c>
      <c r="AA380" s="50">
        <v>-118.6</v>
      </c>
      <c r="AB380" s="50">
        <v>14.1</v>
      </c>
      <c r="AC380" s="50">
        <v>6.3</v>
      </c>
      <c r="AD380" s="50">
        <v>-50.7</v>
      </c>
    </row>
    <row r="381" spans="1:30">
      <c r="A381" s="32" t="s">
        <v>550</v>
      </c>
      <c r="B381" s="45">
        <v>5.3154000000000003</v>
      </c>
      <c r="C381" s="45">
        <v>11.122999999999999</v>
      </c>
      <c r="D381" s="45">
        <v>4.8990099999999996</v>
      </c>
      <c r="E381" s="45">
        <v>3.9832999999999998</v>
      </c>
      <c r="F381" s="45">
        <v>2.1776900000000001</v>
      </c>
      <c r="G381" s="45">
        <v>3.5817999999999999</v>
      </c>
      <c r="H381" s="45">
        <v>5.4377700000000004</v>
      </c>
      <c r="I381" s="45">
        <v>4.0524899999999997</v>
      </c>
      <c r="J381" s="45">
        <v>3.3698600000000001</v>
      </c>
      <c r="K381" s="45">
        <v>6.2891399999999997</v>
      </c>
      <c r="L381" s="45">
        <v>9.8135999999999992</v>
      </c>
      <c r="M381" s="45">
        <v>8.2438300000000009</v>
      </c>
      <c r="N381" s="45">
        <v>22.985410000000002</v>
      </c>
      <c r="O381" s="45">
        <v>6.6448200000000002</v>
      </c>
      <c r="P381" s="45">
        <v>10.475849999999999</v>
      </c>
      <c r="Q381" s="45">
        <v>8.3286200000000008</v>
      </c>
      <c r="R381" s="45">
        <v>7.4666800000000002</v>
      </c>
      <c r="S381" s="45">
        <v>31.414239999999999</v>
      </c>
      <c r="T381" s="45">
        <v>42.597299999999997</v>
      </c>
      <c r="U381" s="45">
        <v>24.236059999999998</v>
      </c>
      <c r="V381" s="45">
        <v>59.272669999999998</v>
      </c>
      <c r="W381" s="45">
        <v>76.028599999999997</v>
      </c>
      <c r="X381" s="45">
        <v>75.989459999999994</v>
      </c>
      <c r="Y381" s="45">
        <v>61.157620000000001</v>
      </c>
      <c r="Z381" s="45">
        <v>59.139519999999997</v>
      </c>
      <c r="AA381" s="45">
        <v>65.444159999999997</v>
      </c>
      <c r="AB381" s="45">
        <v>31.01033</v>
      </c>
      <c r="AC381" s="45">
        <v>41.872839999999997</v>
      </c>
      <c r="AD381" s="45">
        <v>68.420580000000001</v>
      </c>
    </row>
    <row r="382" spans="1:30">
      <c r="A382" s="32" t="s">
        <v>551</v>
      </c>
      <c r="B382" s="33" t="s">
        <v>649</v>
      </c>
      <c r="C382" s="33" t="s">
        <v>649</v>
      </c>
      <c r="D382" s="33" t="s">
        <v>572</v>
      </c>
      <c r="E382" s="33" t="s">
        <v>634</v>
      </c>
      <c r="F382" s="33" t="s">
        <v>636</v>
      </c>
      <c r="G382" s="33" t="s">
        <v>634</v>
      </c>
      <c r="H382" s="33" t="s">
        <v>657</v>
      </c>
      <c r="I382" s="33" t="s">
        <v>738</v>
      </c>
      <c r="J382" s="33" t="s">
        <v>639</v>
      </c>
      <c r="K382" s="33" t="s">
        <v>640</v>
      </c>
      <c r="L382" s="33" t="s">
        <v>620</v>
      </c>
      <c r="M382" s="33" t="s">
        <v>571</v>
      </c>
      <c r="N382" s="33" t="s">
        <v>732</v>
      </c>
      <c r="O382" s="33" t="s">
        <v>737</v>
      </c>
      <c r="P382" s="33" t="s">
        <v>734</v>
      </c>
      <c r="Q382" s="33" t="s">
        <v>568</v>
      </c>
      <c r="R382" s="33" t="s">
        <v>568</v>
      </c>
      <c r="S382" s="33" t="s">
        <v>634</v>
      </c>
      <c r="T382" s="33" t="s">
        <v>636</v>
      </c>
      <c r="U382" s="33" t="s">
        <v>636</v>
      </c>
      <c r="V382" s="33" t="s">
        <v>750</v>
      </c>
      <c r="W382" s="33" t="s">
        <v>634</v>
      </c>
      <c r="X382" s="33" t="s">
        <v>634</v>
      </c>
      <c r="Y382" s="33" t="s">
        <v>634</v>
      </c>
      <c r="Z382" s="33" t="s">
        <v>732</v>
      </c>
      <c r="AA382" s="33" t="s">
        <v>580</v>
      </c>
      <c r="AB382" s="33" t="s">
        <v>580</v>
      </c>
      <c r="AC382" s="33" t="s">
        <v>580</v>
      </c>
      <c r="AD382" s="33" t="s">
        <v>580</v>
      </c>
    </row>
    <row r="383" spans="1:30">
      <c r="A383" s="32" t="s">
        <v>563</v>
      </c>
      <c r="B383" s="33" t="s">
        <v>564</v>
      </c>
      <c r="C383" s="33" t="s">
        <v>564</v>
      </c>
      <c r="D383" s="33" t="s">
        <v>564</v>
      </c>
      <c r="E383" s="33" t="s">
        <v>564</v>
      </c>
      <c r="F383" s="33" t="s">
        <v>564</v>
      </c>
      <c r="G383" s="33" t="s">
        <v>564</v>
      </c>
      <c r="H383" s="33" t="s">
        <v>564</v>
      </c>
      <c r="I383" s="33" t="s">
        <v>564</v>
      </c>
      <c r="J383" s="33" t="s">
        <v>564</v>
      </c>
      <c r="K383" s="33" t="s">
        <v>564</v>
      </c>
      <c r="L383" s="33" t="s">
        <v>564</v>
      </c>
      <c r="M383" s="33" t="s">
        <v>564</v>
      </c>
      <c r="N383" s="33" t="s">
        <v>564</v>
      </c>
      <c r="O383" s="33" t="s">
        <v>564</v>
      </c>
      <c r="P383" s="33" t="s">
        <v>564</v>
      </c>
      <c r="Q383" s="33" t="s">
        <v>564</v>
      </c>
      <c r="R383" s="33" t="s">
        <v>564</v>
      </c>
      <c r="S383" s="33" t="s">
        <v>564</v>
      </c>
      <c r="T383" s="33" t="s">
        <v>564</v>
      </c>
      <c r="U383" s="33" t="s">
        <v>564</v>
      </c>
      <c r="V383" s="33" t="s">
        <v>564</v>
      </c>
      <c r="W383" s="33" t="s">
        <v>564</v>
      </c>
      <c r="X383" s="33" t="s">
        <v>564</v>
      </c>
      <c r="Y383" s="33" t="s">
        <v>564</v>
      </c>
      <c r="Z383" s="33" t="s">
        <v>564</v>
      </c>
      <c r="AA383" s="33" t="s">
        <v>564</v>
      </c>
      <c r="AB383" s="33" t="s">
        <v>564</v>
      </c>
      <c r="AC383" s="33" t="s">
        <v>564</v>
      </c>
      <c r="AD383" s="33" t="s">
        <v>564</v>
      </c>
    </row>
    <row r="384" spans="1:30">
      <c r="A384" s="4" t="s">
        <v>410</v>
      </c>
      <c r="B384" s="33" t="s">
        <v>39</v>
      </c>
      <c r="C384" s="33" t="s">
        <v>39</v>
      </c>
      <c r="D384" s="33" t="s">
        <v>39</v>
      </c>
      <c r="E384" s="49">
        <v>-514.327</v>
      </c>
      <c r="F384" s="33" t="s">
        <v>39</v>
      </c>
      <c r="G384" s="49">
        <v>-545.51099999999997</v>
      </c>
      <c r="H384" s="49">
        <v>-570.31600000000003</v>
      </c>
      <c r="I384" s="49">
        <v>-514.13400000000001</v>
      </c>
      <c r="J384" s="49">
        <v>-335.25200000000001</v>
      </c>
      <c r="K384" s="49">
        <v>-575.66899999999998</v>
      </c>
      <c r="L384" s="49">
        <v>-577.62599999999998</v>
      </c>
      <c r="M384" s="33" t="s">
        <v>39</v>
      </c>
      <c r="N384" s="33" t="s">
        <v>39</v>
      </c>
      <c r="O384" s="49">
        <v>387.62599999999998</v>
      </c>
      <c r="P384" s="33" t="s">
        <v>39</v>
      </c>
      <c r="Q384" s="49">
        <v>-268.22399999999999</v>
      </c>
      <c r="R384" s="49">
        <v>-600.74199999999996</v>
      </c>
      <c r="S384" s="49">
        <v>-723.30899999999997</v>
      </c>
      <c r="T384" s="49">
        <v>-194.334</v>
      </c>
      <c r="U384" s="49">
        <v>-649.13499999999999</v>
      </c>
      <c r="V384" s="50">
        <v>-1068.5741499999999</v>
      </c>
      <c r="W384" s="50">
        <v>-1140.5385000000001</v>
      </c>
      <c r="X384" s="50">
        <v>-1238.06927</v>
      </c>
      <c r="Y384" s="50">
        <v>-1379.53638</v>
      </c>
      <c r="Z384" s="50">
        <v>-1546.9292399999999</v>
      </c>
      <c r="AA384" s="50">
        <v>-1670.86754</v>
      </c>
      <c r="AB384" s="50">
        <v>-1846.04865</v>
      </c>
      <c r="AC384" s="50">
        <v>-2097.8760600000001</v>
      </c>
      <c r="AD384" s="50">
        <v>-2370.16102</v>
      </c>
    </row>
    <row r="385" spans="1:30">
      <c r="A385" s="32" t="s">
        <v>546</v>
      </c>
      <c r="B385" s="33" t="s">
        <v>39</v>
      </c>
      <c r="C385" s="33" t="s">
        <v>39</v>
      </c>
      <c r="D385" s="33" t="s">
        <v>39</v>
      </c>
      <c r="E385" s="50">
        <v>-367</v>
      </c>
      <c r="F385" s="33" t="s">
        <v>39</v>
      </c>
      <c r="G385" s="50">
        <v>-370.6</v>
      </c>
      <c r="H385" s="50">
        <v>-358.8</v>
      </c>
      <c r="I385" s="50">
        <v>-397.7</v>
      </c>
      <c r="J385" s="50">
        <v>-87</v>
      </c>
      <c r="K385" s="50">
        <v>-339.8</v>
      </c>
      <c r="L385" s="50">
        <v>-514.95000000000005</v>
      </c>
      <c r="M385" s="33" t="s">
        <v>39</v>
      </c>
      <c r="N385" s="33" t="s">
        <v>39</v>
      </c>
      <c r="O385" s="50">
        <v>319.892</v>
      </c>
      <c r="P385" s="33" t="s">
        <v>39</v>
      </c>
      <c r="Q385" s="50">
        <v>-361.69788</v>
      </c>
      <c r="R385" s="50">
        <v>-463.59681</v>
      </c>
      <c r="S385" s="50">
        <v>-644.51432999999997</v>
      </c>
      <c r="T385" s="50">
        <v>-637.90318000000002</v>
      </c>
      <c r="U385" s="50">
        <v>-959.49674000000005</v>
      </c>
      <c r="V385" s="33" t="s">
        <v>39</v>
      </c>
      <c r="W385" s="33" t="s">
        <v>39</v>
      </c>
      <c r="X385" s="33" t="s">
        <v>39</v>
      </c>
      <c r="Y385" s="33" t="s">
        <v>39</v>
      </c>
      <c r="Z385" s="33" t="s">
        <v>39</v>
      </c>
      <c r="AA385" s="33" t="s">
        <v>39</v>
      </c>
      <c r="AB385" s="33" t="s">
        <v>39</v>
      </c>
      <c r="AC385" s="33" t="s">
        <v>39</v>
      </c>
      <c r="AD385" s="33" t="s">
        <v>39</v>
      </c>
    </row>
    <row r="386" spans="1:30">
      <c r="A386" s="32" t="s">
        <v>547</v>
      </c>
      <c r="B386" s="33" t="s">
        <v>39</v>
      </c>
      <c r="C386" s="33" t="s">
        <v>39</v>
      </c>
      <c r="D386" s="33" t="s">
        <v>39</v>
      </c>
      <c r="E386" s="50">
        <v>-367</v>
      </c>
      <c r="F386" s="33" t="s">
        <v>39</v>
      </c>
      <c r="G386" s="50">
        <v>-370.6</v>
      </c>
      <c r="H386" s="50">
        <v>-358.8</v>
      </c>
      <c r="I386" s="50">
        <v>-397.7</v>
      </c>
      <c r="J386" s="50">
        <v>-87</v>
      </c>
      <c r="K386" s="50">
        <v>-339.8</v>
      </c>
      <c r="L386" s="50">
        <v>-514.95000000000005</v>
      </c>
      <c r="M386" s="33" t="s">
        <v>39</v>
      </c>
      <c r="N386" s="33" t="s">
        <v>39</v>
      </c>
      <c r="O386" s="50">
        <v>319.892</v>
      </c>
      <c r="P386" s="33" t="s">
        <v>39</v>
      </c>
      <c r="Q386" s="50">
        <v>-361.69788</v>
      </c>
      <c r="R386" s="50">
        <v>-463.59681</v>
      </c>
      <c r="S386" s="50">
        <v>-644.51432999999997</v>
      </c>
      <c r="T386" s="50">
        <v>-637.90318000000002</v>
      </c>
      <c r="U386" s="50">
        <v>-959.49674000000005</v>
      </c>
      <c r="V386" s="50">
        <v>-1068.5741499999999</v>
      </c>
      <c r="W386" s="50">
        <v>-1140.5385000000001</v>
      </c>
      <c r="X386" s="50">
        <v>-1238.06927</v>
      </c>
      <c r="Y386" s="50">
        <v>-1379.53638</v>
      </c>
      <c r="Z386" s="50">
        <v>-1546.9292399999999</v>
      </c>
      <c r="AA386" s="50">
        <v>-1670.86754</v>
      </c>
      <c r="AB386" s="50">
        <v>-1846.04865</v>
      </c>
      <c r="AC386" s="50">
        <v>-2097.8760600000001</v>
      </c>
      <c r="AD386" s="50">
        <v>-2370.16102</v>
      </c>
    </row>
    <row r="387" spans="1:30">
      <c r="A387" s="32" t="s">
        <v>548</v>
      </c>
      <c r="B387" s="33" t="s">
        <v>39</v>
      </c>
      <c r="C387" s="33" t="s">
        <v>39</v>
      </c>
      <c r="D387" s="33" t="s">
        <v>39</v>
      </c>
      <c r="E387" s="50">
        <v>-367</v>
      </c>
      <c r="F387" s="33" t="s">
        <v>39</v>
      </c>
      <c r="G387" s="50">
        <v>-370.6</v>
      </c>
      <c r="H387" s="50">
        <v>-358.8</v>
      </c>
      <c r="I387" s="50">
        <v>-397.7</v>
      </c>
      <c r="J387" s="50">
        <v>-87</v>
      </c>
      <c r="K387" s="50">
        <v>-339.8</v>
      </c>
      <c r="L387" s="50">
        <v>-336.2</v>
      </c>
      <c r="M387" s="33" t="s">
        <v>39</v>
      </c>
      <c r="N387" s="33" t="s">
        <v>39</v>
      </c>
      <c r="O387" s="50">
        <v>319.892</v>
      </c>
      <c r="P387" s="33" t="s">
        <v>39</v>
      </c>
      <c r="Q387" s="50">
        <v>-361.69788</v>
      </c>
      <c r="R387" s="50">
        <v>-463.59681</v>
      </c>
      <c r="S387" s="50">
        <v>-644.51432999999997</v>
      </c>
      <c r="T387" s="50">
        <v>-637.90318000000002</v>
      </c>
      <c r="U387" s="50">
        <v>-959.49674000000005</v>
      </c>
      <c r="V387" s="50">
        <v>-1068.5741499999999</v>
      </c>
      <c r="W387" s="50">
        <v>-1140.5385000000001</v>
      </c>
      <c r="X387" s="50">
        <v>-1238.06927</v>
      </c>
      <c r="Y387" s="50">
        <v>-1379.53638</v>
      </c>
      <c r="Z387" s="50">
        <v>-1546.9292399999999</v>
      </c>
      <c r="AA387" s="50">
        <v>-1670.86754</v>
      </c>
      <c r="AB387" s="50">
        <v>-1846.04865</v>
      </c>
      <c r="AC387" s="50">
        <v>-2097.8760600000001</v>
      </c>
      <c r="AD387" s="50">
        <v>-2370.16102</v>
      </c>
    </row>
    <row r="388" spans="1:30">
      <c r="A388" s="32" t="s">
        <v>549</v>
      </c>
      <c r="B388" s="33" t="s">
        <v>39</v>
      </c>
      <c r="C388" s="33" t="s">
        <v>39</v>
      </c>
      <c r="D388" s="33" t="s">
        <v>39</v>
      </c>
      <c r="E388" s="50">
        <v>-367</v>
      </c>
      <c r="F388" s="33" t="s">
        <v>39</v>
      </c>
      <c r="G388" s="50">
        <v>-370.6</v>
      </c>
      <c r="H388" s="50">
        <v>-358.8</v>
      </c>
      <c r="I388" s="50">
        <v>-397.7</v>
      </c>
      <c r="J388" s="50">
        <v>-87</v>
      </c>
      <c r="K388" s="50">
        <v>-339.8</v>
      </c>
      <c r="L388" s="50">
        <v>-693.7</v>
      </c>
      <c r="M388" s="33" t="s">
        <v>39</v>
      </c>
      <c r="N388" s="33" t="s">
        <v>39</v>
      </c>
      <c r="O388" s="50">
        <v>319.892</v>
      </c>
      <c r="P388" s="33" t="s">
        <v>39</v>
      </c>
      <c r="Q388" s="50">
        <v>-361.69788</v>
      </c>
      <c r="R388" s="50">
        <v>-463.59681</v>
      </c>
      <c r="S388" s="50">
        <v>-644.51432999999997</v>
      </c>
      <c r="T388" s="50">
        <v>-637.90318000000002</v>
      </c>
      <c r="U388" s="50">
        <v>-959.49674000000005</v>
      </c>
      <c r="V388" s="50">
        <v>-1068.5741499999999</v>
      </c>
      <c r="W388" s="50">
        <v>-1140.5385000000001</v>
      </c>
      <c r="X388" s="50">
        <v>-1238.06927</v>
      </c>
      <c r="Y388" s="50">
        <v>-1379.53638</v>
      </c>
      <c r="Z388" s="50">
        <v>-1546.9292399999999</v>
      </c>
      <c r="AA388" s="50">
        <v>-1670.86754</v>
      </c>
      <c r="AB388" s="50">
        <v>-1846.04865</v>
      </c>
      <c r="AC388" s="50">
        <v>-2097.8760600000001</v>
      </c>
      <c r="AD388" s="50">
        <v>-2370.16102</v>
      </c>
    </row>
    <row r="389" spans="1:30">
      <c r="A389" s="32" t="s">
        <v>550</v>
      </c>
      <c r="B389" s="33" t="s">
        <v>39</v>
      </c>
      <c r="C389" s="33" t="s">
        <v>39</v>
      </c>
      <c r="D389" s="33" t="s">
        <v>39</v>
      </c>
      <c r="E389" s="45">
        <v>0</v>
      </c>
      <c r="F389" s="33" t="s">
        <v>39</v>
      </c>
      <c r="G389" s="45">
        <v>0</v>
      </c>
      <c r="H389" s="45">
        <v>0</v>
      </c>
      <c r="I389" s="45">
        <v>0</v>
      </c>
      <c r="J389" s="45">
        <v>0</v>
      </c>
      <c r="K389" s="45">
        <v>0</v>
      </c>
      <c r="L389" s="45">
        <v>178.75</v>
      </c>
      <c r="M389" s="33" t="s">
        <v>39</v>
      </c>
      <c r="N389" s="33" t="s">
        <v>39</v>
      </c>
      <c r="O389" s="45">
        <v>0</v>
      </c>
      <c r="P389" s="33" t="s">
        <v>39</v>
      </c>
      <c r="Q389" s="45">
        <v>0</v>
      </c>
      <c r="R389" s="45">
        <v>0</v>
      </c>
      <c r="S389" s="45">
        <v>0</v>
      </c>
      <c r="T389" s="45">
        <v>0</v>
      </c>
      <c r="U389" s="45">
        <v>0</v>
      </c>
      <c r="V389" s="45">
        <v>0</v>
      </c>
      <c r="W389" s="45">
        <v>0</v>
      </c>
      <c r="X389" s="45">
        <v>0</v>
      </c>
      <c r="Y389" s="45">
        <v>0</v>
      </c>
      <c r="Z389" s="45">
        <v>0</v>
      </c>
      <c r="AA389" s="45">
        <v>0</v>
      </c>
      <c r="AB389" s="45">
        <v>0</v>
      </c>
      <c r="AC389" s="45">
        <v>0</v>
      </c>
      <c r="AD389" s="45">
        <v>0</v>
      </c>
    </row>
    <row r="390" spans="1:30">
      <c r="A390" s="32" t="s">
        <v>551</v>
      </c>
      <c r="B390" s="33" t="s">
        <v>39</v>
      </c>
      <c r="C390" s="33" t="s">
        <v>39</v>
      </c>
      <c r="D390" s="33" t="s">
        <v>39</v>
      </c>
      <c r="E390" s="33" t="s">
        <v>575</v>
      </c>
      <c r="F390" s="33" t="s">
        <v>39</v>
      </c>
      <c r="G390" s="33" t="s">
        <v>575</v>
      </c>
      <c r="H390" s="33" t="s">
        <v>575</v>
      </c>
      <c r="I390" s="33" t="s">
        <v>575</v>
      </c>
      <c r="J390" s="33" t="s">
        <v>575</v>
      </c>
      <c r="K390" s="33" t="s">
        <v>575</v>
      </c>
      <c r="L390" s="33" t="s">
        <v>587</v>
      </c>
      <c r="M390" s="33" t="s">
        <v>39</v>
      </c>
      <c r="N390" s="33" t="s">
        <v>39</v>
      </c>
      <c r="O390" s="33" t="s">
        <v>575</v>
      </c>
      <c r="P390" s="33" t="s">
        <v>39</v>
      </c>
      <c r="Q390" s="33" t="s">
        <v>575</v>
      </c>
      <c r="R390" s="33" t="s">
        <v>573</v>
      </c>
      <c r="S390" s="33" t="s">
        <v>573</v>
      </c>
      <c r="T390" s="33" t="s">
        <v>573</v>
      </c>
      <c r="U390" s="33" t="s">
        <v>575</v>
      </c>
      <c r="V390" s="33" t="s">
        <v>575</v>
      </c>
      <c r="W390" s="33" t="s">
        <v>575</v>
      </c>
      <c r="X390" s="33" t="s">
        <v>575</v>
      </c>
      <c r="Y390" s="33" t="s">
        <v>575</v>
      </c>
      <c r="Z390" s="33" t="s">
        <v>575</v>
      </c>
      <c r="AA390" s="33" t="s">
        <v>575</v>
      </c>
      <c r="AB390" s="33" t="s">
        <v>575</v>
      </c>
      <c r="AC390" s="33" t="s">
        <v>575</v>
      </c>
      <c r="AD390" s="33" t="s">
        <v>575</v>
      </c>
    </row>
    <row r="391" spans="1:30">
      <c r="A391" s="32" t="s">
        <v>563</v>
      </c>
      <c r="B391" s="33" t="s">
        <v>39</v>
      </c>
      <c r="C391" s="33" t="s">
        <v>39</v>
      </c>
      <c r="D391" s="33" t="s">
        <v>39</v>
      </c>
      <c r="E391" s="33" t="s">
        <v>564</v>
      </c>
      <c r="F391" s="33" t="s">
        <v>39</v>
      </c>
      <c r="G391" s="33" t="s">
        <v>564</v>
      </c>
      <c r="H391" s="33" t="s">
        <v>564</v>
      </c>
      <c r="I391" s="33" t="s">
        <v>564</v>
      </c>
      <c r="J391" s="33" t="s">
        <v>564</v>
      </c>
      <c r="K391" s="33" t="s">
        <v>564</v>
      </c>
      <c r="L391" s="33" t="s">
        <v>564</v>
      </c>
      <c r="M391" s="33" t="s">
        <v>39</v>
      </c>
      <c r="N391" s="33" t="s">
        <v>39</v>
      </c>
      <c r="O391" s="33" t="s">
        <v>564</v>
      </c>
      <c r="P391" s="33" t="s">
        <v>39</v>
      </c>
      <c r="Q391" s="33" t="s">
        <v>564</v>
      </c>
      <c r="R391" s="33" t="s">
        <v>564</v>
      </c>
      <c r="S391" s="33" t="s">
        <v>564</v>
      </c>
      <c r="T391" s="33" t="s">
        <v>564</v>
      </c>
      <c r="U391" s="33" t="s">
        <v>564</v>
      </c>
      <c r="V391" s="33" t="s">
        <v>564</v>
      </c>
      <c r="W391" s="33" t="s">
        <v>564</v>
      </c>
      <c r="X391" s="33" t="s">
        <v>564</v>
      </c>
      <c r="Y391" s="33" t="s">
        <v>564</v>
      </c>
      <c r="Z391" s="33" t="s">
        <v>564</v>
      </c>
      <c r="AA391" s="33" t="s">
        <v>564</v>
      </c>
      <c r="AB391" s="33" t="s">
        <v>564</v>
      </c>
      <c r="AC391" s="33" t="s">
        <v>564</v>
      </c>
      <c r="AD391" s="33" t="s">
        <v>564</v>
      </c>
    </row>
    <row r="392" spans="1:30">
      <c r="A392" s="4" t="s">
        <v>656</v>
      </c>
      <c r="B392" s="49">
        <v>9.1</v>
      </c>
      <c r="C392" s="49">
        <v>9.1180000000000003</v>
      </c>
      <c r="D392" s="49">
        <v>9.0180000000000007</v>
      </c>
      <c r="E392" s="49">
        <v>9.6809999999999992</v>
      </c>
      <c r="F392" s="49">
        <v>9.9280000000000008</v>
      </c>
      <c r="G392" s="49">
        <v>9.4369999999999994</v>
      </c>
      <c r="H392" s="49">
        <v>9.125</v>
      </c>
      <c r="I392" s="49">
        <v>9.0850000000000009</v>
      </c>
      <c r="J392" s="49">
        <v>9.6319999999999997</v>
      </c>
      <c r="K392" s="49">
        <v>10.16</v>
      </c>
      <c r="L392" s="49">
        <v>12.327999999999999</v>
      </c>
      <c r="M392" s="49">
        <v>15.835000000000001</v>
      </c>
      <c r="N392" s="49">
        <v>22.638000000000002</v>
      </c>
      <c r="O392" s="49">
        <v>18.971</v>
      </c>
      <c r="P392" s="49">
        <v>18.783000000000001</v>
      </c>
      <c r="Q392" s="49">
        <v>19.125</v>
      </c>
      <c r="R392" s="49">
        <v>18.719000000000001</v>
      </c>
      <c r="S392" s="49">
        <v>20.061</v>
      </c>
      <c r="T392" s="49">
        <v>21.056000000000001</v>
      </c>
      <c r="U392" s="49">
        <v>20.623999999999999</v>
      </c>
      <c r="V392" s="50">
        <v>21.844619999999999</v>
      </c>
      <c r="W392" s="50">
        <v>21.308440000000001</v>
      </c>
      <c r="X392" s="50">
        <v>22.256219999999999</v>
      </c>
      <c r="Y392" s="50">
        <v>23.008220000000001</v>
      </c>
      <c r="Z392" s="50">
        <v>23.558779999999999</v>
      </c>
      <c r="AA392" s="50">
        <v>23.512250000000002</v>
      </c>
      <c r="AB392" s="50">
        <v>25.012250000000002</v>
      </c>
      <c r="AC392" s="50">
        <v>25.062249999999999</v>
      </c>
      <c r="AD392" s="50">
        <v>25.062249999999999</v>
      </c>
    </row>
    <row r="393" spans="1:30">
      <c r="A393" s="32" t="s">
        <v>546</v>
      </c>
      <c r="B393" s="50">
        <v>7.5385</v>
      </c>
      <c r="C393" s="50">
        <v>9.6067499999999999</v>
      </c>
      <c r="D393" s="50">
        <v>9.1617999999999995</v>
      </c>
      <c r="E393" s="50">
        <v>9.3998500000000007</v>
      </c>
      <c r="F393" s="50">
        <v>9.9978700000000007</v>
      </c>
      <c r="G393" s="50">
        <v>9.9251400000000007</v>
      </c>
      <c r="H393" s="50">
        <v>10.351559999999999</v>
      </c>
      <c r="I393" s="50">
        <v>10.12067</v>
      </c>
      <c r="J393" s="50">
        <v>9.7055000000000007</v>
      </c>
      <c r="K393" s="50">
        <v>9.93581</v>
      </c>
      <c r="L393" s="50">
        <v>13.248419999999999</v>
      </c>
      <c r="M393" s="50">
        <v>13.468</v>
      </c>
      <c r="N393" s="50">
        <v>16.39545</v>
      </c>
      <c r="O393" s="50">
        <v>18.551819999999999</v>
      </c>
      <c r="P393" s="50">
        <v>18.266670000000001</v>
      </c>
      <c r="Q393" s="50">
        <v>19.671669999999999</v>
      </c>
      <c r="R393" s="50">
        <v>20.90091</v>
      </c>
      <c r="S393" s="50">
        <v>20.074459999999998</v>
      </c>
      <c r="T393" s="50">
        <v>19.791270000000001</v>
      </c>
      <c r="U393" s="50">
        <v>21.98892</v>
      </c>
      <c r="V393" s="33" t="s">
        <v>39</v>
      </c>
      <c r="W393" s="33" t="s">
        <v>39</v>
      </c>
      <c r="X393" s="33" t="s">
        <v>39</v>
      </c>
      <c r="Y393" s="33" t="s">
        <v>39</v>
      </c>
      <c r="Z393" s="33" t="s">
        <v>39</v>
      </c>
      <c r="AA393" s="33" t="s">
        <v>39</v>
      </c>
      <c r="AB393" s="33" t="s">
        <v>39</v>
      </c>
      <c r="AC393" s="33" t="s">
        <v>39</v>
      </c>
      <c r="AD393" s="33" t="s">
        <v>39</v>
      </c>
    </row>
    <row r="394" spans="1:30">
      <c r="A394" s="32" t="s">
        <v>547</v>
      </c>
      <c r="B394" s="50">
        <v>7.3650000000000002</v>
      </c>
      <c r="C394" s="50">
        <v>9.2799999999999994</v>
      </c>
      <c r="D394" s="50">
        <v>9</v>
      </c>
      <c r="E394" s="50">
        <v>9.1999999999999993</v>
      </c>
      <c r="F394" s="50">
        <v>10</v>
      </c>
      <c r="G394" s="50">
        <v>10</v>
      </c>
      <c r="H394" s="50">
        <v>10.35</v>
      </c>
      <c r="I394" s="50">
        <v>10</v>
      </c>
      <c r="J394" s="50">
        <v>9.75</v>
      </c>
      <c r="K394" s="50">
        <v>10</v>
      </c>
      <c r="L394" s="50">
        <v>11.570499999999999</v>
      </c>
      <c r="M394" s="50">
        <v>13.15</v>
      </c>
      <c r="N394" s="50">
        <v>16</v>
      </c>
      <c r="O394" s="50">
        <v>18</v>
      </c>
      <c r="P394" s="50">
        <v>19</v>
      </c>
      <c r="Q394" s="50">
        <v>19</v>
      </c>
      <c r="R394" s="50">
        <v>19.600000000000001</v>
      </c>
      <c r="S394" s="50">
        <v>20</v>
      </c>
      <c r="T394" s="50">
        <v>20</v>
      </c>
      <c r="U394" s="50">
        <v>21.056000000000001</v>
      </c>
      <c r="V394" s="50">
        <v>21</v>
      </c>
      <c r="W394" s="50">
        <v>21</v>
      </c>
      <c r="X394" s="50">
        <v>21.266999999999999</v>
      </c>
      <c r="Y394" s="50">
        <v>23</v>
      </c>
      <c r="Z394" s="50">
        <v>24.36</v>
      </c>
      <c r="AA394" s="50">
        <v>21.312000000000001</v>
      </c>
      <c r="AB394" s="50">
        <v>21.312000000000001</v>
      </c>
      <c r="AC394" s="50">
        <v>21.812000000000001</v>
      </c>
      <c r="AD394" s="50">
        <v>21.812000000000001</v>
      </c>
    </row>
    <row r="395" spans="1:30">
      <c r="A395" s="32" t="s">
        <v>548</v>
      </c>
      <c r="B395" s="50">
        <v>8.5009999999999994</v>
      </c>
      <c r="C395" s="50">
        <v>15.3</v>
      </c>
      <c r="D395" s="50">
        <v>10</v>
      </c>
      <c r="E395" s="50">
        <v>11</v>
      </c>
      <c r="F395" s="50">
        <v>12</v>
      </c>
      <c r="G395" s="50">
        <v>11</v>
      </c>
      <c r="H395" s="50">
        <v>11.71</v>
      </c>
      <c r="I395" s="50">
        <v>12.42</v>
      </c>
      <c r="J395" s="50">
        <v>13.1</v>
      </c>
      <c r="K395" s="50">
        <v>12.662000000000001</v>
      </c>
      <c r="L395" s="50">
        <v>28</v>
      </c>
      <c r="M395" s="50">
        <v>18.8</v>
      </c>
      <c r="N395" s="50">
        <v>22</v>
      </c>
      <c r="O395" s="50">
        <v>23.6</v>
      </c>
      <c r="P395" s="50">
        <v>22.7</v>
      </c>
      <c r="Q395" s="50">
        <v>23</v>
      </c>
      <c r="R395" s="50">
        <v>32.799999999999997</v>
      </c>
      <c r="S395" s="50">
        <v>25.611000000000001</v>
      </c>
      <c r="T395" s="50">
        <v>28.175000000000001</v>
      </c>
      <c r="U395" s="50">
        <v>29.1</v>
      </c>
      <c r="V395" s="50">
        <v>34.5</v>
      </c>
      <c r="W395" s="50">
        <v>23.1</v>
      </c>
      <c r="X395" s="50">
        <v>29.5</v>
      </c>
      <c r="Y395" s="50">
        <v>28.9</v>
      </c>
      <c r="Z395" s="50">
        <v>28.9</v>
      </c>
      <c r="AA395" s="50">
        <v>32.299999999999997</v>
      </c>
      <c r="AB395" s="50">
        <v>38.299999999999997</v>
      </c>
      <c r="AC395" s="50">
        <v>37.5</v>
      </c>
      <c r="AD395" s="50">
        <v>37.5</v>
      </c>
    </row>
    <row r="396" spans="1:30">
      <c r="A396" s="32" t="s">
        <v>549</v>
      </c>
      <c r="B396" s="50">
        <v>7</v>
      </c>
      <c r="C396" s="50">
        <v>7</v>
      </c>
      <c r="D396" s="50">
        <v>8.5</v>
      </c>
      <c r="E396" s="50">
        <v>9</v>
      </c>
      <c r="F396" s="50">
        <v>9</v>
      </c>
      <c r="G396" s="50">
        <v>9</v>
      </c>
      <c r="H396" s="50">
        <v>9</v>
      </c>
      <c r="I396" s="50">
        <v>7.4</v>
      </c>
      <c r="J396" s="50">
        <v>7.4</v>
      </c>
      <c r="K396" s="50">
        <v>8.1999999999999993</v>
      </c>
      <c r="L396" s="50">
        <v>10</v>
      </c>
      <c r="M396" s="50">
        <v>10</v>
      </c>
      <c r="N396" s="50">
        <v>10.5</v>
      </c>
      <c r="O396" s="50">
        <v>12.7</v>
      </c>
      <c r="P396" s="50">
        <v>10</v>
      </c>
      <c r="Q396" s="50">
        <v>18</v>
      </c>
      <c r="R396" s="50">
        <v>16</v>
      </c>
      <c r="S396" s="50">
        <v>15.4</v>
      </c>
      <c r="T396" s="50">
        <v>15.6</v>
      </c>
      <c r="U396" s="50">
        <v>18.8</v>
      </c>
      <c r="V396" s="50">
        <v>19</v>
      </c>
      <c r="W396" s="50">
        <v>19.125</v>
      </c>
      <c r="X396" s="50">
        <v>19.125</v>
      </c>
      <c r="Y396" s="50">
        <v>19.125</v>
      </c>
      <c r="Z396" s="50">
        <v>19.125</v>
      </c>
      <c r="AA396" s="50">
        <v>19.125</v>
      </c>
      <c r="AB396" s="50">
        <v>19.125</v>
      </c>
      <c r="AC396" s="50">
        <v>19.125</v>
      </c>
      <c r="AD396" s="50">
        <v>19.125</v>
      </c>
    </row>
    <row r="397" spans="1:30">
      <c r="A397" s="32" t="s">
        <v>550</v>
      </c>
      <c r="B397" s="45">
        <v>0.55015000000000003</v>
      </c>
      <c r="C397" s="45">
        <v>2.3709500000000001</v>
      </c>
      <c r="D397" s="45">
        <v>0.46067000000000002</v>
      </c>
      <c r="E397" s="45">
        <v>0.56708000000000003</v>
      </c>
      <c r="F397" s="45">
        <v>0.72896000000000005</v>
      </c>
      <c r="G397" s="45">
        <v>0.40251999999999999</v>
      </c>
      <c r="H397" s="45">
        <v>0.88171999999999995</v>
      </c>
      <c r="I397" s="45">
        <v>1.27921</v>
      </c>
      <c r="J397" s="45">
        <v>1.2680800000000001</v>
      </c>
      <c r="K397" s="45">
        <v>1.0242599999999999</v>
      </c>
      <c r="L397" s="45">
        <v>4.8973500000000003</v>
      </c>
      <c r="M397" s="45">
        <v>2.6837399999999998</v>
      </c>
      <c r="N397" s="45">
        <v>3.1215099999999998</v>
      </c>
      <c r="O397" s="45">
        <v>3.5089199999999998</v>
      </c>
      <c r="P397" s="45">
        <v>3.2912300000000001</v>
      </c>
      <c r="Q397" s="45">
        <v>1.4785699999999999</v>
      </c>
      <c r="R397" s="45">
        <v>4.1118699999999997</v>
      </c>
      <c r="S397" s="45">
        <v>2.2857500000000002</v>
      </c>
      <c r="T397" s="45">
        <v>2.97261</v>
      </c>
      <c r="U397" s="45">
        <v>2.9823300000000001</v>
      </c>
      <c r="V397" s="45">
        <v>3.7657600000000002</v>
      </c>
      <c r="W397" s="45">
        <v>1.26213</v>
      </c>
      <c r="X397" s="45">
        <v>2.8025699999999998</v>
      </c>
      <c r="Y397" s="45">
        <v>2.6259000000000001</v>
      </c>
      <c r="Z397" s="45">
        <v>2.8204600000000002</v>
      </c>
      <c r="AA397" s="45">
        <v>5.1744899999999996</v>
      </c>
      <c r="AB397" s="45">
        <v>7.7387699999999997</v>
      </c>
      <c r="AC397" s="45">
        <v>7.3126499999999997</v>
      </c>
      <c r="AD397" s="45">
        <v>7.3126499999999997</v>
      </c>
    </row>
    <row r="398" spans="1:30">
      <c r="A398" s="32" t="s">
        <v>551</v>
      </c>
      <c r="B398" s="33" t="s">
        <v>579</v>
      </c>
      <c r="C398" s="33" t="s">
        <v>582</v>
      </c>
      <c r="D398" s="33" t="s">
        <v>633</v>
      </c>
      <c r="E398" s="33" t="s">
        <v>663</v>
      </c>
      <c r="F398" s="33" t="s">
        <v>658</v>
      </c>
      <c r="G398" s="33" t="s">
        <v>569</v>
      </c>
      <c r="H398" s="33" t="s">
        <v>770</v>
      </c>
      <c r="I398" s="33" t="s">
        <v>734</v>
      </c>
      <c r="J398" s="33" t="s">
        <v>737</v>
      </c>
      <c r="K398" s="33" t="s">
        <v>770</v>
      </c>
      <c r="L398" s="33" t="s">
        <v>774</v>
      </c>
      <c r="M398" s="33" t="s">
        <v>680</v>
      </c>
      <c r="N398" s="33" t="s">
        <v>775</v>
      </c>
      <c r="O398" s="33" t="s">
        <v>775</v>
      </c>
      <c r="P398" s="33" t="s">
        <v>610</v>
      </c>
      <c r="Q398" s="33" t="s">
        <v>593</v>
      </c>
      <c r="R398" s="33" t="s">
        <v>667</v>
      </c>
      <c r="S398" s="33" t="s">
        <v>619</v>
      </c>
      <c r="T398" s="33" t="s">
        <v>752</v>
      </c>
      <c r="U398" s="33" t="s">
        <v>619</v>
      </c>
      <c r="V398" s="33" t="s">
        <v>767</v>
      </c>
      <c r="W398" s="33" t="s">
        <v>665</v>
      </c>
      <c r="X398" s="33" t="s">
        <v>665</v>
      </c>
      <c r="Y398" s="33" t="s">
        <v>665</v>
      </c>
      <c r="Z398" s="33" t="s">
        <v>665</v>
      </c>
      <c r="AA398" s="33" t="s">
        <v>578</v>
      </c>
      <c r="AB398" s="33" t="s">
        <v>578</v>
      </c>
      <c r="AC398" s="33" t="s">
        <v>578</v>
      </c>
      <c r="AD398" s="33" t="s">
        <v>578</v>
      </c>
    </row>
    <row r="399" spans="1:30">
      <c r="A399" s="32" t="s">
        <v>563</v>
      </c>
      <c r="B399" s="33" t="s">
        <v>564</v>
      </c>
      <c r="C399" s="33" t="s">
        <v>564</v>
      </c>
      <c r="D399" s="33" t="s">
        <v>564</v>
      </c>
      <c r="E399" s="33" t="s">
        <v>564</v>
      </c>
      <c r="F399" s="33" t="s">
        <v>564</v>
      </c>
      <c r="G399" s="33" t="s">
        <v>564</v>
      </c>
      <c r="H399" s="33" t="s">
        <v>564</v>
      </c>
      <c r="I399" s="33" t="s">
        <v>564</v>
      </c>
      <c r="J399" s="33" t="s">
        <v>564</v>
      </c>
      <c r="K399" s="33" t="s">
        <v>564</v>
      </c>
      <c r="L399" s="33" t="s">
        <v>564</v>
      </c>
      <c r="M399" s="33" t="s">
        <v>564</v>
      </c>
      <c r="N399" s="33" t="s">
        <v>564</v>
      </c>
      <c r="O399" s="33" t="s">
        <v>564</v>
      </c>
      <c r="P399" s="33" t="s">
        <v>564</v>
      </c>
      <c r="Q399" s="33" t="s">
        <v>564</v>
      </c>
      <c r="R399" s="33" t="s">
        <v>564</v>
      </c>
      <c r="S399" s="33" t="s">
        <v>564</v>
      </c>
      <c r="T399" s="33" t="s">
        <v>564</v>
      </c>
      <c r="U399" s="33" t="s">
        <v>564</v>
      </c>
      <c r="V399" s="33" t="s">
        <v>564</v>
      </c>
      <c r="W399" s="33" t="s">
        <v>564</v>
      </c>
      <c r="X399" s="33" t="s">
        <v>564</v>
      </c>
      <c r="Y399" s="33" t="s">
        <v>564</v>
      </c>
      <c r="Z399" s="33" t="s">
        <v>564</v>
      </c>
      <c r="AA399" s="33" t="s">
        <v>564</v>
      </c>
      <c r="AB399" s="33" t="s">
        <v>564</v>
      </c>
      <c r="AC399" s="33" t="s">
        <v>564</v>
      </c>
      <c r="AD399" s="33" t="s">
        <v>564</v>
      </c>
    </row>
    <row r="400" spans="1:30">
      <c r="A400" s="4" t="s">
        <v>662</v>
      </c>
      <c r="B400" s="49">
        <v>24.693999999999999</v>
      </c>
      <c r="C400" s="49">
        <v>-15.510999999999999</v>
      </c>
      <c r="D400" s="49">
        <v>-20.260000000000002</v>
      </c>
      <c r="E400" s="49">
        <v>78.006</v>
      </c>
      <c r="F400" s="49">
        <v>-19.103999999999999</v>
      </c>
      <c r="G400" s="49">
        <v>43.997999999999998</v>
      </c>
      <c r="H400" s="49">
        <v>46.591999999999999</v>
      </c>
      <c r="I400" s="49">
        <v>39.726999999999997</v>
      </c>
      <c r="J400" s="49">
        <v>-2.6059999999999999</v>
      </c>
      <c r="K400" s="49">
        <v>52.052999999999997</v>
      </c>
      <c r="L400" s="49">
        <v>18.978999999999999</v>
      </c>
      <c r="M400" s="49">
        <v>47.628</v>
      </c>
      <c r="N400" s="49">
        <v>176.42</v>
      </c>
      <c r="O400" s="49">
        <v>32.444000000000003</v>
      </c>
      <c r="P400" s="49">
        <v>133.392</v>
      </c>
      <c r="Q400" s="49">
        <v>238.74700000000001</v>
      </c>
      <c r="R400" s="49">
        <v>61.116</v>
      </c>
      <c r="S400" s="49">
        <v>121.29600000000001</v>
      </c>
      <c r="T400" s="49">
        <v>-273.12900000000002</v>
      </c>
      <c r="U400" s="49">
        <v>412.71</v>
      </c>
      <c r="V400" s="50">
        <v>-70.178669999999997</v>
      </c>
      <c r="W400" s="50">
        <v>47.295999999999999</v>
      </c>
      <c r="X400" s="50">
        <v>-67.3215</v>
      </c>
      <c r="Y400" s="50">
        <v>118.336</v>
      </c>
      <c r="Z400" s="50">
        <v>-47.172499999999999</v>
      </c>
      <c r="AA400" s="50">
        <v>332.75599999999997</v>
      </c>
      <c r="AB400" s="50">
        <v>223.61</v>
      </c>
      <c r="AC400" s="50">
        <v>212.77</v>
      </c>
      <c r="AD400" s="50">
        <v>85.38</v>
      </c>
    </row>
    <row r="401" spans="1:30">
      <c r="A401" s="32" t="s">
        <v>546</v>
      </c>
      <c r="B401" s="50">
        <v>-41.933329999999998</v>
      </c>
      <c r="C401" s="50">
        <v>-75.099999999999994</v>
      </c>
      <c r="D401" s="50">
        <v>-56.1</v>
      </c>
      <c r="E401" s="50">
        <v>27.633330000000001</v>
      </c>
      <c r="F401" s="50">
        <v>17.264399999999998</v>
      </c>
      <c r="G401" s="50">
        <v>62.774999999999999</v>
      </c>
      <c r="H401" s="50">
        <v>38.06</v>
      </c>
      <c r="I401" s="50">
        <v>43.194800000000001</v>
      </c>
      <c r="J401" s="50">
        <v>58.2654</v>
      </c>
      <c r="K401" s="50">
        <v>80.924999999999997</v>
      </c>
      <c r="L401" s="50">
        <v>76.5</v>
      </c>
      <c r="M401" s="50">
        <v>59.6</v>
      </c>
      <c r="N401" s="50">
        <v>83.55</v>
      </c>
      <c r="O401" s="50">
        <v>-27.6</v>
      </c>
      <c r="P401" s="50">
        <v>61.55</v>
      </c>
      <c r="Q401" s="50">
        <v>135.89699999999999</v>
      </c>
      <c r="R401" s="50">
        <v>127.75749999999999</v>
      </c>
      <c r="S401" s="50">
        <v>-256.27499999999998</v>
      </c>
      <c r="T401" s="50">
        <v>-278.61799999999999</v>
      </c>
      <c r="U401" s="50">
        <v>163.00899999999999</v>
      </c>
      <c r="V401" s="33" t="s">
        <v>39</v>
      </c>
      <c r="W401" s="33" t="s">
        <v>39</v>
      </c>
      <c r="X401" s="33" t="s">
        <v>39</v>
      </c>
      <c r="Y401" s="33" t="s">
        <v>39</v>
      </c>
      <c r="Z401" s="33" t="s">
        <v>39</v>
      </c>
      <c r="AA401" s="33" t="s">
        <v>39</v>
      </c>
      <c r="AB401" s="33" t="s">
        <v>39</v>
      </c>
      <c r="AC401" s="33" t="s">
        <v>39</v>
      </c>
      <c r="AD401" s="33" t="s">
        <v>39</v>
      </c>
    </row>
    <row r="402" spans="1:30">
      <c r="A402" s="32" t="s">
        <v>547</v>
      </c>
      <c r="B402" s="50">
        <v>-68.8</v>
      </c>
      <c r="C402" s="50">
        <v>-75.099999999999994</v>
      </c>
      <c r="D402" s="50">
        <v>-56.1</v>
      </c>
      <c r="E402" s="50">
        <v>25.9</v>
      </c>
      <c r="F402" s="50">
        <v>32</v>
      </c>
      <c r="G402" s="50">
        <v>53.95</v>
      </c>
      <c r="H402" s="50">
        <v>40.700000000000003</v>
      </c>
      <c r="I402" s="50">
        <v>49.1</v>
      </c>
      <c r="J402" s="50">
        <v>52.969000000000001</v>
      </c>
      <c r="K402" s="50">
        <v>61.65</v>
      </c>
      <c r="L402" s="50">
        <v>76.5</v>
      </c>
      <c r="M402" s="50">
        <v>59.8</v>
      </c>
      <c r="N402" s="50">
        <v>83.55</v>
      </c>
      <c r="O402" s="50">
        <v>8.9</v>
      </c>
      <c r="P402" s="50">
        <v>61.55</v>
      </c>
      <c r="Q402" s="50">
        <v>135.89699999999999</v>
      </c>
      <c r="R402" s="50">
        <v>127.75749999999999</v>
      </c>
      <c r="S402" s="50">
        <v>-256.27499999999998</v>
      </c>
      <c r="T402" s="50">
        <v>5.1050000000000004</v>
      </c>
      <c r="U402" s="50">
        <v>163.00899999999999</v>
      </c>
      <c r="V402" s="50">
        <v>-61.9</v>
      </c>
      <c r="W402" s="50">
        <v>47.295999999999999</v>
      </c>
      <c r="X402" s="50">
        <v>-67.3215</v>
      </c>
      <c r="Y402" s="50">
        <v>118.336</v>
      </c>
      <c r="Z402" s="50">
        <v>-47.172499999999999</v>
      </c>
      <c r="AA402" s="50">
        <v>332.75599999999997</v>
      </c>
      <c r="AB402" s="50">
        <v>223.61</v>
      </c>
      <c r="AC402" s="50">
        <v>212.77</v>
      </c>
      <c r="AD402" s="50">
        <v>85.38</v>
      </c>
    </row>
    <row r="403" spans="1:30">
      <c r="A403" s="32" t="s">
        <v>548</v>
      </c>
      <c r="B403" s="50">
        <v>17</v>
      </c>
      <c r="C403" s="50">
        <v>-70</v>
      </c>
      <c r="D403" s="50">
        <v>-22.2</v>
      </c>
      <c r="E403" s="50">
        <v>33</v>
      </c>
      <c r="F403" s="50">
        <v>73.022000000000006</v>
      </c>
      <c r="G403" s="50">
        <v>152</v>
      </c>
      <c r="H403" s="50">
        <v>41</v>
      </c>
      <c r="I403" s="50">
        <v>53.874000000000002</v>
      </c>
      <c r="J403" s="50">
        <v>111.3</v>
      </c>
      <c r="K403" s="50">
        <v>161.4</v>
      </c>
      <c r="L403" s="50">
        <v>82</v>
      </c>
      <c r="M403" s="50">
        <v>64</v>
      </c>
      <c r="N403" s="50">
        <v>133.1</v>
      </c>
      <c r="O403" s="50">
        <v>65</v>
      </c>
      <c r="P403" s="50">
        <v>78.099999999999994</v>
      </c>
      <c r="Q403" s="50">
        <v>162.79400000000001</v>
      </c>
      <c r="R403" s="50">
        <v>164.51499999999999</v>
      </c>
      <c r="S403" s="50">
        <v>-256.27499999999998</v>
      </c>
      <c r="T403" s="50">
        <v>106.741</v>
      </c>
      <c r="U403" s="50">
        <v>248.22499999999999</v>
      </c>
      <c r="V403" s="50">
        <v>130.81800000000001</v>
      </c>
      <c r="W403" s="50">
        <v>278.11099999999999</v>
      </c>
      <c r="X403" s="50">
        <v>175.18700000000001</v>
      </c>
      <c r="Y403" s="50">
        <v>162.042</v>
      </c>
      <c r="Z403" s="50">
        <v>39.244999999999997</v>
      </c>
      <c r="AA403" s="50">
        <v>332.75599999999997</v>
      </c>
      <c r="AB403" s="50">
        <v>223.61</v>
      </c>
      <c r="AC403" s="50">
        <v>212.77</v>
      </c>
      <c r="AD403" s="50">
        <v>85.38</v>
      </c>
    </row>
    <row r="404" spans="1:30">
      <c r="A404" s="32" t="s">
        <v>549</v>
      </c>
      <c r="B404" s="50">
        <v>-74</v>
      </c>
      <c r="C404" s="50">
        <v>-80.2</v>
      </c>
      <c r="D404" s="50">
        <v>-90</v>
      </c>
      <c r="E404" s="50">
        <v>24</v>
      </c>
      <c r="F404" s="50">
        <v>-28</v>
      </c>
      <c r="G404" s="50">
        <v>-8.8000000000000007</v>
      </c>
      <c r="H404" s="50">
        <v>32</v>
      </c>
      <c r="I404" s="50">
        <v>23</v>
      </c>
      <c r="J404" s="50">
        <v>33.957999999999998</v>
      </c>
      <c r="K404" s="50">
        <v>39</v>
      </c>
      <c r="L404" s="50">
        <v>71</v>
      </c>
      <c r="M404" s="50">
        <v>55</v>
      </c>
      <c r="N404" s="50">
        <v>34</v>
      </c>
      <c r="O404" s="50">
        <v>-156.69999999999999</v>
      </c>
      <c r="P404" s="50">
        <v>45</v>
      </c>
      <c r="Q404" s="50">
        <v>109</v>
      </c>
      <c r="R404" s="50">
        <v>91</v>
      </c>
      <c r="S404" s="50">
        <v>-256.27499999999998</v>
      </c>
      <c r="T404" s="50">
        <v>-947.7</v>
      </c>
      <c r="U404" s="50">
        <v>77.793000000000006</v>
      </c>
      <c r="V404" s="50">
        <v>-279.45400000000001</v>
      </c>
      <c r="W404" s="50">
        <v>-183.51900000000001</v>
      </c>
      <c r="X404" s="50">
        <v>-309.83</v>
      </c>
      <c r="Y404" s="50">
        <v>74.63</v>
      </c>
      <c r="Z404" s="50">
        <v>-133.59</v>
      </c>
      <c r="AA404" s="50">
        <v>332.75599999999997</v>
      </c>
      <c r="AB404" s="50">
        <v>223.61</v>
      </c>
      <c r="AC404" s="50">
        <v>212.77</v>
      </c>
      <c r="AD404" s="50">
        <v>85.38</v>
      </c>
    </row>
    <row r="405" spans="1:30">
      <c r="A405" s="32" t="s">
        <v>550</v>
      </c>
      <c r="B405" s="45">
        <v>41.726199999999999</v>
      </c>
      <c r="C405" s="45">
        <v>5.0999999999999996</v>
      </c>
      <c r="D405" s="45">
        <v>33.9</v>
      </c>
      <c r="E405" s="45">
        <v>3.8732700000000002</v>
      </c>
      <c r="F405" s="45">
        <v>38.211530000000003</v>
      </c>
      <c r="G405" s="45">
        <v>57.600020000000001</v>
      </c>
      <c r="H405" s="45">
        <v>3.6614800000000001</v>
      </c>
      <c r="I405" s="45">
        <v>11.500120000000001</v>
      </c>
      <c r="J405" s="45">
        <v>27.873560000000001</v>
      </c>
      <c r="K405" s="45">
        <v>47.93544</v>
      </c>
      <c r="L405" s="45">
        <v>5.5</v>
      </c>
      <c r="M405" s="45">
        <v>3.6769599999999998</v>
      </c>
      <c r="N405" s="45">
        <v>49.55</v>
      </c>
      <c r="O405" s="45">
        <v>94.116630000000001</v>
      </c>
      <c r="P405" s="45">
        <v>16.55</v>
      </c>
      <c r="Q405" s="45">
        <v>26.896999999999998</v>
      </c>
      <c r="R405" s="45">
        <v>36.7575</v>
      </c>
      <c r="S405" s="45">
        <v>0</v>
      </c>
      <c r="T405" s="45">
        <v>474.92842000000002</v>
      </c>
      <c r="U405" s="45">
        <v>85.215999999999994</v>
      </c>
      <c r="V405" s="45">
        <v>167.59511000000001</v>
      </c>
      <c r="W405" s="45">
        <v>230.815</v>
      </c>
      <c r="X405" s="45">
        <v>242.5085</v>
      </c>
      <c r="Y405" s="45">
        <v>43.706000000000003</v>
      </c>
      <c r="Z405" s="45">
        <v>86.417500000000004</v>
      </c>
      <c r="AA405" s="45">
        <v>0</v>
      </c>
      <c r="AB405" s="45">
        <v>0</v>
      </c>
      <c r="AC405" s="45">
        <v>0</v>
      </c>
      <c r="AD405" s="45">
        <v>0</v>
      </c>
    </row>
    <row r="406" spans="1:30">
      <c r="A406" s="32" t="s">
        <v>551</v>
      </c>
      <c r="B406" s="33" t="s">
        <v>577</v>
      </c>
      <c r="C406" s="33" t="s">
        <v>586</v>
      </c>
      <c r="D406" s="33" t="s">
        <v>591</v>
      </c>
      <c r="E406" s="33" t="s">
        <v>560</v>
      </c>
      <c r="F406" s="33" t="s">
        <v>776</v>
      </c>
      <c r="G406" s="33" t="s">
        <v>590</v>
      </c>
      <c r="H406" s="33" t="s">
        <v>654</v>
      </c>
      <c r="I406" s="33" t="s">
        <v>654</v>
      </c>
      <c r="J406" s="33" t="s">
        <v>654</v>
      </c>
      <c r="K406" s="33" t="s">
        <v>578</v>
      </c>
      <c r="L406" s="33" t="s">
        <v>652</v>
      </c>
      <c r="M406" s="33" t="s">
        <v>589</v>
      </c>
      <c r="N406" s="33" t="s">
        <v>591</v>
      </c>
      <c r="O406" s="33" t="s">
        <v>609</v>
      </c>
      <c r="P406" s="33" t="s">
        <v>586</v>
      </c>
      <c r="Q406" s="33" t="s">
        <v>586</v>
      </c>
      <c r="R406" s="33" t="s">
        <v>586</v>
      </c>
      <c r="S406" s="33" t="s">
        <v>777</v>
      </c>
      <c r="T406" s="33" t="s">
        <v>577</v>
      </c>
      <c r="U406" s="33" t="s">
        <v>591</v>
      </c>
      <c r="V406" s="33" t="s">
        <v>577</v>
      </c>
      <c r="W406" s="33" t="s">
        <v>587</v>
      </c>
      <c r="X406" s="33" t="s">
        <v>587</v>
      </c>
      <c r="Y406" s="33" t="s">
        <v>587</v>
      </c>
      <c r="Z406" s="33" t="s">
        <v>587</v>
      </c>
      <c r="AA406" s="33" t="s">
        <v>575</v>
      </c>
      <c r="AB406" s="33" t="s">
        <v>575</v>
      </c>
      <c r="AC406" s="33" t="s">
        <v>575</v>
      </c>
      <c r="AD406" s="33" t="s">
        <v>575</v>
      </c>
    </row>
    <row r="407" spans="1:30">
      <c r="A407" s="32" t="s">
        <v>563</v>
      </c>
      <c r="B407" s="33" t="s">
        <v>564</v>
      </c>
      <c r="C407" s="33" t="s">
        <v>564</v>
      </c>
      <c r="D407" s="33" t="s">
        <v>564</v>
      </c>
      <c r="E407" s="33" t="s">
        <v>564</v>
      </c>
      <c r="F407" s="33" t="s">
        <v>564</v>
      </c>
      <c r="G407" s="33" t="s">
        <v>564</v>
      </c>
      <c r="H407" s="33" t="s">
        <v>564</v>
      </c>
      <c r="I407" s="33" t="s">
        <v>564</v>
      </c>
      <c r="J407" s="33" t="s">
        <v>564</v>
      </c>
      <c r="K407" s="33" t="s">
        <v>564</v>
      </c>
      <c r="L407" s="33" t="s">
        <v>564</v>
      </c>
      <c r="M407" s="33" t="s">
        <v>564</v>
      </c>
      <c r="N407" s="33" t="s">
        <v>564</v>
      </c>
      <c r="O407" s="33" t="s">
        <v>564</v>
      </c>
      <c r="P407" s="33" t="s">
        <v>564</v>
      </c>
      <c r="Q407" s="33" t="s">
        <v>564</v>
      </c>
      <c r="R407" s="33" t="s">
        <v>564</v>
      </c>
      <c r="S407" s="33" t="s">
        <v>564</v>
      </c>
      <c r="T407" s="33" t="s">
        <v>564</v>
      </c>
      <c r="U407" s="33" t="s">
        <v>564</v>
      </c>
      <c r="V407" s="33" t="s">
        <v>564</v>
      </c>
      <c r="W407" s="33" t="s">
        <v>564</v>
      </c>
      <c r="X407" s="33" t="s">
        <v>564</v>
      </c>
      <c r="Y407" s="33" t="s">
        <v>564</v>
      </c>
      <c r="Z407" s="33" t="s">
        <v>564</v>
      </c>
      <c r="AA407" s="33" t="s">
        <v>564</v>
      </c>
      <c r="AB407" s="33" t="s">
        <v>564</v>
      </c>
      <c r="AC407" s="33" t="s">
        <v>564</v>
      </c>
      <c r="AD407" s="33" t="s">
        <v>564</v>
      </c>
    </row>
    <row r="408" spans="1:30">
      <c r="A408" s="4" t="s">
        <v>436</v>
      </c>
      <c r="B408" s="49">
        <v>-6.9480000000000004</v>
      </c>
      <c r="C408" s="49">
        <v>-7.5270000000000001</v>
      </c>
      <c r="D408" s="49">
        <v>-8.3130000000000006</v>
      </c>
      <c r="E408" s="49">
        <v>-3.8340000000000001</v>
      </c>
      <c r="F408" s="49">
        <v>-5.7590000000000003</v>
      </c>
      <c r="G408" s="49">
        <v>-6.508</v>
      </c>
      <c r="H408" s="49">
        <v>-7.375</v>
      </c>
      <c r="I408" s="49">
        <v>-5.742</v>
      </c>
      <c r="J408" s="49">
        <v>-6.4720000000000004</v>
      </c>
      <c r="K408" s="49">
        <v>-8.0830000000000002</v>
      </c>
      <c r="L408" s="49">
        <v>-15.06</v>
      </c>
      <c r="M408" s="49">
        <v>-14.03</v>
      </c>
      <c r="N408" s="49">
        <v>-24.03</v>
      </c>
      <c r="O408" s="49">
        <v>-18.167999999999999</v>
      </c>
      <c r="P408" s="49">
        <v>-11.994</v>
      </c>
      <c r="Q408" s="49">
        <v>-15.664</v>
      </c>
      <c r="R408" s="49">
        <v>-16.672000000000001</v>
      </c>
      <c r="S408" s="49">
        <v>-26.137</v>
      </c>
      <c r="T408" s="49">
        <v>-30.423999999999999</v>
      </c>
      <c r="U408" s="49">
        <v>-29.792000000000002</v>
      </c>
      <c r="V408" s="50">
        <v>-26.39601</v>
      </c>
      <c r="W408" s="50">
        <v>-20.913820000000001</v>
      </c>
      <c r="X408" s="50">
        <v>-23.17464</v>
      </c>
      <c r="Y408" s="50">
        <v>-27.25244</v>
      </c>
      <c r="Z408" s="50">
        <v>-27.214639999999999</v>
      </c>
      <c r="AA408" s="50">
        <v>-24.890779999999999</v>
      </c>
      <c r="AB408" s="50">
        <v>-28.600660000000001</v>
      </c>
      <c r="AC408" s="50">
        <v>-34.3855</v>
      </c>
      <c r="AD408" s="50">
        <v>-34.21884</v>
      </c>
    </row>
    <row r="409" spans="1:30">
      <c r="A409" s="32" t="s">
        <v>546</v>
      </c>
      <c r="B409" s="50">
        <v>-9.3000000000000007</v>
      </c>
      <c r="C409" s="50">
        <v>-6</v>
      </c>
      <c r="D409" s="50">
        <v>-7.0750000000000002</v>
      </c>
      <c r="E409" s="50">
        <v>-7.14</v>
      </c>
      <c r="F409" s="50">
        <v>-6.6096700000000004</v>
      </c>
      <c r="G409" s="50">
        <v>-6.8333300000000001</v>
      </c>
      <c r="H409" s="50">
        <v>-9.5666700000000002</v>
      </c>
      <c r="I409" s="50">
        <v>-8.7813300000000005</v>
      </c>
      <c r="J409" s="50">
        <v>-9.6473300000000002</v>
      </c>
      <c r="K409" s="50">
        <v>-10.35</v>
      </c>
      <c r="L409" s="50">
        <v>-11.46</v>
      </c>
      <c r="M409" s="50">
        <v>-16.733329999999999</v>
      </c>
      <c r="N409" s="50">
        <v>-16.5</v>
      </c>
      <c r="O409" s="50">
        <v>-18.350000000000001</v>
      </c>
      <c r="P409" s="50">
        <v>-21.5</v>
      </c>
      <c r="Q409" s="50">
        <v>-19.886310000000002</v>
      </c>
      <c r="R409" s="50">
        <v>-21.489609999999999</v>
      </c>
      <c r="S409" s="50">
        <v>-16.863959999999999</v>
      </c>
      <c r="T409" s="50">
        <v>-22.012250000000002</v>
      </c>
      <c r="U409" s="50">
        <v>-36.006500000000003</v>
      </c>
      <c r="V409" s="33" t="s">
        <v>39</v>
      </c>
      <c r="W409" s="33" t="s">
        <v>39</v>
      </c>
      <c r="X409" s="33" t="s">
        <v>39</v>
      </c>
      <c r="Y409" s="33" t="s">
        <v>39</v>
      </c>
      <c r="Z409" s="33" t="s">
        <v>39</v>
      </c>
      <c r="AA409" s="33" t="s">
        <v>39</v>
      </c>
      <c r="AB409" s="33" t="s">
        <v>39</v>
      </c>
      <c r="AC409" s="33" t="s">
        <v>39</v>
      </c>
      <c r="AD409" s="33" t="s">
        <v>39</v>
      </c>
    </row>
    <row r="410" spans="1:30">
      <c r="A410" s="32" t="s">
        <v>547</v>
      </c>
      <c r="B410" s="50">
        <v>-9</v>
      </c>
      <c r="C410" s="50">
        <v>-6</v>
      </c>
      <c r="D410" s="50">
        <v>-6.8</v>
      </c>
      <c r="E410" s="50">
        <v>-7.9</v>
      </c>
      <c r="F410" s="50">
        <v>-6.3789999999999996</v>
      </c>
      <c r="G410" s="50">
        <v>-6.5</v>
      </c>
      <c r="H410" s="50">
        <v>-8.25</v>
      </c>
      <c r="I410" s="50">
        <v>-8</v>
      </c>
      <c r="J410" s="50">
        <v>-9.5</v>
      </c>
      <c r="K410" s="50">
        <v>-10.75</v>
      </c>
      <c r="L410" s="50">
        <v>-9.1999999999999993</v>
      </c>
      <c r="M410" s="50">
        <v>-17</v>
      </c>
      <c r="N410" s="50">
        <v>-16.5</v>
      </c>
      <c r="O410" s="50">
        <v>-18.350000000000001</v>
      </c>
      <c r="P410" s="50">
        <v>-21.5</v>
      </c>
      <c r="Q410" s="50">
        <v>-22.8</v>
      </c>
      <c r="R410" s="50">
        <v>-23.3</v>
      </c>
      <c r="S410" s="50">
        <v>-16.863959999999999</v>
      </c>
      <c r="T410" s="50">
        <v>-23.336760000000002</v>
      </c>
      <c r="U410" s="50">
        <v>-36.006500000000003</v>
      </c>
      <c r="V410" s="50">
        <v>-31.58802</v>
      </c>
      <c r="W410" s="50">
        <v>-20.913820000000001</v>
      </c>
      <c r="X410" s="50">
        <v>-23.17464</v>
      </c>
      <c r="Y410" s="50">
        <v>-27.25244</v>
      </c>
      <c r="Z410" s="50">
        <v>-27.214639999999999</v>
      </c>
      <c r="AA410" s="50">
        <v>-24.890779999999999</v>
      </c>
      <c r="AB410" s="50">
        <v>-28.600660000000001</v>
      </c>
      <c r="AC410" s="50">
        <v>-34.3855</v>
      </c>
      <c r="AD410" s="50">
        <v>-34.21884</v>
      </c>
    </row>
    <row r="411" spans="1:30">
      <c r="A411" s="32" t="s">
        <v>548</v>
      </c>
      <c r="B411" s="50">
        <v>-10</v>
      </c>
      <c r="C411" s="50">
        <v>-6</v>
      </c>
      <c r="D411" s="50">
        <v>-9</v>
      </c>
      <c r="E411" s="50">
        <v>-9</v>
      </c>
      <c r="F411" s="50">
        <v>-8.9</v>
      </c>
      <c r="G411" s="50">
        <v>-9.1</v>
      </c>
      <c r="H411" s="50">
        <v>-16</v>
      </c>
      <c r="I411" s="50">
        <v>-11.7</v>
      </c>
      <c r="J411" s="50">
        <v>-12.2</v>
      </c>
      <c r="K411" s="50">
        <v>-12.5</v>
      </c>
      <c r="L411" s="50">
        <v>-15.9</v>
      </c>
      <c r="M411" s="50">
        <v>-17.3</v>
      </c>
      <c r="N411" s="50">
        <v>-18.600000000000001</v>
      </c>
      <c r="O411" s="50">
        <v>-18.7</v>
      </c>
      <c r="P411" s="50">
        <v>-22</v>
      </c>
      <c r="Q411" s="50">
        <v>-23.858930000000001</v>
      </c>
      <c r="R411" s="50">
        <v>-24.168839999999999</v>
      </c>
      <c r="S411" s="50">
        <v>-18.167999999999999</v>
      </c>
      <c r="T411" s="50">
        <v>-27.7</v>
      </c>
      <c r="U411" s="50">
        <v>-37</v>
      </c>
      <c r="V411" s="50">
        <v>-32.6</v>
      </c>
      <c r="W411" s="50">
        <v>-26.827649999999998</v>
      </c>
      <c r="X411" s="50">
        <v>-31.349270000000001</v>
      </c>
      <c r="Y411" s="50">
        <v>-39.504869999999997</v>
      </c>
      <c r="Z411" s="50">
        <v>-39.429290000000002</v>
      </c>
      <c r="AA411" s="50">
        <v>-34.781550000000003</v>
      </c>
      <c r="AB411" s="50">
        <v>-42.201309999999999</v>
      </c>
      <c r="AC411" s="50">
        <v>-53.771009999999997</v>
      </c>
      <c r="AD411" s="50">
        <v>-53.437690000000003</v>
      </c>
    </row>
    <row r="412" spans="1:30">
      <c r="A412" s="32" t="s">
        <v>549</v>
      </c>
      <c r="B412" s="50">
        <v>-8.9</v>
      </c>
      <c r="C412" s="50">
        <v>-6</v>
      </c>
      <c r="D412" s="50">
        <v>-5.7</v>
      </c>
      <c r="E412" s="50">
        <v>-5</v>
      </c>
      <c r="F412" s="50">
        <v>-4</v>
      </c>
      <c r="G412" s="50">
        <v>-5.4</v>
      </c>
      <c r="H412" s="50">
        <v>-7</v>
      </c>
      <c r="I412" s="50">
        <v>-7</v>
      </c>
      <c r="J412" s="50">
        <v>-6.7</v>
      </c>
      <c r="K412" s="50">
        <v>-7.4</v>
      </c>
      <c r="L412" s="50">
        <v>-8</v>
      </c>
      <c r="M412" s="50">
        <v>-15.9</v>
      </c>
      <c r="N412" s="50">
        <v>-14.4</v>
      </c>
      <c r="O412" s="50">
        <v>-18</v>
      </c>
      <c r="P412" s="50">
        <v>-21</v>
      </c>
      <c r="Q412" s="50">
        <v>-13</v>
      </c>
      <c r="R412" s="50">
        <v>-17</v>
      </c>
      <c r="S412" s="50">
        <v>-15.55991</v>
      </c>
      <c r="T412" s="50">
        <v>-15</v>
      </c>
      <c r="U412" s="50">
        <v>-35.012990000000002</v>
      </c>
      <c r="V412" s="50">
        <v>-15</v>
      </c>
      <c r="W412" s="50">
        <v>-15</v>
      </c>
      <c r="X412" s="50">
        <v>-15</v>
      </c>
      <c r="Y412" s="50">
        <v>-15</v>
      </c>
      <c r="Z412" s="50">
        <v>-15</v>
      </c>
      <c r="AA412" s="50">
        <v>-15</v>
      </c>
      <c r="AB412" s="50">
        <v>-15</v>
      </c>
      <c r="AC412" s="50">
        <v>-15</v>
      </c>
      <c r="AD412" s="50">
        <v>-15</v>
      </c>
    </row>
    <row r="413" spans="1:30">
      <c r="A413" s="32" t="s">
        <v>550</v>
      </c>
      <c r="B413" s="45">
        <v>0.49665999999999999</v>
      </c>
      <c r="C413" s="45">
        <v>0</v>
      </c>
      <c r="D413" s="45">
        <v>1.3254699999999999</v>
      </c>
      <c r="E413" s="45">
        <v>1.4934499999999999</v>
      </c>
      <c r="F413" s="45">
        <v>1.55623</v>
      </c>
      <c r="G413" s="45">
        <v>1.22837</v>
      </c>
      <c r="H413" s="45">
        <v>3.1867800000000002</v>
      </c>
      <c r="I413" s="45">
        <v>1.58257</v>
      </c>
      <c r="J413" s="45">
        <v>2.17645</v>
      </c>
      <c r="K413" s="45">
        <v>2.2231700000000001</v>
      </c>
      <c r="L413" s="45">
        <v>3.2994500000000002</v>
      </c>
      <c r="M413" s="45">
        <v>0.60185</v>
      </c>
      <c r="N413" s="45">
        <v>2.1</v>
      </c>
      <c r="O413" s="45">
        <v>0.35</v>
      </c>
      <c r="P413" s="45">
        <v>0.5</v>
      </c>
      <c r="Q413" s="45">
        <v>4.8885100000000001</v>
      </c>
      <c r="R413" s="45">
        <v>3.1943899999999998</v>
      </c>
      <c r="S413" s="45">
        <v>1.3040400000000001</v>
      </c>
      <c r="T413" s="45">
        <v>5.2686599999999997</v>
      </c>
      <c r="U413" s="45">
        <v>0.99350000000000005</v>
      </c>
      <c r="V413" s="45">
        <v>8.0687800000000003</v>
      </c>
      <c r="W413" s="45">
        <v>5.9138200000000003</v>
      </c>
      <c r="X413" s="45">
        <v>8.1746400000000001</v>
      </c>
      <c r="Y413" s="45">
        <v>12.25244</v>
      </c>
      <c r="Z413" s="45">
        <v>12.214639999999999</v>
      </c>
      <c r="AA413" s="45">
        <v>9.8907799999999995</v>
      </c>
      <c r="AB413" s="45">
        <v>13.60066</v>
      </c>
      <c r="AC413" s="45">
        <v>19.3855</v>
      </c>
      <c r="AD413" s="45">
        <v>19.21884</v>
      </c>
    </row>
    <row r="414" spans="1:30">
      <c r="A414" s="32" t="s">
        <v>551</v>
      </c>
      <c r="B414" s="33" t="s">
        <v>577</v>
      </c>
      <c r="C414" s="33" t="s">
        <v>586</v>
      </c>
      <c r="D414" s="33" t="s">
        <v>578</v>
      </c>
      <c r="E414" s="33" t="s">
        <v>516</v>
      </c>
      <c r="F414" s="33" t="s">
        <v>579</v>
      </c>
      <c r="G414" s="33" t="s">
        <v>579</v>
      </c>
      <c r="H414" s="33" t="s">
        <v>778</v>
      </c>
      <c r="I414" s="33" t="s">
        <v>778</v>
      </c>
      <c r="J414" s="33" t="s">
        <v>778</v>
      </c>
      <c r="K414" s="33" t="s">
        <v>578</v>
      </c>
      <c r="L414" s="33" t="s">
        <v>776</v>
      </c>
      <c r="M414" s="33" t="s">
        <v>560</v>
      </c>
      <c r="N414" s="33" t="s">
        <v>586</v>
      </c>
      <c r="O414" s="33" t="s">
        <v>586</v>
      </c>
      <c r="P414" s="33" t="s">
        <v>587</v>
      </c>
      <c r="Q414" s="33" t="s">
        <v>577</v>
      </c>
      <c r="R414" s="33" t="s">
        <v>577</v>
      </c>
      <c r="S414" s="33" t="s">
        <v>587</v>
      </c>
      <c r="T414" s="33" t="s">
        <v>577</v>
      </c>
      <c r="U414" s="33" t="s">
        <v>586</v>
      </c>
      <c r="V414" s="33" t="s">
        <v>577</v>
      </c>
      <c r="W414" s="33" t="s">
        <v>587</v>
      </c>
      <c r="X414" s="33" t="s">
        <v>587</v>
      </c>
      <c r="Y414" s="33" t="s">
        <v>587</v>
      </c>
      <c r="Z414" s="33" t="s">
        <v>587</v>
      </c>
      <c r="AA414" s="33" t="s">
        <v>587</v>
      </c>
      <c r="AB414" s="33" t="s">
        <v>587</v>
      </c>
      <c r="AC414" s="33" t="s">
        <v>587</v>
      </c>
      <c r="AD414" s="33" t="s">
        <v>587</v>
      </c>
    </row>
    <row r="415" spans="1:30">
      <c r="A415" s="32" t="s">
        <v>563</v>
      </c>
      <c r="B415" s="33" t="s">
        <v>564</v>
      </c>
      <c r="C415" s="33" t="s">
        <v>564</v>
      </c>
      <c r="D415" s="33" t="s">
        <v>564</v>
      </c>
      <c r="E415" s="33" t="s">
        <v>564</v>
      </c>
      <c r="F415" s="33" t="s">
        <v>564</v>
      </c>
      <c r="G415" s="33" t="s">
        <v>564</v>
      </c>
      <c r="H415" s="33" t="s">
        <v>564</v>
      </c>
      <c r="I415" s="33" t="s">
        <v>564</v>
      </c>
      <c r="J415" s="33" t="s">
        <v>564</v>
      </c>
      <c r="K415" s="33" t="s">
        <v>564</v>
      </c>
      <c r="L415" s="33" t="s">
        <v>564</v>
      </c>
      <c r="M415" s="33" t="s">
        <v>564</v>
      </c>
      <c r="N415" s="33" t="s">
        <v>564</v>
      </c>
      <c r="O415" s="33" t="s">
        <v>564</v>
      </c>
      <c r="P415" s="33" t="s">
        <v>564</v>
      </c>
      <c r="Q415" s="33" t="s">
        <v>564</v>
      </c>
      <c r="R415" s="33" t="s">
        <v>564</v>
      </c>
      <c r="S415" s="33" t="s">
        <v>564</v>
      </c>
      <c r="T415" s="33" t="s">
        <v>564</v>
      </c>
      <c r="U415" s="33" t="s">
        <v>564</v>
      </c>
      <c r="V415" s="33" t="s">
        <v>564</v>
      </c>
      <c r="W415" s="33" t="s">
        <v>564</v>
      </c>
      <c r="X415" s="33" t="s">
        <v>564</v>
      </c>
      <c r="Y415" s="33" t="s">
        <v>564</v>
      </c>
      <c r="Z415" s="33" t="s">
        <v>564</v>
      </c>
      <c r="AA415" s="33" t="s">
        <v>564</v>
      </c>
      <c r="AB415" s="33" t="s">
        <v>564</v>
      </c>
      <c r="AC415" s="33" t="s">
        <v>564</v>
      </c>
      <c r="AD415" s="33" t="s">
        <v>564</v>
      </c>
    </row>
    <row r="416" spans="1:30">
      <c r="A416" s="4" t="s">
        <v>669</v>
      </c>
      <c r="B416" s="49">
        <v>17.745999999999999</v>
      </c>
      <c r="C416" s="49">
        <v>-23.038</v>
      </c>
      <c r="D416" s="49">
        <v>-28.573</v>
      </c>
      <c r="E416" s="49">
        <v>74.171999999999997</v>
      </c>
      <c r="F416" s="49">
        <v>-24.863</v>
      </c>
      <c r="G416" s="49">
        <v>37.49</v>
      </c>
      <c r="H416" s="49">
        <v>39.216999999999999</v>
      </c>
      <c r="I416" s="49">
        <v>33.984999999999999</v>
      </c>
      <c r="J416" s="49">
        <v>-9.0779999999999994</v>
      </c>
      <c r="K416" s="49">
        <v>43.97</v>
      </c>
      <c r="L416" s="49">
        <v>3.919</v>
      </c>
      <c r="M416" s="49">
        <v>33.597999999999999</v>
      </c>
      <c r="N416" s="49">
        <v>152.38999999999999</v>
      </c>
      <c r="O416" s="49">
        <v>14.276</v>
      </c>
      <c r="P416" s="49">
        <v>121.398</v>
      </c>
      <c r="Q416" s="49">
        <v>223.083</v>
      </c>
      <c r="R416" s="49">
        <v>44.444000000000003</v>
      </c>
      <c r="S416" s="49">
        <v>95.159000000000006</v>
      </c>
      <c r="T416" s="49">
        <v>-303.553</v>
      </c>
      <c r="U416" s="49">
        <v>382.91800000000001</v>
      </c>
      <c r="V416" s="50">
        <v>18.076000000000001</v>
      </c>
      <c r="W416" s="50">
        <v>127.548</v>
      </c>
      <c r="X416" s="50">
        <v>15.135</v>
      </c>
      <c r="Y416" s="50">
        <v>89.700999999999993</v>
      </c>
      <c r="Z416" s="50">
        <v>100.898</v>
      </c>
      <c r="AA416" s="33" t="s">
        <v>39</v>
      </c>
      <c r="AB416" s="33" t="s">
        <v>39</v>
      </c>
      <c r="AC416" s="33" t="s">
        <v>39</v>
      </c>
      <c r="AD416" s="33" t="s">
        <v>39</v>
      </c>
    </row>
    <row r="417" spans="1:30">
      <c r="A417" s="32" t="s">
        <v>546</v>
      </c>
      <c r="B417" s="50">
        <v>-27.481000000000002</v>
      </c>
      <c r="C417" s="50">
        <v>-26.533000000000001</v>
      </c>
      <c r="D417" s="50">
        <v>-17.163</v>
      </c>
      <c r="E417" s="50">
        <v>20</v>
      </c>
      <c r="F417" s="50">
        <v>39.82</v>
      </c>
      <c r="G417" s="50">
        <v>32.173999999999999</v>
      </c>
      <c r="H417" s="50">
        <v>31.211500000000001</v>
      </c>
      <c r="I417" s="50">
        <v>38.008670000000002</v>
      </c>
      <c r="J417" s="50">
        <v>36.156500000000001</v>
      </c>
      <c r="K417" s="50">
        <v>26.926670000000001</v>
      </c>
      <c r="L417" s="50">
        <v>57.238750000000003</v>
      </c>
      <c r="M417" s="50">
        <v>51.67033</v>
      </c>
      <c r="N417" s="50">
        <v>51.585000000000001</v>
      </c>
      <c r="O417" s="50">
        <v>37.419330000000002</v>
      </c>
      <c r="P417" s="50">
        <v>52.179499999999997</v>
      </c>
      <c r="Q417" s="50">
        <v>95.875500000000002</v>
      </c>
      <c r="R417" s="50">
        <v>96.152000000000001</v>
      </c>
      <c r="S417" s="50">
        <v>56.192999999999998</v>
      </c>
      <c r="T417" s="50">
        <v>-82.5</v>
      </c>
      <c r="U417" s="50">
        <v>35.978000000000002</v>
      </c>
      <c r="V417" s="33" t="s">
        <v>39</v>
      </c>
      <c r="W417" s="33" t="s">
        <v>39</v>
      </c>
      <c r="X417" s="33" t="s">
        <v>39</v>
      </c>
      <c r="Y417" s="33" t="s">
        <v>39</v>
      </c>
      <c r="Z417" s="33" t="s">
        <v>39</v>
      </c>
      <c r="AA417" s="33" t="s">
        <v>39</v>
      </c>
      <c r="AB417" s="33" t="s">
        <v>39</v>
      </c>
      <c r="AC417" s="33" t="s">
        <v>39</v>
      </c>
      <c r="AD417" s="33" t="s">
        <v>39</v>
      </c>
    </row>
    <row r="418" spans="1:30">
      <c r="A418" s="32" t="s">
        <v>547</v>
      </c>
      <c r="B418" s="50">
        <v>-27.481000000000002</v>
      </c>
      <c r="C418" s="50">
        <v>-26.533000000000001</v>
      </c>
      <c r="D418" s="50">
        <v>-11.989000000000001</v>
      </c>
      <c r="E418" s="50">
        <v>20</v>
      </c>
      <c r="F418" s="50">
        <v>29</v>
      </c>
      <c r="G418" s="50">
        <v>23</v>
      </c>
      <c r="H418" s="50">
        <v>31.211500000000001</v>
      </c>
      <c r="I418" s="50">
        <v>42</v>
      </c>
      <c r="J418" s="50">
        <v>36.813000000000002</v>
      </c>
      <c r="K418" s="50">
        <v>26.98</v>
      </c>
      <c r="L418" s="50">
        <v>57.627499999999998</v>
      </c>
      <c r="M418" s="50">
        <v>50.8</v>
      </c>
      <c r="N418" s="50">
        <v>51.585000000000001</v>
      </c>
      <c r="O418" s="50">
        <v>44.558</v>
      </c>
      <c r="P418" s="50">
        <v>52.179499999999997</v>
      </c>
      <c r="Q418" s="50">
        <v>95.875500000000002</v>
      </c>
      <c r="R418" s="50">
        <v>96.152000000000001</v>
      </c>
      <c r="S418" s="50">
        <v>56.192999999999998</v>
      </c>
      <c r="T418" s="50">
        <v>-82.5</v>
      </c>
      <c r="U418" s="50">
        <v>35.978000000000002</v>
      </c>
      <c r="V418" s="50">
        <v>18.076000000000001</v>
      </c>
      <c r="W418" s="50">
        <v>127.548</v>
      </c>
      <c r="X418" s="50">
        <v>15.135</v>
      </c>
      <c r="Y418" s="50">
        <v>89.700999999999993</v>
      </c>
      <c r="Z418" s="50">
        <v>100.898</v>
      </c>
      <c r="AA418" s="33" t="s">
        <v>39</v>
      </c>
      <c r="AB418" s="33" t="s">
        <v>39</v>
      </c>
      <c r="AC418" s="33" t="s">
        <v>39</v>
      </c>
      <c r="AD418" s="33" t="s">
        <v>39</v>
      </c>
    </row>
    <row r="419" spans="1:30">
      <c r="A419" s="32" t="s">
        <v>548</v>
      </c>
      <c r="B419" s="50">
        <v>-27.481000000000002</v>
      </c>
      <c r="C419" s="50">
        <v>-26.533000000000001</v>
      </c>
      <c r="D419" s="50">
        <v>0</v>
      </c>
      <c r="E419" s="50">
        <v>25</v>
      </c>
      <c r="F419" s="50">
        <v>66.459999999999994</v>
      </c>
      <c r="G419" s="50">
        <v>62</v>
      </c>
      <c r="H419" s="50">
        <v>32</v>
      </c>
      <c r="I419" s="50">
        <v>45.886000000000003</v>
      </c>
      <c r="J419" s="50">
        <v>45</v>
      </c>
      <c r="K419" s="50">
        <v>30</v>
      </c>
      <c r="L419" s="50">
        <v>67</v>
      </c>
      <c r="M419" s="50">
        <v>56.210999999999999</v>
      </c>
      <c r="N419" s="50">
        <v>61.17</v>
      </c>
      <c r="O419" s="50">
        <v>47</v>
      </c>
      <c r="P419" s="50">
        <v>79.358999999999995</v>
      </c>
      <c r="Q419" s="50">
        <v>96</v>
      </c>
      <c r="R419" s="50">
        <v>96.152000000000001</v>
      </c>
      <c r="S419" s="50">
        <v>56.192999999999998</v>
      </c>
      <c r="T419" s="50">
        <v>-82.5</v>
      </c>
      <c r="U419" s="50">
        <v>35.978000000000002</v>
      </c>
      <c r="V419" s="50">
        <v>18.076000000000001</v>
      </c>
      <c r="W419" s="50">
        <v>127.548</v>
      </c>
      <c r="X419" s="50">
        <v>15.135</v>
      </c>
      <c r="Y419" s="50">
        <v>89.700999999999993</v>
      </c>
      <c r="Z419" s="50">
        <v>100.898</v>
      </c>
      <c r="AA419" s="33" t="s">
        <v>39</v>
      </c>
      <c r="AB419" s="33" t="s">
        <v>39</v>
      </c>
      <c r="AC419" s="33" t="s">
        <v>39</v>
      </c>
      <c r="AD419" s="33" t="s">
        <v>39</v>
      </c>
    </row>
    <row r="420" spans="1:30">
      <c r="A420" s="32" t="s">
        <v>549</v>
      </c>
      <c r="B420" s="50">
        <v>-27.481000000000002</v>
      </c>
      <c r="C420" s="50">
        <v>-26.533000000000001</v>
      </c>
      <c r="D420" s="50">
        <v>-39.5</v>
      </c>
      <c r="E420" s="50">
        <v>15</v>
      </c>
      <c r="F420" s="50">
        <v>24</v>
      </c>
      <c r="G420" s="50">
        <v>11.522</v>
      </c>
      <c r="H420" s="50">
        <v>30.422999999999998</v>
      </c>
      <c r="I420" s="50">
        <v>26.14</v>
      </c>
      <c r="J420" s="50">
        <v>26</v>
      </c>
      <c r="K420" s="50">
        <v>23.8</v>
      </c>
      <c r="L420" s="50">
        <v>46.7</v>
      </c>
      <c r="M420" s="50">
        <v>48</v>
      </c>
      <c r="N420" s="50">
        <v>42</v>
      </c>
      <c r="O420" s="50">
        <v>20.7</v>
      </c>
      <c r="P420" s="50">
        <v>25</v>
      </c>
      <c r="Q420" s="50">
        <v>95.751000000000005</v>
      </c>
      <c r="R420" s="50">
        <v>96.152000000000001</v>
      </c>
      <c r="S420" s="50">
        <v>56.192999999999998</v>
      </c>
      <c r="T420" s="50">
        <v>-82.5</v>
      </c>
      <c r="U420" s="50">
        <v>35.978000000000002</v>
      </c>
      <c r="V420" s="50">
        <v>18.076000000000001</v>
      </c>
      <c r="W420" s="50">
        <v>127.548</v>
      </c>
      <c r="X420" s="50">
        <v>15.135</v>
      </c>
      <c r="Y420" s="50">
        <v>89.700999999999993</v>
      </c>
      <c r="Z420" s="50">
        <v>100.898</v>
      </c>
      <c r="AA420" s="33" t="s">
        <v>39</v>
      </c>
      <c r="AB420" s="33" t="s">
        <v>39</v>
      </c>
      <c r="AC420" s="33" t="s">
        <v>39</v>
      </c>
      <c r="AD420" s="33" t="s">
        <v>39</v>
      </c>
    </row>
    <row r="421" spans="1:30">
      <c r="A421" s="32" t="s">
        <v>550</v>
      </c>
      <c r="B421" s="45">
        <v>0</v>
      </c>
      <c r="C421" s="45">
        <v>0</v>
      </c>
      <c r="D421" s="45">
        <v>16.535620000000002</v>
      </c>
      <c r="E421" s="45">
        <v>5</v>
      </c>
      <c r="F421" s="45">
        <v>18.947600000000001</v>
      </c>
      <c r="G421" s="45">
        <v>21.60446</v>
      </c>
      <c r="H421" s="45">
        <v>0.78849999999999998</v>
      </c>
      <c r="I421" s="45">
        <v>8.5410500000000003</v>
      </c>
      <c r="J421" s="45">
        <v>7.3486099999999999</v>
      </c>
      <c r="K421" s="45">
        <v>2.5314199999999998</v>
      </c>
      <c r="L421" s="45">
        <v>8.1816300000000002</v>
      </c>
      <c r="M421" s="45">
        <v>3.40815</v>
      </c>
      <c r="N421" s="45">
        <v>9.5850000000000009</v>
      </c>
      <c r="O421" s="45">
        <v>11.86431</v>
      </c>
      <c r="P421" s="45">
        <v>27.179500000000001</v>
      </c>
      <c r="Q421" s="45">
        <v>0.1245</v>
      </c>
      <c r="R421" s="45">
        <v>0</v>
      </c>
      <c r="S421" s="45">
        <v>0</v>
      </c>
      <c r="T421" s="45">
        <v>0</v>
      </c>
      <c r="U421" s="45">
        <v>0</v>
      </c>
      <c r="V421" s="45">
        <v>0</v>
      </c>
      <c r="W421" s="45">
        <v>0</v>
      </c>
      <c r="X421" s="45">
        <v>0</v>
      </c>
      <c r="Y421" s="45">
        <v>0</v>
      </c>
      <c r="Z421" s="45">
        <v>0</v>
      </c>
      <c r="AA421" s="33" t="s">
        <v>39</v>
      </c>
      <c r="AB421" s="33" t="s">
        <v>39</v>
      </c>
      <c r="AC421" s="33" t="s">
        <v>39</v>
      </c>
      <c r="AD421" s="33" t="s">
        <v>39</v>
      </c>
    </row>
    <row r="422" spans="1:30">
      <c r="A422" s="32" t="s">
        <v>551</v>
      </c>
      <c r="B422" s="33" t="s">
        <v>575</v>
      </c>
      <c r="C422" s="33" t="s">
        <v>575</v>
      </c>
      <c r="D422" s="33" t="s">
        <v>577</v>
      </c>
      <c r="E422" s="33" t="s">
        <v>591</v>
      </c>
      <c r="F422" s="33" t="s">
        <v>560</v>
      </c>
      <c r="G422" s="33" t="s">
        <v>609</v>
      </c>
      <c r="H422" s="33" t="s">
        <v>591</v>
      </c>
      <c r="I422" s="33" t="s">
        <v>589</v>
      </c>
      <c r="J422" s="33" t="s">
        <v>590</v>
      </c>
      <c r="K422" s="33" t="s">
        <v>609</v>
      </c>
      <c r="L422" s="33" t="s">
        <v>588</v>
      </c>
      <c r="M422" s="33" t="s">
        <v>560</v>
      </c>
      <c r="N422" s="33" t="s">
        <v>591</v>
      </c>
      <c r="O422" s="33" t="s">
        <v>609</v>
      </c>
      <c r="P422" s="33" t="s">
        <v>586</v>
      </c>
      <c r="Q422" s="33" t="s">
        <v>586</v>
      </c>
      <c r="R422" s="33" t="s">
        <v>573</v>
      </c>
      <c r="S422" s="33" t="s">
        <v>575</v>
      </c>
      <c r="T422" s="33" t="s">
        <v>573</v>
      </c>
      <c r="U422" s="33" t="s">
        <v>573</v>
      </c>
      <c r="V422" s="33" t="s">
        <v>573</v>
      </c>
      <c r="W422" s="33" t="s">
        <v>573</v>
      </c>
      <c r="X422" s="33" t="s">
        <v>573</v>
      </c>
      <c r="Y422" s="33" t="s">
        <v>573</v>
      </c>
      <c r="Z422" s="33" t="s">
        <v>573</v>
      </c>
      <c r="AA422" s="33" t="s">
        <v>39</v>
      </c>
      <c r="AB422" s="33" t="s">
        <v>39</v>
      </c>
      <c r="AC422" s="33" t="s">
        <v>39</v>
      </c>
      <c r="AD422" s="33" t="s">
        <v>39</v>
      </c>
    </row>
    <row r="423" spans="1:30">
      <c r="A423" s="32" t="s">
        <v>563</v>
      </c>
      <c r="B423" s="33" t="s">
        <v>564</v>
      </c>
      <c r="C423" s="33" t="s">
        <v>564</v>
      </c>
      <c r="D423" s="33" t="s">
        <v>564</v>
      </c>
      <c r="E423" s="33" t="s">
        <v>564</v>
      </c>
      <c r="F423" s="33" t="s">
        <v>564</v>
      </c>
      <c r="G423" s="33" t="s">
        <v>564</v>
      </c>
      <c r="H423" s="33" t="s">
        <v>564</v>
      </c>
      <c r="I423" s="33" t="s">
        <v>564</v>
      </c>
      <c r="J423" s="33" t="s">
        <v>564</v>
      </c>
      <c r="K423" s="33" t="s">
        <v>564</v>
      </c>
      <c r="L423" s="33" t="s">
        <v>564</v>
      </c>
      <c r="M423" s="33" t="s">
        <v>564</v>
      </c>
      <c r="N423" s="33" t="s">
        <v>564</v>
      </c>
      <c r="O423" s="33" t="s">
        <v>564</v>
      </c>
      <c r="P423" s="33" t="s">
        <v>564</v>
      </c>
      <c r="Q423" s="33" t="s">
        <v>564</v>
      </c>
      <c r="R423" s="33" t="s">
        <v>564</v>
      </c>
      <c r="S423" s="33" t="s">
        <v>564</v>
      </c>
      <c r="T423" s="33" t="s">
        <v>564</v>
      </c>
      <c r="U423" s="33" t="s">
        <v>564</v>
      </c>
      <c r="V423" s="33" t="s">
        <v>564</v>
      </c>
      <c r="W423" s="33" t="s">
        <v>564</v>
      </c>
      <c r="X423" s="33" t="s">
        <v>564</v>
      </c>
      <c r="Y423" s="33" t="s">
        <v>564</v>
      </c>
      <c r="Z423" s="33" t="s">
        <v>564</v>
      </c>
      <c r="AA423" s="33" t="s">
        <v>39</v>
      </c>
      <c r="AB423" s="33" t="s">
        <v>39</v>
      </c>
      <c r="AC423" s="33" t="s">
        <v>39</v>
      </c>
      <c r="AD423" s="33" t="s">
        <v>39</v>
      </c>
    </row>
    <row r="424" spans="1:30">
      <c r="A424" s="4" t="s">
        <v>675</v>
      </c>
      <c r="B424" s="49">
        <v>29.14</v>
      </c>
      <c r="C424" s="49">
        <v>29.691330000000001</v>
      </c>
      <c r="D424" s="49">
        <v>87.207999999999998</v>
      </c>
      <c r="E424" s="49">
        <v>84.13</v>
      </c>
      <c r="F424" s="49">
        <v>87.727000000000004</v>
      </c>
      <c r="G424" s="49">
        <v>86</v>
      </c>
      <c r="H424" s="49">
        <v>86.985299999999995</v>
      </c>
      <c r="I424" s="49">
        <v>85.025999999999996</v>
      </c>
      <c r="J424" s="49">
        <v>85.373800000000003</v>
      </c>
      <c r="K424" s="49">
        <v>83.680999999999997</v>
      </c>
      <c r="L424" s="49">
        <v>83.05283</v>
      </c>
      <c r="M424" s="49">
        <v>83.692620000000005</v>
      </c>
      <c r="N424" s="49">
        <v>83.133899999999997</v>
      </c>
      <c r="O424" s="49">
        <v>82.115499999999997</v>
      </c>
      <c r="P424" s="49">
        <v>83.406700000000001</v>
      </c>
      <c r="Q424" s="49">
        <v>83.556799999999996</v>
      </c>
      <c r="R424" s="49">
        <v>85.374099999999999</v>
      </c>
      <c r="S424" s="49">
        <v>38.990499999999997</v>
      </c>
      <c r="T424" s="49">
        <v>31.0228</v>
      </c>
      <c r="U424" s="49">
        <v>26.186199999999999</v>
      </c>
      <c r="V424" s="50">
        <v>27.011109999999999</v>
      </c>
      <c r="W424" s="50">
        <v>28.80358</v>
      </c>
      <c r="X424" s="50">
        <v>30.911919999999999</v>
      </c>
      <c r="Y424" s="50">
        <v>32.536200000000001</v>
      </c>
      <c r="Z424" s="50">
        <v>33.097490000000001</v>
      </c>
      <c r="AA424" s="50">
        <v>32.345059999999997</v>
      </c>
      <c r="AB424" s="50">
        <v>35.326160000000002</v>
      </c>
      <c r="AC424" s="50">
        <v>36.712499999999999</v>
      </c>
      <c r="AD424" s="50">
        <v>36.136339999999997</v>
      </c>
    </row>
    <row r="425" spans="1:30">
      <c r="A425" s="32" t="s">
        <v>546</v>
      </c>
      <c r="B425" s="50">
        <v>28.85</v>
      </c>
      <c r="C425" s="50">
        <v>80.833330000000004</v>
      </c>
      <c r="D425" s="50">
        <v>82.46</v>
      </c>
      <c r="E425" s="50">
        <v>86.54</v>
      </c>
      <c r="F425" s="50">
        <v>75.17</v>
      </c>
      <c r="G425" s="50">
        <v>76.766670000000005</v>
      </c>
      <c r="H425" s="50">
        <v>80.666669999999996</v>
      </c>
      <c r="I425" s="50">
        <v>85.762500000000003</v>
      </c>
      <c r="J425" s="50">
        <v>86.5</v>
      </c>
      <c r="K425" s="50">
        <v>84.1</v>
      </c>
      <c r="L425" s="50">
        <v>84.137500000000003</v>
      </c>
      <c r="M425" s="50">
        <v>82.762500000000003</v>
      </c>
      <c r="N425" s="50">
        <v>82.05</v>
      </c>
      <c r="O425" s="50">
        <v>78.98</v>
      </c>
      <c r="P425" s="50">
        <v>82.266670000000005</v>
      </c>
      <c r="Q425" s="50">
        <v>83.228570000000005</v>
      </c>
      <c r="R425" s="50">
        <v>86.071430000000007</v>
      </c>
      <c r="S425" s="50">
        <v>39.447609999999997</v>
      </c>
      <c r="T425" s="50">
        <v>43.503360000000001</v>
      </c>
      <c r="U425" s="50">
        <v>33.152360000000002</v>
      </c>
      <c r="V425" s="33" t="s">
        <v>39</v>
      </c>
      <c r="W425" s="33" t="s">
        <v>39</v>
      </c>
      <c r="X425" s="33" t="s">
        <v>39</v>
      </c>
      <c r="Y425" s="33" t="s">
        <v>39</v>
      </c>
      <c r="Z425" s="33" t="s">
        <v>39</v>
      </c>
      <c r="AA425" s="33" t="s">
        <v>39</v>
      </c>
      <c r="AB425" s="33" t="s">
        <v>39</v>
      </c>
      <c r="AC425" s="33" t="s">
        <v>39</v>
      </c>
      <c r="AD425" s="33" t="s">
        <v>39</v>
      </c>
    </row>
    <row r="426" spans="1:30">
      <c r="A426" s="32" t="s">
        <v>547</v>
      </c>
      <c r="B426" s="50">
        <v>28.2</v>
      </c>
      <c r="C426" s="50">
        <v>80.900000000000006</v>
      </c>
      <c r="D426" s="50">
        <v>81</v>
      </c>
      <c r="E426" s="50">
        <v>86.6</v>
      </c>
      <c r="F426" s="50">
        <v>85</v>
      </c>
      <c r="G426" s="50">
        <v>84.7</v>
      </c>
      <c r="H426" s="50">
        <v>86</v>
      </c>
      <c r="I426" s="50">
        <v>85.7</v>
      </c>
      <c r="J426" s="50">
        <v>86.65</v>
      </c>
      <c r="K426" s="50">
        <v>84.2</v>
      </c>
      <c r="L426" s="50">
        <v>84.05</v>
      </c>
      <c r="M426" s="50">
        <v>82.8</v>
      </c>
      <c r="N426" s="50">
        <v>82.3</v>
      </c>
      <c r="O426" s="50">
        <v>81</v>
      </c>
      <c r="P426" s="50">
        <v>82.7</v>
      </c>
      <c r="Q426" s="50">
        <v>83.3</v>
      </c>
      <c r="R426" s="50">
        <v>86.2</v>
      </c>
      <c r="S426" s="50">
        <v>39.6</v>
      </c>
      <c r="T426" s="50">
        <v>39.85</v>
      </c>
      <c r="U426" s="50">
        <v>33.549999999999997</v>
      </c>
      <c r="V426" s="50">
        <v>27</v>
      </c>
      <c r="W426" s="50">
        <v>29</v>
      </c>
      <c r="X426" s="50">
        <v>30.9</v>
      </c>
      <c r="Y426" s="50">
        <v>32</v>
      </c>
      <c r="Z426" s="50">
        <v>33</v>
      </c>
      <c r="AA426" s="50">
        <v>32.75</v>
      </c>
      <c r="AB426" s="50">
        <v>35.299999999999997</v>
      </c>
      <c r="AC426" s="50">
        <v>36.4</v>
      </c>
      <c r="AD426" s="50">
        <v>35.35</v>
      </c>
    </row>
    <row r="427" spans="1:30">
      <c r="A427" s="32" t="s">
        <v>548</v>
      </c>
      <c r="B427" s="50">
        <v>31</v>
      </c>
      <c r="C427" s="50">
        <v>82.6</v>
      </c>
      <c r="D427" s="50">
        <v>87</v>
      </c>
      <c r="E427" s="50">
        <v>88</v>
      </c>
      <c r="F427" s="50">
        <v>87</v>
      </c>
      <c r="G427" s="50">
        <v>87</v>
      </c>
      <c r="H427" s="50">
        <v>89</v>
      </c>
      <c r="I427" s="50">
        <v>87.2</v>
      </c>
      <c r="J427" s="50">
        <v>87.9</v>
      </c>
      <c r="K427" s="50">
        <v>84.8</v>
      </c>
      <c r="L427" s="50">
        <v>85.8</v>
      </c>
      <c r="M427" s="50">
        <v>84</v>
      </c>
      <c r="N427" s="50">
        <v>83.1</v>
      </c>
      <c r="O427" s="50">
        <v>81.599999999999994</v>
      </c>
      <c r="P427" s="50">
        <v>83.3</v>
      </c>
      <c r="Q427" s="50">
        <v>84</v>
      </c>
      <c r="R427" s="50">
        <v>87</v>
      </c>
      <c r="S427" s="50">
        <v>40</v>
      </c>
      <c r="T427" s="50">
        <v>88</v>
      </c>
      <c r="U427" s="50">
        <v>36</v>
      </c>
      <c r="V427" s="50">
        <v>28.7</v>
      </c>
      <c r="W427" s="50">
        <v>33.125059999999998</v>
      </c>
      <c r="X427" s="50">
        <v>38.183430000000001</v>
      </c>
      <c r="Y427" s="50">
        <v>40.853389999999997</v>
      </c>
      <c r="Z427" s="50">
        <v>39.582439999999998</v>
      </c>
      <c r="AA427" s="50">
        <v>35.08023</v>
      </c>
      <c r="AB427" s="50">
        <v>41.404629999999997</v>
      </c>
      <c r="AC427" s="50">
        <v>44.450020000000002</v>
      </c>
      <c r="AD427" s="50">
        <v>43.145359999999997</v>
      </c>
    </row>
    <row r="428" spans="1:30">
      <c r="A428" s="32" t="s">
        <v>549</v>
      </c>
      <c r="B428" s="50">
        <v>28</v>
      </c>
      <c r="C428" s="50">
        <v>79</v>
      </c>
      <c r="D428" s="50">
        <v>79.8</v>
      </c>
      <c r="E428" s="50">
        <v>85</v>
      </c>
      <c r="F428" s="50">
        <v>33.5</v>
      </c>
      <c r="G428" s="50">
        <v>34.299999999999997</v>
      </c>
      <c r="H428" s="50">
        <v>37</v>
      </c>
      <c r="I428" s="50">
        <v>84.1</v>
      </c>
      <c r="J428" s="50">
        <v>84.4</v>
      </c>
      <c r="K428" s="50">
        <v>83</v>
      </c>
      <c r="L428" s="50">
        <v>81.099999999999994</v>
      </c>
      <c r="M428" s="50">
        <v>81.5</v>
      </c>
      <c r="N428" s="50">
        <v>79.599999999999994</v>
      </c>
      <c r="O428" s="50">
        <v>72.7</v>
      </c>
      <c r="P428" s="50">
        <v>79.900000000000006</v>
      </c>
      <c r="Q428" s="50">
        <v>82.3</v>
      </c>
      <c r="R428" s="50">
        <v>85.1</v>
      </c>
      <c r="S428" s="50">
        <v>38.576099999999997</v>
      </c>
      <c r="T428" s="50">
        <v>36.799999999999997</v>
      </c>
      <c r="U428" s="50">
        <v>28.6</v>
      </c>
      <c r="V428" s="50">
        <v>24.8</v>
      </c>
      <c r="W428" s="50">
        <v>26</v>
      </c>
      <c r="X428" s="50">
        <v>26.9</v>
      </c>
      <c r="Y428" s="50">
        <v>27.4</v>
      </c>
      <c r="Z428" s="50">
        <v>28.6</v>
      </c>
      <c r="AA428" s="50">
        <v>28.8</v>
      </c>
      <c r="AB428" s="50">
        <v>29.3</v>
      </c>
      <c r="AC428" s="50">
        <v>29.6</v>
      </c>
      <c r="AD428" s="50">
        <v>30.7</v>
      </c>
    </row>
    <row r="429" spans="1:30">
      <c r="A429" s="32" t="s">
        <v>550</v>
      </c>
      <c r="B429" s="45">
        <v>1.252</v>
      </c>
      <c r="C429" s="45">
        <v>1.47045</v>
      </c>
      <c r="D429" s="45">
        <v>2.5904400000000001</v>
      </c>
      <c r="E429" s="45">
        <v>0.95415000000000005</v>
      </c>
      <c r="F429" s="45">
        <v>20.45767</v>
      </c>
      <c r="G429" s="45">
        <v>19.04325</v>
      </c>
      <c r="H429" s="45">
        <v>15.496309999999999</v>
      </c>
      <c r="I429" s="45">
        <v>1.02827</v>
      </c>
      <c r="J429" s="45">
        <v>1.14455</v>
      </c>
      <c r="K429" s="45">
        <v>0.51961999999999997</v>
      </c>
      <c r="L429" s="45">
        <v>1.3341099999999999</v>
      </c>
      <c r="M429" s="45">
        <v>0.71228000000000002</v>
      </c>
      <c r="N429" s="45">
        <v>1.1772100000000001</v>
      </c>
      <c r="O429" s="45">
        <v>3.3047800000000001</v>
      </c>
      <c r="P429" s="45">
        <v>1.1426099999999999</v>
      </c>
      <c r="Q429" s="45">
        <v>0.64078999999999997</v>
      </c>
      <c r="R429" s="45">
        <v>0.69223000000000001</v>
      </c>
      <c r="S429" s="45">
        <v>0.49458999999999997</v>
      </c>
      <c r="T429" s="45">
        <v>12.484959999999999</v>
      </c>
      <c r="U429" s="45">
        <v>2.4786800000000002</v>
      </c>
      <c r="V429" s="45">
        <v>1.24762</v>
      </c>
      <c r="W429" s="45">
        <v>2.4335800000000001</v>
      </c>
      <c r="X429" s="45">
        <v>3.6278199999999998</v>
      </c>
      <c r="Y429" s="45">
        <v>4.0408600000000003</v>
      </c>
      <c r="Z429" s="45">
        <v>3.1366900000000002</v>
      </c>
      <c r="AA429" s="45">
        <v>2.3184900000000002</v>
      </c>
      <c r="AB429" s="45">
        <v>4.5783100000000001</v>
      </c>
      <c r="AC429" s="45">
        <v>5.52658</v>
      </c>
      <c r="AD429" s="45">
        <v>4.4766599999999999</v>
      </c>
    </row>
    <row r="430" spans="1:30">
      <c r="A430" s="32" t="s">
        <v>551</v>
      </c>
      <c r="B430" s="33" t="s">
        <v>588</v>
      </c>
      <c r="C430" s="33" t="s">
        <v>560</v>
      </c>
      <c r="D430" s="33" t="s">
        <v>629</v>
      </c>
      <c r="E430" s="33" t="s">
        <v>583</v>
      </c>
      <c r="F430" s="33" t="s">
        <v>766</v>
      </c>
      <c r="G430" s="33" t="s">
        <v>778</v>
      </c>
      <c r="H430" s="33" t="s">
        <v>649</v>
      </c>
      <c r="I430" s="33" t="s">
        <v>779</v>
      </c>
      <c r="J430" s="33" t="s">
        <v>552</v>
      </c>
      <c r="K430" s="33" t="s">
        <v>779</v>
      </c>
      <c r="L430" s="33" t="s">
        <v>772</v>
      </c>
      <c r="M430" s="33" t="s">
        <v>779</v>
      </c>
      <c r="N430" s="33" t="s">
        <v>780</v>
      </c>
      <c r="O430" s="33" t="s">
        <v>670</v>
      </c>
      <c r="P430" s="33" t="s">
        <v>631</v>
      </c>
      <c r="Q430" s="33" t="s">
        <v>781</v>
      </c>
      <c r="R430" s="33" t="s">
        <v>782</v>
      </c>
      <c r="S430" s="33" t="s">
        <v>783</v>
      </c>
      <c r="T430" s="33" t="s">
        <v>569</v>
      </c>
      <c r="U430" s="33" t="s">
        <v>774</v>
      </c>
      <c r="V430" s="33" t="s">
        <v>666</v>
      </c>
      <c r="W430" s="33" t="s">
        <v>673</v>
      </c>
      <c r="X430" s="33" t="s">
        <v>673</v>
      </c>
      <c r="Y430" s="33" t="s">
        <v>625</v>
      </c>
      <c r="Z430" s="33" t="s">
        <v>673</v>
      </c>
      <c r="AA430" s="33" t="s">
        <v>588</v>
      </c>
      <c r="AB430" s="33" t="s">
        <v>578</v>
      </c>
      <c r="AC430" s="33" t="s">
        <v>578</v>
      </c>
      <c r="AD430" s="33" t="s">
        <v>578</v>
      </c>
    </row>
    <row r="431" spans="1:30">
      <c r="A431" s="32" t="s">
        <v>563</v>
      </c>
      <c r="B431" s="33" t="s">
        <v>564</v>
      </c>
      <c r="C431" s="33" t="s">
        <v>564</v>
      </c>
      <c r="D431" s="33" t="s">
        <v>564</v>
      </c>
      <c r="E431" s="33" t="s">
        <v>564</v>
      </c>
      <c r="F431" s="33" t="s">
        <v>564</v>
      </c>
      <c r="G431" s="33" t="s">
        <v>564</v>
      </c>
      <c r="H431" s="33" t="s">
        <v>564</v>
      </c>
      <c r="I431" s="33" t="s">
        <v>564</v>
      </c>
      <c r="J431" s="33" t="s">
        <v>564</v>
      </c>
      <c r="K431" s="33" t="s">
        <v>564</v>
      </c>
      <c r="L431" s="33" t="s">
        <v>564</v>
      </c>
      <c r="M431" s="33" t="s">
        <v>564</v>
      </c>
      <c r="N431" s="33" t="s">
        <v>564</v>
      </c>
      <c r="O431" s="33" t="s">
        <v>564</v>
      </c>
      <c r="P431" s="33" t="s">
        <v>564</v>
      </c>
      <c r="Q431" s="33" t="s">
        <v>564</v>
      </c>
      <c r="R431" s="33" t="s">
        <v>564</v>
      </c>
      <c r="S431" s="33" t="s">
        <v>564</v>
      </c>
      <c r="T431" s="33" t="s">
        <v>564</v>
      </c>
      <c r="U431" s="33" t="s">
        <v>564</v>
      </c>
      <c r="V431" s="33" t="s">
        <v>564</v>
      </c>
      <c r="W431" s="33" t="s">
        <v>564</v>
      </c>
      <c r="X431" s="33" t="s">
        <v>564</v>
      </c>
      <c r="Y431" s="33" t="s">
        <v>564</v>
      </c>
      <c r="Z431" s="33" t="s">
        <v>564</v>
      </c>
      <c r="AA431" s="33" t="s">
        <v>564</v>
      </c>
      <c r="AB431" s="33" t="s">
        <v>564</v>
      </c>
      <c r="AC431" s="33" t="s">
        <v>564</v>
      </c>
      <c r="AD431" s="33" t="s">
        <v>564</v>
      </c>
    </row>
    <row r="432" spans="1:30">
      <c r="A432" s="4" t="s">
        <v>329</v>
      </c>
      <c r="B432" s="33" t="s">
        <v>39</v>
      </c>
      <c r="C432" s="33" t="s">
        <v>39</v>
      </c>
      <c r="D432" s="33" t="s">
        <v>39</v>
      </c>
      <c r="E432" s="33" t="s">
        <v>39</v>
      </c>
      <c r="F432" s="50">
        <v>2.92</v>
      </c>
      <c r="G432" s="49">
        <v>2.4708700000000001</v>
      </c>
      <c r="H432" s="33" t="s">
        <v>39</v>
      </c>
      <c r="I432" s="33" t="s">
        <v>39</v>
      </c>
      <c r="J432" s="50">
        <v>3</v>
      </c>
      <c r="K432" s="49">
        <v>0.60019999999999996</v>
      </c>
      <c r="L432" s="49">
        <v>0.95899999999999996</v>
      </c>
      <c r="M432" s="49">
        <v>1.6038300000000001</v>
      </c>
      <c r="N432" s="49">
        <v>0.70669999999999999</v>
      </c>
      <c r="O432" s="49">
        <v>0.23921000000000001</v>
      </c>
      <c r="P432" s="50">
        <v>3.8</v>
      </c>
      <c r="Q432" s="49">
        <v>8.1429899999999993</v>
      </c>
      <c r="R432" s="49">
        <v>0.46179999999999999</v>
      </c>
      <c r="S432" s="50">
        <v>1.9</v>
      </c>
      <c r="T432" s="50">
        <v>2.8</v>
      </c>
      <c r="U432" s="50">
        <v>1.3</v>
      </c>
      <c r="V432" s="50">
        <v>11.5</v>
      </c>
      <c r="W432" s="50">
        <v>10.26</v>
      </c>
      <c r="X432" s="50">
        <v>10.06</v>
      </c>
      <c r="Y432" s="50">
        <v>10.02</v>
      </c>
      <c r="Z432" s="50">
        <v>10.06</v>
      </c>
      <c r="AA432" s="50">
        <v>3.5</v>
      </c>
      <c r="AB432" s="50">
        <v>3.5</v>
      </c>
      <c r="AC432" s="50">
        <v>3.5</v>
      </c>
      <c r="AD432" s="50">
        <v>3.5</v>
      </c>
    </row>
    <row r="433" spans="1:30">
      <c r="A433" s="32" t="s">
        <v>546</v>
      </c>
      <c r="B433" s="33" t="s">
        <v>39</v>
      </c>
      <c r="C433" s="33" t="s">
        <v>39</v>
      </c>
      <c r="D433" s="33" t="s">
        <v>39</v>
      </c>
      <c r="E433" s="33" t="s">
        <v>39</v>
      </c>
      <c r="F433" s="33" t="s">
        <v>39</v>
      </c>
      <c r="G433" s="50">
        <v>2.93</v>
      </c>
      <c r="H433" s="33" t="s">
        <v>39</v>
      </c>
      <c r="I433" s="33" t="s">
        <v>39</v>
      </c>
      <c r="J433" s="33" t="s">
        <v>39</v>
      </c>
      <c r="K433" s="50">
        <v>3</v>
      </c>
      <c r="L433" s="50">
        <v>3</v>
      </c>
      <c r="M433" s="50">
        <v>1</v>
      </c>
      <c r="N433" s="50">
        <v>3.4333300000000002</v>
      </c>
      <c r="O433" s="50">
        <v>2.46</v>
      </c>
      <c r="P433" s="33" t="s">
        <v>39</v>
      </c>
      <c r="Q433" s="50">
        <v>4.7249999999999996</v>
      </c>
      <c r="R433" s="50">
        <v>5.2249999999999996</v>
      </c>
      <c r="S433" s="33" t="s">
        <v>39</v>
      </c>
      <c r="T433" s="33" t="s">
        <v>39</v>
      </c>
      <c r="U433" s="33" t="s">
        <v>39</v>
      </c>
      <c r="V433" s="33" t="s">
        <v>39</v>
      </c>
      <c r="W433" s="33" t="s">
        <v>39</v>
      </c>
      <c r="X433" s="33" t="s">
        <v>39</v>
      </c>
      <c r="Y433" s="33" t="s">
        <v>39</v>
      </c>
      <c r="Z433" s="33" t="s">
        <v>39</v>
      </c>
      <c r="AA433" s="33" t="s">
        <v>39</v>
      </c>
      <c r="AB433" s="33" t="s">
        <v>39</v>
      </c>
      <c r="AC433" s="33" t="s">
        <v>39</v>
      </c>
      <c r="AD433" s="33" t="s">
        <v>39</v>
      </c>
    </row>
    <row r="434" spans="1:30">
      <c r="A434" s="32" t="s">
        <v>547</v>
      </c>
      <c r="B434" s="33" t="s">
        <v>39</v>
      </c>
      <c r="C434" s="33" t="s">
        <v>39</v>
      </c>
      <c r="D434" s="33" t="s">
        <v>39</v>
      </c>
      <c r="E434" s="33" t="s">
        <v>39</v>
      </c>
      <c r="F434" s="50">
        <v>2.92</v>
      </c>
      <c r="G434" s="50">
        <v>2.93</v>
      </c>
      <c r="H434" s="33" t="s">
        <v>39</v>
      </c>
      <c r="I434" s="33" t="s">
        <v>39</v>
      </c>
      <c r="J434" s="50">
        <v>3</v>
      </c>
      <c r="K434" s="50">
        <v>3</v>
      </c>
      <c r="L434" s="50">
        <v>3</v>
      </c>
      <c r="M434" s="50">
        <v>1</v>
      </c>
      <c r="N434" s="50">
        <v>2.9</v>
      </c>
      <c r="O434" s="50">
        <v>2.46</v>
      </c>
      <c r="P434" s="50">
        <v>4.5999999999999996</v>
      </c>
      <c r="Q434" s="50">
        <v>5</v>
      </c>
      <c r="R434" s="50">
        <v>2.4</v>
      </c>
      <c r="S434" s="50">
        <v>1.9</v>
      </c>
      <c r="T434" s="50">
        <v>2.8</v>
      </c>
      <c r="U434" s="50">
        <v>1.3</v>
      </c>
      <c r="V434" s="50">
        <v>12.5</v>
      </c>
      <c r="W434" s="50">
        <v>5</v>
      </c>
      <c r="X434" s="50">
        <v>5</v>
      </c>
      <c r="Y434" s="50">
        <v>5</v>
      </c>
      <c r="Z434" s="50">
        <v>5</v>
      </c>
      <c r="AA434" s="50">
        <v>3.5</v>
      </c>
      <c r="AB434" s="50">
        <v>3.5</v>
      </c>
      <c r="AC434" s="50">
        <v>3.5</v>
      </c>
      <c r="AD434" s="50">
        <v>3.5</v>
      </c>
    </row>
    <row r="435" spans="1:30">
      <c r="A435" s="32" t="s">
        <v>548</v>
      </c>
      <c r="B435" s="33" t="s">
        <v>39</v>
      </c>
      <c r="C435" s="33" t="s">
        <v>39</v>
      </c>
      <c r="D435" s="33" t="s">
        <v>39</v>
      </c>
      <c r="E435" s="33" t="s">
        <v>39</v>
      </c>
      <c r="F435" s="50">
        <v>2.92</v>
      </c>
      <c r="G435" s="50">
        <v>2.93</v>
      </c>
      <c r="H435" s="33" t="s">
        <v>39</v>
      </c>
      <c r="I435" s="33" t="s">
        <v>39</v>
      </c>
      <c r="J435" s="50">
        <v>3</v>
      </c>
      <c r="K435" s="50">
        <v>3</v>
      </c>
      <c r="L435" s="50">
        <v>3</v>
      </c>
      <c r="M435" s="50">
        <v>1</v>
      </c>
      <c r="N435" s="50">
        <v>5.4</v>
      </c>
      <c r="O435" s="50">
        <v>2.92</v>
      </c>
      <c r="P435" s="50">
        <v>5</v>
      </c>
      <c r="Q435" s="50">
        <v>6</v>
      </c>
      <c r="R435" s="50">
        <v>15</v>
      </c>
      <c r="S435" s="50">
        <v>2.8</v>
      </c>
      <c r="T435" s="50">
        <v>2.8</v>
      </c>
      <c r="U435" s="50">
        <v>1.3</v>
      </c>
      <c r="V435" s="50">
        <v>20</v>
      </c>
      <c r="W435" s="50">
        <v>20</v>
      </c>
      <c r="X435" s="50">
        <v>20</v>
      </c>
      <c r="Y435" s="50">
        <v>20</v>
      </c>
      <c r="Z435" s="50">
        <v>20</v>
      </c>
      <c r="AA435" s="50">
        <v>4</v>
      </c>
      <c r="AB435" s="50">
        <v>4</v>
      </c>
      <c r="AC435" s="50">
        <v>4</v>
      </c>
      <c r="AD435" s="50">
        <v>4</v>
      </c>
    </row>
    <row r="436" spans="1:30">
      <c r="A436" s="32" t="s">
        <v>549</v>
      </c>
      <c r="B436" s="33" t="s">
        <v>39</v>
      </c>
      <c r="C436" s="33" t="s">
        <v>39</v>
      </c>
      <c r="D436" s="33" t="s">
        <v>39</v>
      </c>
      <c r="E436" s="33" t="s">
        <v>39</v>
      </c>
      <c r="F436" s="50">
        <v>2.92</v>
      </c>
      <c r="G436" s="50">
        <v>2.93</v>
      </c>
      <c r="H436" s="33" t="s">
        <v>39</v>
      </c>
      <c r="I436" s="33" t="s">
        <v>39</v>
      </c>
      <c r="J436" s="50">
        <v>3</v>
      </c>
      <c r="K436" s="50">
        <v>3</v>
      </c>
      <c r="L436" s="50">
        <v>3</v>
      </c>
      <c r="M436" s="50">
        <v>1</v>
      </c>
      <c r="N436" s="50">
        <v>2</v>
      </c>
      <c r="O436" s="50">
        <v>2</v>
      </c>
      <c r="P436" s="50">
        <v>1</v>
      </c>
      <c r="Q436" s="50">
        <v>2.9</v>
      </c>
      <c r="R436" s="50">
        <v>1.1000000000000001</v>
      </c>
      <c r="S436" s="50">
        <v>1</v>
      </c>
      <c r="T436" s="50">
        <v>2.8</v>
      </c>
      <c r="U436" s="50">
        <v>1.3</v>
      </c>
      <c r="V436" s="50">
        <v>1</v>
      </c>
      <c r="W436" s="50">
        <v>2.2999999999999998</v>
      </c>
      <c r="X436" s="50">
        <v>1.3</v>
      </c>
      <c r="Y436" s="50">
        <v>1.1000000000000001</v>
      </c>
      <c r="Z436" s="50">
        <v>1.3</v>
      </c>
      <c r="AA436" s="50">
        <v>3</v>
      </c>
      <c r="AB436" s="50">
        <v>3</v>
      </c>
      <c r="AC436" s="50">
        <v>3</v>
      </c>
      <c r="AD436" s="50">
        <v>3</v>
      </c>
    </row>
    <row r="437" spans="1:30">
      <c r="A437" s="32" t="s">
        <v>550</v>
      </c>
      <c r="B437" s="33" t="s">
        <v>39</v>
      </c>
      <c r="C437" s="33" t="s">
        <v>39</v>
      </c>
      <c r="D437" s="33" t="s">
        <v>39</v>
      </c>
      <c r="E437" s="33" t="s">
        <v>39</v>
      </c>
      <c r="F437" s="45">
        <v>0</v>
      </c>
      <c r="G437" s="45">
        <v>0</v>
      </c>
      <c r="H437" s="33" t="s">
        <v>39</v>
      </c>
      <c r="I437" s="33" t="s">
        <v>39</v>
      </c>
      <c r="J437" s="45">
        <v>0</v>
      </c>
      <c r="K437" s="45">
        <v>0</v>
      </c>
      <c r="L437" s="45">
        <v>0</v>
      </c>
      <c r="M437" s="45">
        <v>0</v>
      </c>
      <c r="N437" s="45">
        <v>1.4383600000000001</v>
      </c>
      <c r="O437" s="45">
        <v>0.46</v>
      </c>
      <c r="P437" s="45">
        <v>1.64924</v>
      </c>
      <c r="Q437" s="45">
        <v>1.12999</v>
      </c>
      <c r="R437" s="45">
        <v>5.6755500000000003</v>
      </c>
      <c r="S437" s="45">
        <v>0.9</v>
      </c>
      <c r="T437" s="45">
        <v>0</v>
      </c>
      <c r="U437" s="45">
        <v>0</v>
      </c>
      <c r="V437" s="45">
        <v>8.6168399999999998</v>
      </c>
      <c r="W437" s="45">
        <v>7.9993999999999996</v>
      </c>
      <c r="X437" s="45">
        <v>8.2057500000000001</v>
      </c>
      <c r="Y437" s="45">
        <v>8.2487300000000001</v>
      </c>
      <c r="Z437" s="45">
        <v>8.2057500000000001</v>
      </c>
      <c r="AA437" s="45">
        <v>0.5</v>
      </c>
      <c r="AB437" s="45">
        <v>0.5</v>
      </c>
      <c r="AC437" s="45">
        <v>0.5</v>
      </c>
      <c r="AD437" s="45">
        <v>0.5</v>
      </c>
    </row>
    <row r="438" spans="1:30">
      <c r="A438" s="32" t="s">
        <v>551</v>
      </c>
      <c r="B438" s="33" t="s">
        <v>39</v>
      </c>
      <c r="C438" s="33" t="s">
        <v>39</v>
      </c>
      <c r="D438" s="33" t="s">
        <v>39</v>
      </c>
      <c r="E438" s="33" t="s">
        <v>39</v>
      </c>
      <c r="F438" s="33" t="s">
        <v>575</v>
      </c>
      <c r="G438" s="33" t="s">
        <v>575</v>
      </c>
      <c r="H438" s="33" t="s">
        <v>39</v>
      </c>
      <c r="I438" s="33" t="s">
        <v>39</v>
      </c>
      <c r="J438" s="33" t="s">
        <v>575</v>
      </c>
      <c r="K438" s="33" t="s">
        <v>575</v>
      </c>
      <c r="L438" s="33" t="s">
        <v>575</v>
      </c>
      <c r="M438" s="33" t="s">
        <v>575</v>
      </c>
      <c r="N438" s="33" t="s">
        <v>577</v>
      </c>
      <c r="O438" s="33" t="s">
        <v>587</v>
      </c>
      <c r="P438" s="33" t="s">
        <v>578</v>
      </c>
      <c r="Q438" s="33" t="s">
        <v>588</v>
      </c>
      <c r="R438" s="33" t="s">
        <v>628</v>
      </c>
      <c r="S438" s="33" t="s">
        <v>587</v>
      </c>
      <c r="T438" s="33" t="s">
        <v>573</v>
      </c>
      <c r="U438" s="33" t="s">
        <v>575</v>
      </c>
      <c r="V438" s="33" t="s">
        <v>578</v>
      </c>
      <c r="W438" s="33" t="s">
        <v>516</v>
      </c>
      <c r="X438" s="33" t="s">
        <v>516</v>
      </c>
      <c r="Y438" s="33" t="s">
        <v>776</v>
      </c>
      <c r="Z438" s="33" t="s">
        <v>776</v>
      </c>
      <c r="AA438" s="33" t="s">
        <v>587</v>
      </c>
      <c r="AB438" s="33" t="s">
        <v>587</v>
      </c>
      <c r="AC438" s="33" t="s">
        <v>587</v>
      </c>
      <c r="AD438" s="33" t="s">
        <v>587</v>
      </c>
    </row>
    <row r="439" spans="1:30">
      <c r="A439" s="32" t="s">
        <v>563</v>
      </c>
      <c r="B439" s="33" t="s">
        <v>39</v>
      </c>
      <c r="C439" s="33" t="s">
        <v>39</v>
      </c>
      <c r="D439" s="33" t="s">
        <v>39</v>
      </c>
      <c r="E439" s="33" t="s">
        <v>39</v>
      </c>
      <c r="F439" s="33" t="s">
        <v>564</v>
      </c>
      <c r="G439" s="33" t="s">
        <v>564</v>
      </c>
      <c r="H439" s="33" t="s">
        <v>39</v>
      </c>
      <c r="I439" s="33" t="s">
        <v>39</v>
      </c>
      <c r="J439" s="33" t="s">
        <v>564</v>
      </c>
      <c r="K439" s="33" t="s">
        <v>564</v>
      </c>
      <c r="L439" s="33" t="s">
        <v>564</v>
      </c>
      <c r="M439" s="33" t="s">
        <v>564</v>
      </c>
      <c r="N439" s="33" t="s">
        <v>564</v>
      </c>
      <c r="O439" s="33" t="s">
        <v>564</v>
      </c>
      <c r="P439" s="33" t="s">
        <v>564</v>
      </c>
      <c r="Q439" s="33" t="s">
        <v>564</v>
      </c>
      <c r="R439" s="33" t="s">
        <v>564</v>
      </c>
      <c r="S439" s="33" t="s">
        <v>564</v>
      </c>
      <c r="T439" s="33" t="s">
        <v>564</v>
      </c>
      <c r="U439" s="33" t="s">
        <v>564</v>
      </c>
      <c r="V439" s="33" t="s">
        <v>564</v>
      </c>
      <c r="W439" s="33" t="s">
        <v>564</v>
      </c>
      <c r="X439" s="33" t="s">
        <v>564</v>
      </c>
      <c r="Y439" s="33" t="s">
        <v>564</v>
      </c>
      <c r="Z439" s="33" t="s">
        <v>564</v>
      </c>
      <c r="AA439" s="33" t="s">
        <v>564</v>
      </c>
      <c r="AB439" s="33" t="s">
        <v>564</v>
      </c>
      <c r="AC439" s="33" t="s">
        <v>564</v>
      </c>
      <c r="AD439" s="33" t="s">
        <v>564</v>
      </c>
    </row>
    <row r="440" spans="1:30">
      <c r="A440" s="4" t="s">
        <v>681</v>
      </c>
      <c r="B440" s="49">
        <v>-86.49</v>
      </c>
      <c r="C440" s="49">
        <v>-81.227199999999996</v>
      </c>
      <c r="D440" s="49">
        <v>-23.8339</v>
      </c>
      <c r="E440" s="33" t="s">
        <v>39</v>
      </c>
      <c r="F440" s="33" t="s">
        <v>39</v>
      </c>
      <c r="G440" s="33" t="s">
        <v>39</v>
      </c>
      <c r="H440" s="33" t="s">
        <v>39</v>
      </c>
      <c r="I440" s="33" t="s">
        <v>39</v>
      </c>
      <c r="J440" s="33" t="s">
        <v>39</v>
      </c>
      <c r="K440" s="33" t="s">
        <v>39</v>
      </c>
      <c r="L440" s="33" t="s">
        <v>39</v>
      </c>
      <c r="M440" s="33" t="s">
        <v>39</v>
      </c>
      <c r="N440" s="33" t="s">
        <v>39</v>
      </c>
      <c r="O440" s="33" t="s">
        <v>39</v>
      </c>
      <c r="P440" s="33" t="s">
        <v>39</v>
      </c>
      <c r="Q440" s="49">
        <v>39.674500000000002</v>
      </c>
      <c r="R440" s="49">
        <v>29.5444</v>
      </c>
      <c r="S440" s="49">
        <v>-24.0457</v>
      </c>
      <c r="T440" s="49">
        <v>19.102</v>
      </c>
      <c r="U440" s="49">
        <v>34.498399999999997</v>
      </c>
      <c r="V440" s="50">
        <v>28.894939999999998</v>
      </c>
      <c r="W440" s="50">
        <v>20.792169999999999</v>
      </c>
      <c r="X440" s="50">
        <v>24.625229999999998</v>
      </c>
      <c r="Y440" s="50">
        <v>31.656939999999999</v>
      </c>
      <c r="Z440" s="50">
        <v>33.70185</v>
      </c>
      <c r="AA440" s="50">
        <v>25.096080000000001</v>
      </c>
      <c r="AB440" s="50">
        <v>31.297129999999999</v>
      </c>
      <c r="AC440" s="50">
        <v>39.931890000000003</v>
      </c>
      <c r="AD440" s="50">
        <v>39.263640000000002</v>
      </c>
    </row>
    <row r="441" spans="1:30">
      <c r="A441" s="32" t="s">
        <v>546</v>
      </c>
      <c r="B441" s="50">
        <v>-70.5</v>
      </c>
      <c r="C441" s="50">
        <v>-46.5</v>
      </c>
      <c r="D441" s="33" t="s">
        <v>39</v>
      </c>
      <c r="E441" s="33" t="s">
        <v>39</v>
      </c>
      <c r="F441" s="33" t="s">
        <v>39</v>
      </c>
      <c r="G441" s="33" t="s">
        <v>39</v>
      </c>
      <c r="H441" s="33" t="s">
        <v>39</v>
      </c>
      <c r="I441" s="33" t="s">
        <v>39</v>
      </c>
      <c r="J441" s="33" t="s">
        <v>39</v>
      </c>
      <c r="K441" s="33" t="s">
        <v>39</v>
      </c>
      <c r="L441" s="33" t="s">
        <v>39</v>
      </c>
      <c r="M441" s="33" t="s">
        <v>39</v>
      </c>
      <c r="N441" s="33" t="s">
        <v>39</v>
      </c>
      <c r="O441" s="33" t="s">
        <v>39</v>
      </c>
      <c r="P441" s="33" t="s">
        <v>39</v>
      </c>
      <c r="Q441" s="50">
        <v>34.011240000000001</v>
      </c>
      <c r="R441" s="50">
        <v>33.112020000000001</v>
      </c>
      <c r="S441" s="50">
        <v>19.494540000000001</v>
      </c>
      <c r="T441" s="50">
        <v>-13.51202</v>
      </c>
      <c r="U441" s="50">
        <v>22.180499999999999</v>
      </c>
      <c r="V441" s="33" t="s">
        <v>39</v>
      </c>
      <c r="W441" s="33" t="s">
        <v>39</v>
      </c>
      <c r="X441" s="33" t="s">
        <v>39</v>
      </c>
      <c r="Y441" s="33" t="s">
        <v>39</v>
      </c>
      <c r="Z441" s="33" t="s">
        <v>39</v>
      </c>
      <c r="AA441" s="33" t="s">
        <v>39</v>
      </c>
      <c r="AB441" s="33" t="s">
        <v>39</v>
      </c>
      <c r="AC441" s="33" t="s">
        <v>39</v>
      </c>
      <c r="AD441" s="33" t="s">
        <v>39</v>
      </c>
    </row>
    <row r="442" spans="1:30">
      <c r="A442" s="32" t="s">
        <v>547</v>
      </c>
      <c r="B442" s="50">
        <v>-70.5</v>
      </c>
      <c r="C442" s="50">
        <v>-46.5</v>
      </c>
      <c r="D442" s="33" t="s">
        <v>39</v>
      </c>
      <c r="E442" s="33" t="s">
        <v>39</v>
      </c>
      <c r="F442" s="33" t="s">
        <v>39</v>
      </c>
      <c r="G442" s="33" t="s">
        <v>39</v>
      </c>
      <c r="H442" s="33" t="s">
        <v>39</v>
      </c>
      <c r="I442" s="33" t="s">
        <v>39</v>
      </c>
      <c r="J442" s="33" t="s">
        <v>39</v>
      </c>
      <c r="K442" s="33" t="s">
        <v>39</v>
      </c>
      <c r="L442" s="33" t="s">
        <v>39</v>
      </c>
      <c r="M442" s="33" t="s">
        <v>39</v>
      </c>
      <c r="N442" s="33" t="s">
        <v>39</v>
      </c>
      <c r="O442" s="33" t="s">
        <v>39</v>
      </c>
      <c r="P442" s="33" t="s">
        <v>39</v>
      </c>
      <c r="Q442" s="50">
        <v>34.011240000000001</v>
      </c>
      <c r="R442" s="50">
        <v>33.112020000000001</v>
      </c>
      <c r="S442" s="50">
        <v>19.494540000000001</v>
      </c>
      <c r="T442" s="50">
        <v>-13.51202</v>
      </c>
      <c r="U442" s="50">
        <v>22.180499999999999</v>
      </c>
      <c r="V442" s="50">
        <v>28.894939999999998</v>
      </c>
      <c r="W442" s="50">
        <v>20.792169999999999</v>
      </c>
      <c r="X442" s="50">
        <v>24.625229999999998</v>
      </c>
      <c r="Y442" s="50">
        <v>31.656939999999999</v>
      </c>
      <c r="Z442" s="50">
        <v>33.70185</v>
      </c>
      <c r="AA442" s="50">
        <v>25.096080000000001</v>
      </c>
      <c r="AB442" s="50">
        <v>31.297129999999999</v>
      </c>
      <c r="AC442" s="50">
        <v>39.931890000000003</v>
      </c>
      <c r="AD442" s="50">
        <v>39.263640000000002</v>
      </c>
    </row>
    <row r="443" spans="1:30">
      <c r="A443" s="32" t="s">
        <v>548</v>
      </c>
      <c r="B443" s="50">
        <v>-70.5</v>
      </c>
      <c r="C443" s="50">
        <v>-46.5</v>
      </c>
      <c r="D443" s="33" t="s">
        <v>39</v>
      </c>
      <c r="E443" s="33" t="s">
        <v>39</v>
      </c>
      <c r="F443" s="33" t="s">
        <v>39</v>
      </c>
      <c r="G443" s="33" t="s">
        <v>39</v>
      </c>
      <c r="H443" s="33" t="s">
        <v>39</v>
      </c>
      <c r="I443" s="33" t="s">
        <v>39</v>
      </c>
      <c r="J443" s="33" t="s">
        <v>39</v>
      </c>
      <c r="K443" s="33" t="s">
        <v>39</v>
      </c>
      <c r="L443" s="33" t="s">
        <v>39</v>
      </c>
      <c r="M443" s="33" t="s">
        <v>39</v>
      </c>
      <c r="N443" s="33" t="s">
        <v>39</v>
      </c>
      <c r="O443" s="33" t="s">
        <v>39</v>
      </c>
      <c r="P443" s="33" t="s">
        <v>39</v>
      </c>
      <c r="Q443" s="50">
        <v>34.011240000000001</v>
      </c>
      <c r="R443" s="50">
        <v>33.112020000000001</v>
      </c>
      <c r="S443" s="50">
        <v>19.494540000000001</v>
      </c>
      <c r="T443" s="50">
        <v>-13.51202</v>
      </c>
      <c r="U443" s="50">
        <v>22.180499999999999</v>
      </c>
      <c r="V443" s="50">
        <v>28.894939999999998</v>
      </c>
      <c r="W443" s="50">
        <v>20.792169999999999</v>
      </c>
      <c r="X443" s="50">
        <v>24.625229999999998</v>
      </c>
      <c r="Y443" s="50">
        <v>31.656939999999999</v>
      </c>
      <c r="Z443" s="50">
        <v>33.70185</v>
      </c>
      <c r="AA443" s="50">
        <v>25.096080000000001</v>
      </c>
      <c r="AB443" s="50">
        <v>31.297129999999999</v>
      </c>
      <c r="AC443" s="50">
        <v>39.931890000000003</v>
      </c>
      <c r="AD443" s="50">
        <v>39.263640000000002</v>
      </c>
    </row>
    <row r="444" spans="1:30">
      <c r="A444" s="32" t="s">
        <v>549</v>
      </c>
      <c r="B444" s="50">
        <v>-70.5</v>
      </c>
      <c r="C444" s="50">
        <v>-46.5</v>
      </c>
      <c r="D444" s="33" t="s">
        <v>39</v>
      </c>
      <c r="E444" s="33" t="s">
        <v>39</v>
      </c>
      <c r="F444" s="33" t="s">
        <v>39</v>
      </c>
      <c r="G444" s="33" t="s">
        <v>39</v>
      </c>
      <c r="H444" s="33" t="s">
        <v>39</v>
      </c>
      <c r="I444" s="33" t="s">
        <v>39</v>
      </c>
      <c r="J444" s="33" t="s">
        <v>39</v>
      </c>
      <c r="K444" s="33" t="s">
        <v>39</v>
      </c>
      <c r="L444" s="33" t="s">
        <v>39</v>
      </c>
      <c r="M444" s="33" t="s">
        <v>39</v>
      </c>
      <c r="N444" s="33" t="s">
        <v>39</v>
      </c>
      <c r="O444" s="33" t="s">
        <v>39</v>
      </c>
      <c r="P444" s="33" t="s">
        <v>39</v>
      </c>
      <c r="Q444" s="50">
        <v>34.011240000000001</v>
      </c>
      <c r="R444" s="50">
        <v>33.112020000000001</v>
      </c>
      <c r="S444" s="50">
        <v>19.494540000000001</v>
      </c>
      <c r="T444" s="50">
        <v>-13.51202</v>
      </c>
      <c r="U444" s="50">
        <v>22.180499999999999</v>
      </c>
      <c r="V444" s="50">
        <v>28.894939999999998</v>
      </c>
      <c r="W444" s="50">
        <v>20.792169999999999</v>
      </c>
      <c r="X444" s="50">
        <v>24.625229999999998</v>
      </c>
      <c r="Y444" s="50">
        <v>31.656939999999999</v>
      </c>
      <c r="Z444" s="50">
        <v>33.70185</v>
      </c>
      <c r="AA444" s="50">
        <v>25.096080000000001</v>
      </c>
      <c r="AB444" s="50">
        <v>31.297129999999999</v>
      </c>
      <c r="AC444" s="50">
        <v>39.931890000000003</v>
      </c>
      <c r="AD444" s="50">
        <v>39.263640000000002</v>
      </c>
    </row>
    <row r="445" spans="1:30">
      <c r="A445" s="32" t="s">
        <v>550</v>
      </c>
      <c r="B445" s="45">
        <v>0</v>
      </c>
      <c r="C445" s="45">
        <v>0</v>
      </c>
      <c r="D445" s="33" t="s">
        <v>39</v>
      </c>
      <c r="E445" s="33" t="s">
        <v>39</v>
      </c>
      <c r="F445" s="33" t="s">
        <v>39</v>
      </c>
      <c r="G445" s="33" t="s">
        <v>39</v>
      </c>
      <c r="H445" s="33" t="s">
        <v>39</v>
      </c>
      <c r="I445" s="33" t="s">
        <v>39</v>
      </c>
      <c r="J445" s="33" t="s">
        <v>39</v>
      </c>
      <c r="K445" s="33" t="s">
        <v>39</v>
      </c>
      <c r="L445" s="33" t="s">
        <v>39</v>
      </c>
      <c r="M445" s="33" t="s">
        <v>39</v>
      </c>
      <c r="N445" s="33" t="s">
        <v>39</v>
      </c>
      <c r="O445" s="33" t="s">
        <v>39</v>
      </c>
      <c r="P445" s="33" t="s">
        <v>39</v>
      </c>
      <c r="Q445" s="45">
        <v>0</v>
      </c>
      <c r="R445" s="45">
        <v>0</v>
      </c>
      <c r="S445" s="45">
        <v>0</v>
      </c>
      <c r="T445" s="45">
        <v>0</v>
      </c>
      <c r="U445" s="45">
        <v>0</v>
      </c>
      <c r="V445" s="45">
        <v>0</v>
      </c>
      <c r="W445" s="45">
        <v>0</v>
      </c>
      <c r="X445" s="45">
        <v>0</v>
      </c>
      <c r="Y445" s="45">
        <v>0</v>
      </c>
      <c r="Z445" s="45">
        <v>0</v>
      </c>
      <c r="AA445" s="45">
        <v>0</v>
      </c>
      <c r="AB445" s="45">
        <v>0</v>
      </c>
      <c r="AC445" s="45">
        <v>0</v>
      </c>
      <c r="AD445" s="45">
        <v>0</v>
      </c>
    </row>
    <row r="446" spans="1:30">
      <c r="A446" s="32" t="s">
        <v>551</v>
      </c>
      <c r="B446" s="33" t="s">
        <v>575</v>
      </c>
      <c r="C446" s="33" t="s">
        <v>575</v>
      </c>
      <c r="D446" s="33" t="s">
        <v>39</v>
      </c>
      <c r="E446" s="33" t="s">
        <v>39</v>
      </c>
      <c r="F446" s="33" t="s">
        <v>39</v>
      </c>
      <c r="G446" s="33" t="s">
        <v>39</v>
      </c>
      <c r="H446" s="33" t="s">
        <v>39</v>
      </c>
      <c r="I446" s="33" t="s">
        <v>39</v>
      </c>
      <c r="J446" s="33" t="s">
        <v>39</v>
      </c>
      <c r="K446" s="33" t="s">
        <v>39</v>
      </c>
      <c r="L446" s="33" t="s">
        <v>39</v>
      </c>
      <c r="M446" s="33" t="s">
        <v>39</v>
      </c>
      <c r="N446" s="33" t="s">
        <v>39</v>
      </c>
      <c r="O446" s="33" t="s">
        <v>39</v>
      </c>
      <c r="P446" s="33" t="s">
        <v>39</v>
      </c>
      <c r="Q446" s="33" t="s">
        <v>573</v>
      </c>
      <c r="R446" s="33" t="s">
        <v>575</v>
      </c>
      <c r="S446" s="33" t="s">
        <v>573</v>
      </c>
      <c r="T446" s="33" t="s">
        <v>573</v>
      </c>
      <c r="U446" s="33" t="s">
        <v>573</v>
      </c>
      <c r="V446" s="33" t="s">
        <v>573</v>
      </c>
      <c r="W446" s="33" t="s">
        <v>573</v>
      </c>
      <c r="X446" s="33" t="s">
        <v>573</v>
      </c>
      <c r="Y446" s="33" t="s">
        <v>573</v>
      </c>
      <c r="Z446" s="33" t="s">
        <v>573</v>
      </c>
      <c r="AA446" s="33" t="s">
        <v>575</v>
      </c>
      <c r="AB446" s="33" t="s">
        <v>575</v>
      </c>
      <c r="AC446" s="33" t="s">
        <v>575</v>
      </c>
      <c r="AD446" s="33" t="s">
        <v>575</v>
      </c>
    </row>
    <row r="447" spans="1:30">
      <c r="A447" s="32" t="s">
        <v>563</v>
      </c>
      <c r="B447" s="33" t="s">
        <v>564</v>
      </c>
      <c r="C447" s="33" t="s">
        <v>564</v>
      </c>
      <c r="D447" s="33" t="s">
        <v>564</v>
      </c>
      <c r="E447" s="33" t="s">
        <v>39</v>
      </c>
      <c r="F447" s="33" t="s">
        <v>39</v>
      </c>
      <c r="G447" s="33" t="s">
        <v>39</v>
      </c>
      <c r="H447" s="33" t="s">
        <v>39</v>
      </c>
      <c r="I447" s="33" t="s">
        <v>39</v>
      </c>
      <c r="J447" s="33" t="s">
        <v>39</v>
      </c>
      <c r="K447" s="33" t="s">
        <v>39</v>
      </c>
      <c r="L447" s="33" t="s">
        <v>39</v>
      </c>
      <c r="M447" s="33" t="s">
        <v>39</v>
      </c>
      <c r="N447" s="33" t="s">
        <v>39</v>
      </c>
      <c r="O447" s="33" t="s">
        <v>39</v>
      </c>
      <c r="P447" s="33" t="s">
        <v>39</v>
      </c>
      <c r="Q447" s="33" t="s">
        <v>564</v>
      </c>
      <c r="R447" s="33" t="s">
        <v>564</v>
      </c>
      <c r="S447" s="33" t="s">
        <v>564</v>
      </c>
      <c r="T447" s="33" t="s">
        <v>564</v>
      </c>
      <c r="U447" s="33" t="s">
        <v>564</v>
      </c>
      <c r="V447" s="33" t="s">
        <v>564</v>
      </c>
      <c r="W447" s="33" t="s">
        <v>564</v>
      </c>
      <c r="X447" s="33" t="s">
        <v>564</v>
      </c>
      <c r="Y447" s="33" t="s">
        <v>564</v>
      </c>
      <c r="Z447" s="33" t="s">
        <v>564</v>
      </c>
      <c r="AA447" s="33" t="s">
        <v>564</v>
      </c>
      <c r="AB447" s="33" t="s">
        <v>564</v>
      </c>
      <c r="AC447" s="33" t="s">
        <v>564</v>
      </c>
      <c r="AD447" s="33" t="s">
        <v>564</v>
      </c>
    </row>
    <row r="448" spans="1:30">
      <c r="A448" s="4" t="s">
        <v>683</v>
      </c>
      <c r="B448" s="49">
        <v>-43.14</v>
      </c>
      <c r="C448" s="49">
        <v>-42.0715</v>
      </c>
      <c r="D448" s="49">
        <v>-11.627000000000001</v>
      </c>
      <c r="E448" s="33" t="s">
        <v>39</v>
      </c>
      <c r="F448" s="33" t="s">
        <v>39</v>
      </c>
      <c r="G448" s="33" t="s">
        <v>39</v>
      </c>
      <c r="H448" s="33" t="s">
        <v>39</v>
      </c>
      <c r="I448" s="33" t="s">
        <v>39</v>
      </c>
      <c r="J448" s="33" t="s">
        <v>39</v>
      </c>
      <c r="K448" s="33" t="s">
        <v>39</v>
      </c>
      <c r="L448" s="33" t="s">
        <v>39</v>
      </c>
      <c r="M448" s="33" t="s">
        <v>39</v>
      </c>
      <c r="N448" s="33" t="s">
        <v>39</v>
      </c>
      <c r="O448" s="33" t="s">
        <v>39</v>
      </c>
      <c r="P448" s="33" t="s">
        <v>39</v>
      </c>
      <c r="Q448" s="33" t="s">
        <v>39</v>
      </c>
      <c r="R448" s="33" t="s">
        <v>39</v>
      </c>
      <c r="S448" s="49">
        <v>-8.0257500000000004</v>
      </c>
      <c r="T448" s="33" t="s">
        <v>39</v>
      </c>
      <c r="U448" s="33" t="s">
        <v>39</v>
      </c>
      <c r="V448" s="33" t="s">
        <v>39</v>
      </c>
      <c r="W448" s="33" t="s">
        <v>39</v>
      </c>
      <c r="X448" s="33" t="s">
        <v>39</v>
      </c>
      <c r="Y448" s="33" t="s">
        <v>39</v>
      </c>
      <c r="Z448" s="33" t="s">
        <v>39</v>
      </c>
      <c r="AA448" s="33" t="s">
        <v>39</v>
      </c>
      <c r="AB448" s="33" t="s">
        <v>39</v>
      </c>
      <c r="AC448" s="33" t="s">
        <v>39</v>
      </c>
      <c r="AD448" s="33" t="s">
        <v>39</v>
      </c>
    </row>
    <row r="449" spans="1:30">
      <c r="A449" s="32" t="s">
        <v>546</v>
      </c>
      <c r="B449" s="50">
        <v>-27.7</v>
      </c>
      <c r="C449" s="50">
        <v>-25.3</v>
      </c>
      <c r="D449" s="33" t="s">
        <v>39</v>
      </c>
      <c r="E449" s="33" t="s">
        <v>39</v>
      </c>
      <c r="F449" s="33" t="s">
        <v>39</v>
      </c>
      <c r="G449" s="33" t="s">
        <v>39</v>
      </c>
      <c r="H449" s="33" t="s">
        <v>39</v>
      </c>
      <c r="I449" s="33" t="s">
        <v>39</v>
      </c>
      <c r="J449" s="33" t="s">
        <v>39</v>
      </c>
      <c r="K449" s="33" t="s">
        <v>39</v>
      </c>
      <c r="L449" s="33" t="s">
        <v>39</v>
      </c>
      <c r="M449" s="33" t="s">
        <v>39</v>
      </c>
      <c r="N449" s="33" t="s">
        <v>39</v>
      </c>
      <c r="O449" s="33" t="s">
        <v>39</v>
      </c>
      <c r="P449" s="33" t="s">
        <v>39</v>
      </c>
      <c r="Q449" s="33" t="s">
        <v>39</v>
      </c>
      <c r="R449" s="33" t="s">
        <v>39</v>
      </c>
      <c r="S449" s="33" t="s">
        <v>39</v>
      </c>
      <c r="T449" s="33" t="s">
        <v>39</v>
      </c>
      <c r="U449" s="33" t="s">
        <v>39</v>
      </c>
      <c r="V449" s="33" t="s">
        <v>39</v>
      </c>
      <c r="W449" s="33" t="s">
        <v>39</v>
      </c>
      <c r="X449" s="33" t="s">
        <v>39</v>
      </c>
      <c r="Y449" s="33" t="s">
        <v>39</v>
      </c>
      <c r="Z449" s="33" t="s">
        <v>39</v>
      </c>
      <c r="AA449" s="33" t="s">
        <v>39</v>
      </c>
      <c r="AB449" s="33" t="s">
        <v>39</v>
      </c>
      <c r="AC449" s="33" t="s">
        <v>39</v>
      </c>
      <c r="AD449" s="33" t="s">
        <v>39</v>
      </c>
    </row>
    <row r="450" spans="1:30">
      <c r="A450" s="32" t="s">
        <v>547</v>
      </c>
      <c r="B450" s="50">
        <v>-27.7</v>
      </c>
      <c r="C450" s="50">
        <v>-25.3</v>
      </c>
      <c r="D450" s="33" t="s">
        <v>39</v>
      </c>
      <c r="E450" s="33" t="s">
        <v>39</v>
      </c>
      <c r="F450" s="33" t="s">
        <v>39</v>
      </c>
      <c r="G450" s="33" t="s">
        <v>39</v>
      </c>
      <c r="H450" s="33" t="s">
        <v>39</v>
      </c>
      <c r="I450" s="33" t="s">
        <v>39</v>
      </c>
      <c r="J450" s="33" t="s">
        <v>39</v>
      </c>
      <c r="K450" s="33" t="s">
        <v>39</v>
      </c>
      <c r="L450" s="33" t="s">
        <v>39</v>
      </c>
      <c r="M450" s="33" t="s">
        <v>39</v>
      </c>
      <c r="N450" s="33" t="s">
        <v>39</v>
      </c>
      <c r="O450" s="33" t="s">
        <v>39</v>
      </c>
      <c r="P450" s="33" t="s">
        <v>39</v>
      </c>
      <c r="Q450" s="33" t="s">
        <v>39</v>
      </c>
      <c r="R450" s="33" t="s">
        <v>39</v>
      </c>
      <c r="S450" s="33" t="s">
        <v>39</v>
      </c>
      <c r="T450" s="33" t="s">
        <v>39</v>
      </c>
      <c r="U450" s="33" t="s">
        <v>39</v>
      </c>
      <c r="V450" s="33" t="s">
        <v>39</v>
      </c>
      <c r="W450" s="33" t="s">
        <v>39</v>
      </c>
      <c r="X450" s="33" t="s">
        <v>39</v>
      </c>
      <c r="Y450" s="33" t="s">
        <v>39</v>
      </c>
      <c r="Z450" s="33" t="s">
        <v>39</v>
      </c>
      <c r="AA450" s="33" t="s">
        <v>39</v>
      </c>
      <c r="AB450" s="33" t="s">
        <v>39</v>
      </c>
      <c r="AC450" s="33" t="s">
        <v>39</v>
      </c>
      <c r="AD450" s="33" t="s">
        <v>39</v>
      </c>
    </row>
    <row r="451" spans="1:30">
      <c r="A451" s="32" t="s">
        <v>548</v>
      </c>
      <c r="B451" s="50">
        <v>-27.7</v>
      </c>
      <c r="C451" s="50">
        <v>-25.3</v>
      </c>
      <c r="D451" s="33" t="s">
        <v>39</v>
      </c>
      <c r="E451" s="33" t="s">
        <v>39</v>
      </c>
      <c r="F451" s="33" t="s">
        <v>39</v>
      </c>
      <c r="G451" s="33" t="s">
        <v>39</v>
      </c>
      <c r="H451" s="33" t="s">
        <v>39</v>
      </c>
      <c r="I451" s="33" t="s">
        <v>39</v>
      </c>
      <c r="J451" s="33" t="s">
        <v>39</v>
      </c>
      <c r="K451" s="33" t="s">
        <v>39</v>
      </c>
      <c r="L451" s="33" t="s">
        <v>39</v>
      </c>
      <c r="M451" s="33" t="s">
        <v>39</v>
      </c>
      <c r="N451" s="33" t="s">
        <v>39</v>
      </c>
      <c r="O451" s="33" t="s">
        <v>39</v>
      </c>
      <c r="P451" s="33" t="s">
        <v>39</v>
      </c>
      <c r="Q451" s="33" t="s">
        <v>39</v>
      </c>
      <c r="R451" s="33" t="s">
        <v>39</v>
      </c>
      <c r="S451" s="33" t="s">
        <v>39</v>
      </c>
      <c r="T451" s="33" t="s">
        <v>39</v>
      </c>
      <c r="U451" s="33" t="s">
        <v>39</v>
      </c>
      <c r="V451" s="33" t="s">
        <v>39</v>
      </c>
      <c r="W451" s="33" t="s">
        <v>39</v>
      </c>
      <c r="X451" s="33" t="s">
        <v>39</v>
      </c>
      <c r="Y451" s="33" t="s">
        <v>39</v>
      </c>
      <c r="Z451" s="33" t="s">
        <v>39</v>
      </c>
      <c r="AA451" s="33" t="s">
        <v>39</v>
      </c>
      <c r="AB451" s="33" t="s">
        <v>39</v>
      </c>
      <c r="AC451" s="33" t="s">
        <v>39</v>
      </c>
      <c r="AD451" s="33" t="s">
        <v>39</v>
      </c>
    </row>
    <row r="452" spans="1:30">
      <c r="A452" s="32" t="s">
        <v>549</v>
      </c>
      <c r="B452" s="50">
        <v>-27.7</v>
      </c>
      <c r="C452" s="50">
        <v>-25.3</v>
      </c>
      <c r="D452" s="33" t="s">
        <v>39</v>
      </c>
      <c r="E452" s="33" t="s">
        <v>39</v>
      </c>
      <c r="F452" s="33" t="s">
        <v>39</v>
      </c>
      <c r="G452" s="33" t="s">
        <v>39</v>
      </c>
      <c r="H452" s="33" t="s">
        <v>39</v>
      </c>
      <c r="I452" s="33" t="s">
        <v>39</v>
      </c>
      <c r="J452" s="33" t="s">
        <v>39</v>
      </c>
      <c r="K452" s="33" t="s">
        <v>39</v>
      </c>
      <c r="L452" s="33" t="s">
        <v>39</v>
      </c>
      <c r="M452" s="33" t="s">
        <v>39</v>
      </c>
      <c r="N452" s="33" t="s">
        <v>39</v>
      </c>
      <c r="O452" s="33" t="s">
        <v>39</v>
      </c>
      <c r="P452" s="33" t="s">
        <v>39</v>
      </c>
      <c r="Q452" s="33" t="s">
        <v>39</v>
      </c>
      <c r="R452" s="33" t="s">
        <v>39</v>
      </c>
      <c r="S452" s="33" t="s">
        <v>39</v>
      </c>
      <c r="T452" s="33" t="s">
        <v>39</v>
      </c>
      <c r="U452" s="33" t="s">
        <v>39</v>
      </c>
      <c r="V452" s="33" t="s">
        <v>39</v>
      </c>
      <c r="W452" s="33" t="s">
        <v>39</v>
      </c>
      <c r="X452" s="33" t="s">
        <v>39</v>
      </c>
      <c r="Y452" s="33" t="s">
        <v>39</v>
      </c>
      <c r="Z452" s="33" t="s">
        <v>39</v>
      </c>
      <c r="AA452" s="33" t="s">
        <v>39</v>
      </c>
      <c r="AB452" s="33" t="s">
        <v>39</v>
      </c>
      <c r="AC452" s="33" t="s">
        <v>39</v>
      </c>
      <c r="AD452" s="33" t="s">
        <v>39</v>
      </c>
    </row>
    <row r="453" spans="1:30">
      <c r="A453" s="32" t="s">
        <v>550</v>
      </c>
      <c r="B453" s="45">
        <v>0</v>
      </c>
      <c r="C453" s="45">
        <v>0</v>
      </c>
      <c r="D453" s="33" t="s">
        <v>39</v>
      </c>
      <c r="E453" s="33" t="s">
        <v>39</v>
      </c>
      <c r="F453" s="33" t="s">
        <v>39</v>
      </c>
      <c r="G453" s="33" t="s">
        <v>39</v>
      </c>
      <c r="H453" s="33" t="s">
        <v>39</v>
      </c>
      <c r="I453" s="33" t="s">
        <v>39</v>
      </c>
      <c r="J453" s="33" t="s">
        <v>39</v>
      </c>
      <c r="K453" s="33" t="s">
        <v>39</v>
      </c>
      <c r="L453" s="33" t="s">
        <v>39</v>
      </c>
      <c r="M453" s="33" t="s">
        <v>39</v>
      </c>
      <c r="N453" s="33" t="s">
        <v>39</v>
      </c>
      <c r="O453" s="33" t="s">
        <v>39</v>
      </c>
      <c r="P453" s="33" t="s">
        <v>39</v>
      </c>
      <c r="Q453" s="33" t="s">
        <v>39</v>
      </c>
      <c r="R453" s="33" t="s">
        <v>39</v>
      </c>
      <c r="S453" s="33" t="s">
        <v>39</v>
      </c>
      <c r="T453" s="33" t="s">
        <v>39</v>
      </c>
      <c r="U453" s="33" t="s">
        <v>39</v>
      </c>
      <c r="V453" s="33" t="s">
        <v>39</v>
      </c>
      <c r="W453" s="33" t="s">
        <v>39</v>
      </c>
      <c r="X453" s="33" t="s">
        <v>39</v>
      </c>
      <c r="Y453" s="33" t="s">
        <v>39</v>
      </c>
      <c r="Z453" s="33" t="s">
        <v>39</v>
      </c>
      <c r="AA453" s="33" t="s">
        <v>39</v>
      </c>
      <c r="AB453" s="33" t="s">
        <v>39</v>
      </c>
      <c r="AC453" s="33" t="s">
        <v>39</v>
      </c>
      <c r="AD453" s="33" t="s">
        <v>39</v>
      </c>
    </row>
    <row r="454" spans="1:30">
      <c r="A454" s="32" t="s">
        <v>551</v>
      </c>
      <c r="B454" s="33" t="s">
        <v>575</v>
      </c>
      <c r="C454" s="33" t="s">
        <v>575</v>
      </c>
      <c r="D454" s="33" t="s">
        <v>39</v>
      </c>
      <c r="E454" s="33" t="s">
        <v>39</v>
      </c>
      <c r="F454" s="33" t="s">
        <v>39</v>
      </c>
      <c r="G454" s="33" t="s">
        <v>39</v>
      </c>
      <c r="H454" s="33" t="s">
        <v>39</v>
      </c>
      <c r="I454" s="33" t="s">
        <v>39</v>
      </c>
      <c r="J454" s="33" t="s">
        <v>39</v>
      </c>
      <c r="K454" s="33" t="s">
        <v>39</v>
      </c>
      <c r="L454" s="33" t="s">
        <v>39</v>
      </c>
      <c r="M454" s="33" t="s">
        <v>39</v>
      </c>
      <c r="N454" s="33" t="s">
        <v>39</v>
      </c>
      <c r="O454" s="33" t="s">
        <v>39</v>
      </c>
      <c r="P454" s="33" t="s">
        <v>39</v>
      </c>
      <c r="Q454" s="33" t="s">
        <v>39</v>
      </c>
      <c r="R454" s="33" t="s">
        <v>39</v>
      </c>
      <c r="S454" s="33" t="s">
        <v>39</v>
      </c>
      <c r="T454" s="33" t="s">
        <v>39</v>
      </c>
      <c r="U454" s="33" t="s">
        <v>39</v>
      </c>
      <c r="V454" s="33" t="s">
        <v>39</v>
      </c>
      <c r="W454" s="33" t="s">
        <v>39</v>
      </c>
      <c r="X454" s="33" t="s">
        <v>39</v>
      </c>
      <c r="Y454" s="33" t="s">
        <v>39</v>
      </c>
      <c r="Z454" s="33" t="s">
        <v>39</v>
      </c>
      <c r="AA454" s="33" t="s">
        <v>39</v>
      </c>
      <c r="AB454" s="33" t="s">
        <v>39</v>
      </c>
      <c r="AC454" s="33" t="s">
        <v>39</v>
      </c>
      <c r="AD454" s="33" t="s">
        <v>39</v>
      </c>
    </row>
    <row r="455" spans="1:30">
      <c r="A455" s="32" t="s">
        <v>563</v>
      </c>
      <c r="B455" s="33" t="s">
        <v>564</v>
      </c>
      <c r="C455" s="33" t="s">
        <v>564</v>
      </c>
      <c r="D455" s="33" t="s">
        <v>564</v>
      </c>
      <c r="E455" s="33" t="s">
        <v>39</v>
      </c>
      <c r="F455" s="33" t="s">
        <v>39</v>
      </c>
      <c r="G455" s="33" t="s">
        <v>39</v>
      </c>
      <c r="H455" s="33" t="s">
        <v>39</v>
      </c>
      <c r="I455" s="33" t="s">
        <v>39</v>
      </c>
      <c r="J455" s="33" t="s">
        <v>39</v>
      </c>
      <c r="K455" s="33" t="s">
        <v>39</v>
      </c>
      <c r="L455" s="33" t="s">
        <v>39</v>
      </c>
      <c r="M455" s="33" t="s">
        <v>39</v>
      </c>
      <c r="N455" s="33" t="s">
        <v>39</v>
      </c>
      <c r="O455" s="33" t="s">
        <v>39</v>
      </c>
      <c r="P455" s="33" t="s">
        <v>39</v>
      </c>
      <c r="Q455" s="33" t="s">
        <v>39</v>
      </c>
      <c r="R455" s="33" t="s">
        <v>39</v>
      </c>
      <c r="S455" s="33" t="s">
        <v>564</v>
      </c>
      <c r="T455" s="33" t="s">
        <v>39</v>
      </c>
      <c r="U455" s="33" t="s">
        <v>39</v>
      </c>
      <c r="V455" s="33" t="s">
        <v>39</v>
      </c>
      <c r="W455" s="33" t="s">
        <v>39</v>
      </c>
      <c r="X455" s="33" t="s">
        <v>39</v>
      </c>
      <c r="Y455" s="33" t="s">
        <v>39</v>
      </c>
      <c r="Z455" s="33" t="s">
        <v>39</v>
      </c>
      <c r="AA455" s="33" t="s">
        <v>39</v>
      </c>
      <c r="AB455" s="33" t="s">
        <v>39</v>
      </c>
      <c r="AC455" s="33" t="s">
        <v>39</v>
      </c>
      <c r="AD455" s="33" t="s">
        <v>39</v>
      </c>
    </row>
    <row r="456" spans="1:30">
      <c r="A456" s="32"/>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row>
    <row r="457" spans="1:30">
      <c r="A457" s="32"/>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row>
  </sheetData>
  <phoneticPr fontId="35" type="noConversion"/>
  <pageMargins left="0.25" right="0.25" top="0.75" bottom="0.75" header="0.3" footer="0.3"/>
  <pageSetup fitToWidth="0" fitToHeight="0" orientation="landscape" horizontalDpi="0" verticalDpi="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40848-CCC5-4721-A39B-2B885698CEDC}">
  <sheetPr>
    <tabColor theme="3"/>
  </sheetPr>
  <dimension ref="B1:G39"/>
  <sheetViews>
    <sheetView showGridLines="0" view="pageBreakPreview" zoomScale="60" zoomScaleNormal="76" workbookViewId="0">
      <selection activeCell="D37" sqref="D37"/>
    </sheetView>
  </sheetViews>
  <sheetFormatPr baseColWidth="10" defaultColWidth="8.83203125" defaultRowHeight="15"/>
  <cols>
    <col min="1" max="1" width="4.6640625" style="131" customWidth="1"/>
    <col min="2" max="2" width="45" style="131" customWidth="1"/>
    <col min="3" max="3" width="12.1640625" style="131" customWidth="1"/>
    <col min="4" max="4" width="107.1640625" style="131" customWidth="1"/>
    <col min="5" max="5" width="12.5" style="131" customWidth="1"/>
    <col min="6" max="16384" width="8.83203125" style="131"/>
  </cols>
  <sheetData>
    <row r="1" spans="2:6" ht="16" thickBot="1">
      <c r="C1" s="493"/>
    </row>
    <row r="2" spans="2:6">
      <c r="B2" s="641" t="s">
        <v>784</v>
      </c>
      <c r="C2" s="642"/>
      <c r="D2" s="600"/>
    </row>
    <row r="3" spans="2:6">
      <c r="B3" s="601" t="s">
        <v>785</v>
      </c>
      <c r="C3" s="602">
        <v>214.46</v>
      </c>
      <c r="D3" s="600"/>
    </row>
    <row r="4" spans="2:6">
      <c r="B4" s="603" t="s">
        <v>786</v>
      </c>
      <c r="C4" s="604">
        <v>1.17</v>
      </c>
      <c r="D4" s="600"/>
    </row>
    <row r="5" spans="2:6">
      <c r="B5" s="605" t="s">
        <v>787</v>
      </c>
      <c r="C5" s="604">
        <v>212.92</v>
      </c>
      <c r="D5" s="600"/>
    </row>
    <row r="6" spans="2:6">
      <c r="B6" s="606" t="s">
        <v>788</v>
      </c>
      <c r="C6" s="607">
        <v>0.45090000000000002</v>
      </c>
      <c r="D6" s="600"/>
    </row>
    <row r="7" spans="2:6">
      <c r="B7" s="600"/>
      <c r="C7" s="608"/>
      <c r="D7" s="600"/>
    </row>
    <row r="8" spans="2:6" ht="15" customHeight="1" thickBot="1">
      <c r="B8" s="600"/>
      <c r="C8" s="609"/>
      <c r="D8" s="600"/>
    </row>
    <row r="9" spans="2:6" ht="15" customHeight="1">
      <c r="B9" s="590" t="s">
        <v>789</v>
      </c>
      <c r="C9" s="591" t="s">
        <v>790</v>
      </c>
      <c r="D9" s="590" t="s">
        <v>791</v>
      </c>
    </row>
    <row r="10" spans="2:6" ht="24.5" customHeight="1">
      <c r="B10" s="610" t="s">
        <v>792</v>
      </c>
      <c r="C10" s="611">
        <v>96.01</v>
      </c>
      <c r="D10" s="690" t="s">
        <v>793</v>
      </c>
    </row>
    <row r="11" spans="2:6" ht="24.5" customHeight="1">
      <c r="B11" s="612" t="s">
        <v>226</v>
      </c>
      <c r="C11" s="613">
        <f>Comps!N44</f>
        <v>0.56099999999999994</v>
      </c>
      <c r="D11" s="691"/>
    </row>
    <row r="12" spans="2:6" ht="22.25" customHeight="1">
      <c r="B12" s="515" t="s">
        <v>794</v>
      </c>
      <c r="C12" s="614">
        <f>C10*(1+C11)</f>
        <v>149.87161</v>
      </c>
      <c r="D12" s="692"/>
    </row>
    <row r="13" spans="2:6" ht="15" customHeight="1">
      <c r="B13" s="615" t="s">
        <v>795</v>
      </c>
      <c r="C13" s="611">
        <v>6.1120000000000001</v>
      </c>
      <c r="D13" s="693" t="s">
        <v>796</v>
      </c>
    </row>
    <row r="14" spans="2:6" ht="15" customHeight="1">
      <c r="B14" s="616" t="s">
        <v>797</v>
      </c>
      <c r="C14" s="617">
        <v>0.75</v>
      </c>
      <c r="D14" s="694"/>
    </row>
    <row r="15" spans="2:6">
      <c r="B15" s="616" t="s">
        <v>798</v>
      </c>
      <c r="C15" s="618">
        <v>8.0459999999999994</v>
      </c>
      <c r="D15" s="694"/>
      <c r="F15" s="492"/>
    </row>
    <row r="16" spans="2:6" ht="15" customHeight="1">
      <c r="B16" s="616" t="s">
        <v>799</v>
      </c>
      <c r="C16" s="617">
        <v>0.75</v>
      </c>
      <c r="D16" s="695"/>
    </row>
    <row r="17" spans="2:4">
      <c r="B17" s="512" t="s">
        <v>800</v>
      </c>
      <c r="C17" s="513">
        <f>C13*C14+C15*C16</f>
        <v>10.618499999999999</v>
      </c>
      <c r="D17" s="696" t="s">
        <v>801</v>
      </c>
    </row>
    <row r="18" spans="2:4">
      <c r="B18" s="520" t="s">
        <v>802</v>
      </c>
      <c r="C18" s="619">
        <f>'Comps Capital Structure'!B8</f>
        <v>1.4278000000000002</v>
      </c>
      <c r="D18" s="697"/>
    </row>
    <row r="19" spans="2:4">
      <c r="B19" s="520" t="s">
        <v>803</v>
      </c>
      <c r="C19" s="619">
        <f>'Comps Capital Structure'!B10</f>
        <v>0.52300000000000002</v>
      </c>
      <c r="D19" s="697"/>
    </row>
    <row r="20" spans="2:4">
      <c r="B20" s="520" t="s">
        <v>804</v>
      </c>
      <c r="C20" s="620">
        <v>18.483000000000001</v>
      </c>
      <c r="D20" s="697"/>
    </row>
    <row r="21" spans="2:4" ht="15" customHeight="1">
      <c r="B21" s="514" t="s">
        <v>805</v>
      </c>
      <c r="C21" s="621">
        <f>C20*(C18-C19)</f>
        <v>16.723418400000003</v>
      </c>
      <c r="D21" s="698"/>
    </row>
    <row r="22" spans="2:4">
      <c r="B22" s="512" t="s">
        <v>806</v>
      </c>
      <c r="C22" s="622">
        <f>C12-C17-C21</f>
        <v>122.52969159999999</v>
      </c>
      <c r="D22" s="696" t="s">
        <v>807</v>
      </c>
    </row>
    <row r="23" spans="2:4">
      <c r="B23" s="520" t="s">
        <v>808</v>
      </c>
      <c r="C23" s="620">
        <f>C22/C3</f>
        <v>0.57134053716310729</v>
      </c>
      <c r="D23" s="697"/>
    </row>
    <row r="24" spans="2:4">
      <c r="B24" s="511" t="s">
        <v>809</v>
      </c>
      <c r="C24" s="623">
        <f>C23/C6</f>
        <v>1.267111415309619</v>
      </c>
      <c r="D24" s="698"/>
    </row>
    <row r="25" spans="2:4">
      <c r="B25" s="600"/>
      <c r="C25" s="609"/>
      <c r="D25" s="600"/>
    </row>
    <row r="26" spans="2:4">
      <c r="B26" s="594" t="s">
        <v>810</v>
      </c>
      <c r="C26" s="624" t="s">
        <v>790</v>
      </c>
      <c r="D26" s="625" t="s">
        <v>791</v>
      </c>
    </row>
    <row r="27" spans="2:4" ht="14.5" customHeight="1">
      <c r="B27" s="512" t="s">
        <v>811</v>
      </c>
      <c r="C27" s="567">
        <f>C17/C12</f>
        <v>7.0850643427397622E-2</v>
      </c>
      <c r="D27" s="626"/>
    </row>
    <row r="28" spans="2:4">
      <c r="B28" s="566" t="s">
        <v>812</v>
      </c>
      <c r="C28" s="568">
        <f>C21/C12</f>
        <v>0.11158496529129168</v>
      </c>
      <c r="D28" s="627"/>
    </row>
    <row r="29" spans="2:4">
      <c r="B29" s="514" t="s">
        <v>813</v>
      </c>
      <c r="C29" s="569">
        <f>C22/C12</f>
        <v>0.81756439128131064</v>
      </c>
      <c r="D29" s="628"/>
    </row>
    <row r="30" spans="2:4" ht="16" thickBot="1"/>
    <row r="31" spans="2:4">
      <c r="B31" s="590" t="s">
        <v>814</v>
      </c>
      <c r="C31" s="591" t="s">
        <v>790</v>
      </c>
      <c r="D31" s="590" t="s">
        <v>815</v>
      </c>
    </row>
    <row r="32" spans="2:4" ht="16">
      <c r="B32" s="516" t="s">
        <v>816</v>
      </c>
      <c r="C32" s="629">
        <v>1.1000000000000001E-3</v>
      </c>
      <c r="D32" s="595" t="s">
        <v>817</v>
      </c>
    </row>
    <row r="33" spans="2:7" ht="16">
      <c r="B33" s="517" t="s">
        <v>81</v>
      </c>
      <c r="C33" s="531">
        <v>2.1999999999999999E-2</v>
      </c>
      <c r="D33" s="596" t="s">
        <v>818</v>
      </c>
    </row>
    <row r="34" spans="2:7" ht="16">
      <c r="B34" s="519" t="s">
        <v>819</v>
      </c>
      <c r="C34" s="630">
        <f>C37*C38+C39</f>
        <v>7.4200000000000002E-2</v>
      </c>
      <c r="D34" s="597" t="s">
        <v>820</v>
      </c>
    </row>
    <row r="35" spans="2:7" ht="16" thickBot="1"/>
    <row r="36" spans="2:7">
      <c r="B36" s="688" t="s">
        <v>821</v>
      </c>
      <c r="C36" s="689"/>
      <c r="G36" s="156"/>
    </row>
    <row r="37" spans="2:7">
      <c r="B37" s="510" t="s">
        <v>83</v>
      </c>
      <c r="C37" s="293">
        <v>1.0900000000000001</v>
      </c>
    </row>
    <row r="38" spans="2:7">
      <c r="B38" s="520" t="s">
        <v>822</v>
      </c>
      <c r="C38" s="518">
        <v>0.06</v>
      </c>
    </row>
    <row r="39" spans="2:7">
      <c r="B39" s="511" t="s">
        <v>823</v>
      </c>
      <c r="C39" s="154">
        <v>8.8000000000000005E-3</v>
      </c>
    </row>
  </sheetData>
  <mergeCells count="6">
    <mergeCell ref="B36:C36"/>
    <mergeCell ref="B2:C2"/>
    <mergeCell ref="D10:D12"/>
    <mergeCell ref="D13:D16"/>
    <mergeCell ref="D17:D21"/>
    <mergeCell ref="D22:D24"/>
  </mergeCells>
  <phoneticPr fontId="35" type="noConversion"/>
  <pageMargins left="0.7" right="0.7" top="0.75" bottom="0.75" header="0.3" footer="0.3"/>
  <pageSetup scale="46"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C8B52-3D22-45E6-9C95-E60013037E66}">
  <sheetPr>
    <tabColor theme="3"/>
  </sheetPr>
  <dimension ref="B3:H29"/>
  <sheetViews>
    <sheetView showGridLines="0" view="pageBreakPreview" zoomScale="60" zoomScaleNormal="76" workbookViewId="0">
      <selection activeCell="H19" sqref="H19:H20"/>
    </sheetView>
  </sheetViews>
  <sheetFormatPr baseColWidth="10" defaultColWidth="8.83203125" defaultRowHeight="15"/>
  <cols>
    <col min="1" max="1" width="4.5" style="131" customWidth="1"/>
    <col min="2" max="2" width="46.5" style="131" bestFit="1" customWidth="1"/>
    <col min="3" max="3" width="8.83203125" style="131"/>
    <col min="4" max="4" width="120" style="131" customWidth="1"/>
    <col min="5" max="5" width="8.83203125" style="131"/>
    <col min="6" max="6" width="16.5" style="131" bestFit="1" customWidth="1"/>
    <col min="7" max="7" width="13.5" style="131" customWidth="1"/>
    <col min="8" max="8" width="14.1640625" style="131" customWidth="1"/>
    <col min="9" max="16384" width="8.83203125" style="131"/>
  </cols>
  <sheetData>
    <row r="3" spans="2:8">
      <c r="B3" s="699" t="s">
        <v>824</v>
      </c>
      <c r="C3" s="700"/>
      <c r="D3" s="598" t="s">
        <v>815</v>
      </c>
      <c r="E3" s="631"/>
      <c r="F3" s="523" t="s">
        <v>825</v>
      </c>
      <c r="G3" s="632" t="s">
        <v>826</v>
      </c>
      <c r="H3" s="633" t="s">
        <v>827</v>
      </c>
    </row>
    <row r="4" spans="2:8">
      <c r="B4" s="510" t="s">
        <v>828</v>
      </c>
      <c r="C4" s="533">
        <f>'Deal Design'!C3</f>
        <v>214.46</v>
      </c>
      <c r="D4" s="146"/>
      <c r="F4" s="289">
        <v>60</v>
      </c>
      <c r="G4" s="528">
        <f t="shared" ref="G4:G10" si="0">-($C$6/$C$7)+($C$15)/($C$4*$C$7)*F4</f>
        <v>0.75901918994537176</v>
      </c>
      <c r="H4" s="527">
        <f t="shared" ref="H4:H10" si="1">$C$5*$C$6/(F4*($C$15)-$C$5*$C$7)</f>
        <v>1.091133483229795</v>
      </c>
    </row>
    <row r="5" spans="2:8">
      <c r="B5" s="520" t="s">
        <v>829</v>
      </c>
      <c r="C5" s="534">
        <f>'Deal Design'!C5</f>
        <v>212.92</v>
      </c>
      <c r="D5" s="146"/>
      <c r="F5" s="101">
        <f>F4+9</f>
        <v>69</v>
      </c>
      <c r="G5" s="529">
        <f t="shared" si="0"/>
        <v>1.2620936253234052</v>
      </c>
      <c r="H5" s="525">
        <f t="shared" si="1"/>
        <v>0.89947667366541373</v>
      </c>
    </row>
    <row r="6" spans="2:8">
      <c r="B6" s="520" t="s">
        <v>830</v>
      </c>
      <c r="C6" s="534">
        <f>'Deal Design'!C4</f>
        <v>1.17</v>
      </c>
      <c r="D6" s="146"/>
      <c r="F6" s="101">
        <f t="shared" ref="F6:F10" si="2">F5+9</f>
        <v>78</v>
      </c>
      <c r="G6" s="529">
        <f t="shared" si="0"/>
        <v>1.7651680607014382</v>
      </c>
      <c r="H6" s="525">
        <f t="shared" si="1"/>
        <v>0.76508929131565073</v>
      </c>
    </row>
    <row r="7" spans="2:8">
      <c r="B7" s="511" t="s">
        <v>831</v>
      </c>
      <c r="C7" s="535">
        <f>'Deal Design'!C6</f>
        <v>0.45090000000000002</v>
      </c>
      <c r="D7" s="301"/>
      <c r="F7" s="101">
        <f t="shared" si="2"/>
        <v>87</v>
      </c>
      <c r="G7" s="529">
        <f t="shared" si="0"/>
        <v>2.2682424960794711</v>
      </c>
      <c r="H7" s="525">
        <f t="shared" si="1"/>
        <v>0.66563874312652194</v>
      </c>
    </row>
    <row r="8" spans="2:8">
      <c r="F8" s="101">
        <f t="shared" si="2"/>
        <v>96</v>
      </c>
      <c r="G8" s="529">
        <f t="shared" si="0"/>
        <v>2.771316931457505</v>
      </c>
      <c r="H8" s="525">
        <f t="shared" si="1"/>
        <v>0.58906837022412972</v>
      </c>
    </row>
    <row r="9" spans="2:8">
      <c r="B9" s="699" t="s">
        <v>832</v>
      </c>
      <c r="C9" s="700"/>
      <c r="D9" s="598" t="s">
        <v>815</v>
      </c>
      <c r="F9" s="101">
        <f t="shared" si="2"/>
        <v>105</v>
      </c>
      <c r="G9" s="529">
        <f t="shared" si="0"/>
        <v>3.274391366835538</v>
      </c>
      <c r="H9" s="525">
        <f t="shared" si="1"/>
        <v>0.52829683859111087</v>
      </c>
    </row>
    <row r="10" spans="2:8">
      <c r="B10" s="521" t="s">
        <v>833</v>
      </c>
      <c r="C10" s="533">
        <v>5.6418999999999997</v>
      </c>
      <c r="D10" s="706" t="s">
        <v>834</v>
      </c>
      <c r="F10" s="105">
        <f t="shared" si="2"/>
        <v>114</v>
      </c>
      <c r="G10" s="530">
        <f t="shared" si="0"/>
        <v>3.777465802213571</v>
      </c>
      <c r="H10" s="526">
        <f t="shared" si="1"/>
        <v>0.47889173443190047</v>
      </c>
    </row>
    <row r="11" spans="2:8">
      <c r="B11" s="101" t="s">
        <v>835</v>
      </c>
      <c r="C11" s="534">
        <f>('Synergy Adjustments'!H9+'Synergy Adjustments'!H16+'Synergy Adjustments'!H53)/1000</f>
        <v>0.38366620195732409</v>
      </c>
      <c r="D11" s="707"/>
    </row>
    <row r="12" spans="2:8">
      <c r="B12" s="101" t="s">
        <v>836</v>
      </c>
      <c r="C12" s="534">
        <f>('Deal Design'!C17*'Deal Design'!C32+'Deal Design'!C21*'Deal Design'!C33)</f>
        <v>0.37959555480000007</v>
      </c>
      <c r="D12" s="707"/>
      <c r="G12" s="522"/>
      <c r="H12" s="522"/>
    </row>
    <row r="13" spans="2:8">
      <c r="B13" s="101" t="s">
        <v>837</v>
      </c>
      <c r="C13" s="534">
        <f>'Deal Design'!C12*0.0016</f>
        <v>0.23979457600000001</v>
      </c>
      <c r="D13" s="707"/>
      <c r="G13" s="522"/>
      <c r="H13" s="522"/>
    </row>
    <row r="14" spans="2:8">
      <c r="B14" s="101" t="s">
        <v>838</v>
      </c>
      <c r="C14" s="531">
        <v>0.22600000000000001</v>
      </c>
      <c r="D14" s="707"/>
    </row>
    <row r="15" spans="2:8">
      <c r="B15" s="105" t="s">
        <v>839</v>
      </c>
      <c r="C15" s="530">
        <f>C10+(C11-C12)*(1-C14)-C13</f>
        <v>5.4052561048997685</v>
      </c>
      <c r="D15" s="708"/>
    </row>
    <row r="16" spans="2:8" ht="14.5" customHeight="1"/>
    <row r="17" spans="2:4" ht="13.25" customHeight="1">
      <c r="B17" s="699" t="s">
        <v>840</v>
      </c>
      <c r="C17" s="700"/>
      <c r="D17" s="598" t="s">
        <v>815</v>
      </c>
    </row>
    <row r="18" spans="2:4" ht="25.75" customHeight="1">
      <c r="B18" s="101" t="s">
        <v>841</v>
      </c>
      <c r="C18" s="536">
        <v>54.87</v>
      </c>
      <c r="D18" s="709" t="s">
        <v>842</v>
      </c>
    </row>
    <row r="19" spans="2:4" ht="25.75" customHeight="1">
      <c r="B19" s="101" t="s">
        <v>843</v>
      </c>
      <c r="C19" s="537">
        <v>337.22</v>
      </c>
      <c r="D19" s="709"/>
    </row>
    <row r="20" spans="2:4" ht="23.5" customHeight="1">
      <c r="B20" s="532" t="s">
        <v>844</v>
      </c>
      <c r="C20" s="538">
        <f>C18*0.85+C19*0.15</f>
        <v>97.222499999999997</v>
      </c>
      <c r="D20" s="710"/>
    </row>
    <row r="21" spans="2:4">
      <c r="B21" s="491"/>
    </row>
    <row r="22" spans="2:4">
      <c r="B22" s="701" t="s">
        <v>845</v>
      </c>
      <c r="C22" s="702"/>
      <c r="D22" s="598" t="s">
        <v>815</v>
      </c>
    </row>
    <row r="23" spans="2:4" ht="30" customHeight="1">
      <c r="B23" s="521" t="s">
        <v>846</v>
      </c>
      <c r="C23" s="528">
        <f>-(C6/C7)+(C15*C20-'Deal Design'!C17-'Deal Design'!C21)/(C4*C7)</f>
        <v>2.5569013181178826</v>
      </c>
      <c r="D23" s="711" t="s">
        <v>847</v>
      </c>
    </row>
    <row r="24" spans="2:4" ht="28.25" customHeight="1">
      <c r="B24" s="105" t="s">
        <v>848</v>
      </c>
      <c r="C24" s="530">
        <f>C5*C6/((C20*C15-'Deal Design'!C17-'Deal Design'!C21)-C5*C7)</f>
        <v>0.61943834376473406</v>
      </c>
      <c r="D24" s="710"/>
    </row>
    <row r="26" spans="2:4">
      <c r="B26" s="701" t="s">
        <v>849</v>
      </c>
      <c r="C26" s="702"/>
      <c r="D26" s="634" t="s">
        <v>815</v>
      </c>
    </row>
    <row r="27" spans="2:4">
      <c r="B27" s="570" t="s">
        <v>850</v>
      </c>
      <c r="C27" s="528">
        <f>'Deal Design'!C17+'Deal Design'!C21</f>
        <v>27.341918400000004</v>
      </c>
      <c r="D27" s="703" t="s">
        <v>851</v>
      </c>
    </row>
    <row r="28" spans="2:4">
      <c r="B28" s="521" t="s">
        <v>852</v>
      </c>
      <c r="C28" s="565">
        <f>C27/'Deal Design'!C12</f>
        <v>0.1824356087186893</v>
      </c>
      <c r="D28" s="704"/>
    </row>
    <row r="29" spans="2:4">
      <c r="B29" s="571" t="s">
        <v>853</v>
      </c>
      <c r="C29" s="530">
        <f>C28*'Football Fields'!O7*'Exchange Ratios'!C7</f>
        <v>45.914074282031066</v>
      </c>
      <c r="D29" s="705"/>
    </row>
  </sheetData>
  <mergeCells count="9">
    <mergeCell ref="B3:C3"/>
    <mergeCell ref="B9:C9"/>
    <mergeCell ref="B17:C17"/>
    <mergeCell ref="B26:C26"/>
    <mergeCell ref="D27:D29"/>
    <mergeCell ref="B22:C22"/>
    <mergeCell ref="D10:D15"/>
    <mergeCell ref="D18:D20"/>
    <mergeCell ref="D23:D24"/>
  </mergeCells>
  <phoneticPr fontId="35" type="noConversion"/>
  <pageMargins left="0.7" right="0.7" top="0.75" bottom="0.75" header="0.3" footer="0.3"/>
  <pageSetup scale="35"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0FD6D-E151-2143-9A91-B3A7DC081948}">
  <sheetPr>
    <tabColor theme="3"/>
  </sheetPr>
  <dimension ref="B2:N38"/>
  <sheetViews>
    <sheetView showGridLines="0" view="pageBreakPreview" zoomScale="60" zoomScaleNormal="75" workbookViewId="0">
      <selection activeCell="B9" sqref="B9"/>
    </sheetView>
  </sheetViews>
  <sheetFormatPr baseColWidth="10" defaultColWidth="11.5" defaultRowHeight="15"/>
  <cols>
    <col min="1" max="1" width="5.33203125" style="131" customWidth="1"/>
    <col min="2" max="2" width="29.83203125" style="131" customWidth="1"/>
    <col min="3" max="3" width="13" style="131" customWidth="1"/>
    <col min="4" max="4" width="10" style="131" customWidth="1"/>
    <col min="5" max="6" width="14.83203125" style="131" customWidth="1"/>
    <col min="7" max="16384" width="11.5" style="131"/>
  </cols>
  <sheetData>
    <row r="2" spans="2:14">
      <c r="B2" s="572"/>
      <c r="C2" s="573" t="s">
        <v>854</v>
      </c>
      <c r="D2" s="574" t="s">
        <v>855</v>
      </c>
      <c r="E2" s="712" t="s">
        <v>815</v>
      </c>
      <c r="F2" s="713"/>
      <c r="H2" s="699" t="s">
        <v>815</v>
      </c>
      <c r="I2" s="700"/>
      <c r="J2" s="700"/>
      <c r="K2" s="700"/>
      <c r="L2" s="700"/>
      <c r="M2" s="700"/>
      <c r="N2" s="714"/>
    </row>
    <row r="3" spans="2:14" ht="14.5" customHeight="1">
      <c r="B3" s="516" t="s">
        <v>856</v>
      </c>
      <c r="C3" s="548">
        <f>'Exchange Ratios'!C10-'Exchange Ratios'!C12*(1-'Exchange Ratios'!C14)</f>
        <v>5.3480930405848</v>
      </c>
      <c r="D3" s="546">
        <f>'Exchange Ratios'!C11*(1-'Exchange Ratios'!C13)</f>
        <v>0.29166512773343722</v>
      </c>
      <c r="E3" s="724" t="s">
        <v>857</v>
      </c>
      <c r="F3" s="706"/>
      <c r="H3" s="715" t="s">
        <v>858</v>
      </c>
      <c r="I3" s="716"/>
      <c r="J3" s="716"/>
      <c r="K3" s="716"/>
      <c r="L3" s="716"/>
      <c r="M3" s="716"/>
      <c r="N3" s="711"/>
    </row>
    <row r="4" spans="2:14">
      <c r="B4" s="517" t="s">
        <v>859</v>
      </c>
      <c r="C4" s="549">
        <f>'Exchange Ratios'!C6</f>
        <v>1.17</v>
      </c>
      <c r="D4" s="541">
        <f>'Exchange Ratios'!C7</f>
        <v>0.45090000000000002</v>
      </c>
      <c r="E4" s="725"/>
      <c r="F4" s="707"/>
      <c r="H4" s="717"/>
      <c r="I4" s="718"/>
      <c r="J4" s="718"/>
      <c r="K4" s="718"/>
      <c r="L4" s="718"/>
      <c r="M4" s="718"/>
      <c r="N4" s="709"/>
    </row>
    <row r="5" spans="2:14">
      <c r="B5" s="517" t="s">
        <v>860</v>
      </c>
      <c r="C5" s="549">
        <f>'Exchange Ratios'!C18</f>
        <v>54.87</v>
      </c>
      <c r="D5" s="541">
        <f>'Exchange Ratios'!C19</f>
        <v>337.22</v>
      </c>
      <c r="E5" s="725"/>
      <c r="F5" s="707"/>
      <c r="H5" s="719"/>
      <c r="I5" s="720"/>
      <c r="J5" s="720"/>
      <c r="K5" s="720"/>
      <c r="L5" s="720"/>
      <c r="M5" s="720"/>
      <c r="N5" s="710"/>
    </row>
    <row r="6" spans="2:14">
      <c r="B6" s="517" t="s">
        <v>861</v>
      </c>
      <c r="C6" s="539">
        <f>0.16%</f>
        <v>1.6000000000000001E-3</v>
      </c>
      <c r="D6" s="541"/>
      <c r="E6" s="725"/>
      <c r="F6" s="707"/>
    </row>
    <row r="7" spans="2:14">
      <c r="B7" s="517" t="s">
        <v>862</v>
      </c>
      <c r="C7" s="550">
        <f>C3/C4</f>
        <v>4.5710196928075213</v>
      </c>
      <c r="D7" s="541">
        <f>D3/D4</f>
        <v>0.64685102624403901</v>
      </c>
      <c r="E7" s="725"/>
      <c r="F7" s="707"/>
      <c r="H7" s="699" t="s">
        <v>863</v>
      </c>
      <c r="I7" s="700"/>
      <c r="J7" s="700"/>
      <c r="K7" s="700"/>
      <c r="L7" s="700"/>
      <c r="M7" s="700"/>
      <c r="N7" s="714"/>
    </row>
    <row r="8" spans="2:14">
      <c r="B8" s="519" t="s">
        <v>864</v>
      </c>
      <c r="C8" s="551">
        <f>'Exchange Ratios'!C4</f>
        <v>214.46</v>
      </c>
      <c r="D8" s="547">
        <f>'Exchange Ratios'!C5</f>
        <v>212.92</v>
      </c>
      <c r="E8" s="726"/>
      <c r="F8" s="708"/>
      <c r="H8" s="553"/>
      <c r="I8" s="554"/>
      <c r="J8" s="721" t="s">
        <v>865</v>
      </c>
      <c r="K8" s="721"/>
      <c r="L8" s="721"/>
      <c r="M8" s="721"/>
      <c r="N8" s="722"/>
    </row>
    <row r="9" spans="2:14">
      <c r="H9" s="553"/>
      <c r="I9" s="516"/>
      <c r="J9" s="561">
        <v>0.36</v>
      </c>
      <c r="K9" s="561">
        <f>J9+0.1</f>
        <v>0.45999999999999996</v>
      </c>
      <c r="L9" s="561">
        <f t="shared" ref="L9:N9" si="0">K9+0.1</f>
        <v>0.55999999999999994</v>
      </c>
      <c r="M9" s="561">
        <f t="shared" si="0"/>
        <v>0.65999999999999992</v>
      </c>
      <c r="N9" s="562">
        <f t="shared" si="0"/>
        <v>0.7599999999999999</v>
      </c>
    </row>
    <row r="10" spans="2:14">
      <c r="C10" s="522"/>
      <c r="D10" s="522"/>
      <c r="H10" s="723" t="s">
        <v>866</v>
      </c>
      <c r="I10" s="563">
        <f t="shared" ref="I10" si="1">I11-0.09</f>
        <v>0.11166512773343723</v>
      </c>
      <c r="J10" s="558">
        <f t="shared" ref="J10:N14" si="2">(($C$3+$I10-$C$6*($D$8*(1+J$9)*$D$4))/$C$22)/$C$7-1</f>
        <v>-0.3403207813351905</v>
      </c>
      <c r="K10" s="559">
        <f t="shared" si="2"/>
        <v>-0.34225061497689924</v>
      </c>
      <c r="L10" s="559">
        <f t="shared" si="2"/>
        <v>-0.34418044861860786</v>
      </c>
      <c r="M10" s="559">
        <f t="shared" si="2"/>
        <v>-0.34611028226031659</v>
      </c>
      <c r="N10" s="540">
        <f t="shared" si="2"/>
        <v>-0.34804011590202522</v>
      </c>
    </row>
    <row r="11" spans="2:14">
      <c r="B11" s="699" t="s">
        <v>867</v>
      </c>
      <c r="C11" s="700"/>
      <c r="D11" s="522"/>
      <c r="H11" s="723"/>
      <c r="I11" s="563">
        <f>I12-0.09</f>
        <v>0.20166512773343723</v>
      </c>
      <c r="J11" s="552">
        <f t="shared" si="2"/>
        <v>-0.32901382521110634</v>
      </c>
      <c r="K11" s="555">
        <f t="shared" si="2"/>
        <v>-0.33094365885281507</v>
      </c>
      <c r="L11" s="555">
        <f t="shared" si="2"/>
        <v>-0.33287349249452369</v>
      </c>
      <c r="M11" s="555">
        <f t="shared" si="2"/>
        <v>-0.33480332613623254</v>
      </c>
      <c r="N11" s="556">
        <f t="shared" si="2"/>
        <v>-0.33673315977794116</v>
      </c>
    </row>
    <row r="12" spans="2:14">
      <c r="B12" s="516" t="s">
        <v>868</v>
      </c>
      <c r="C12" s="542">
        <f>'Deal Design'!C11</f>
        <v>0.56099999999999994</v>
      </c>
      <c r="D12" s="522"/>
      <c r="H12" s="723"/>
      <c r="I12" s="563">
        <f>D3</f>
        <v>0.29166512773343722</v>
      </c>
      <c r="J12" s="552">
        <f t="shared" si="2"/>
        <v>-0.31770686908702217</v>
      </c>
      <c r="K12" s="555">
        <f t="shared" si="2"/>
        <v>-0.31963670272873101</v>
      </c>
      <c r="L12" s="555">
        <f t="shared" si="2"/>
        <v>-0.32156653637043964</v>
      </c>
      <c r="M12" s="555">
        <f t="shared" si="2"/>
        <v>-0.32349637001214837</v>
      </c>
      <c r="N12" s="556">
        <f t="shared" si="2"/>
        <v>-0.32542620365385699</v>
      </c>
    </row>
    <row r="13" spans="2:14">
      <c r="B13" s="517" t="s">
        <v>869</v>
      </c>
      <c r="C13" s="529">
        <f>D8*(1+C12)</f>
        <v>332.36811999999998</v>
      </c>
      <c r="D13" s="522"/>
      <c r="H13" s="723"/>
      <c r="I13" s="563">
        <f>I12+0.09</f>
        <v>0.38166512773343719</v>
      </c>
      <c r="J13" s="552">
        <f t="shared" si="2"/>
        <v>-0.30639991296293811</v>
      </c>
      <c r="K13" s="555">
        <f t="shared" si="2"/>
        <v>-0.30832974660464685</v>
      </c>
      <c r="L13" s="555">
        <f t="shared" si="2"/>
        <v>-0.31025958024635547</v>
      </c>
      <c r="M13" s="555">
        <f t="shared" si="2"/>
        <v>-0.3121894138880642</v>
      </c>
      <c r="N13" s="556">
        <f t="shared" si="2"/>
        <v>-0.31411924752977294</v>
      </c>
    </row>
    <row r="14" spans="2:14">
      <c r="B14" s="517" t="s">
        <v>870</v>
      </c>
      <c r="C14" s="529">
        <f>C13*D4</f>
        <v>149.86478530799999</v>
      </c>
      <c r="D14" s="522"/>
      <c r="H14" s="557"/>
      <c r="I14" s="564">
        <f t="shared" ref="I14" si="3">I13+0.09</f>
        <v>0.47166512773343716</v>
      </c>
      <c r="J14" s="560">
        <f t="shared" si="2"/>
        <v>-0.29509295683885395</v>
      </c>
      <c r="K14" s="175">
        <f t="shared" si="2"/>
        <v>-0.29702279048056268</v>
      </c>
      <c r="L14" s="175">
        <f t="shared" si="2"/>
        <v>-0.29895262412227142</v>
      </c>
      <c r="M14" s="175">
        <f t="shared" si="2"/>
        <v>-0.30088245776398015</v>
      </c>
      <c r="N14" s="544">
        <f t="shared" si="2"/>
        <v>-0.30281229140568877</v>
      </c>
    </row>
    <row r="15" spans="2:14">
      <c r="B15" s="517" t="s">
        <v>871</v>
      </c>
      <c r="C15" s="543">
        <f>C14*C6</f>
        <v>0.23978365649280001</v>
      </c>
      <c r="D15" s="522"/>
    </row>
    <row r="16" spans="2:14">
      <c r="B16" s="517" t="s">
        <v>872</v>
      </c>
      <c r="C16" s="529">
        <f>'Deal Design'!C23</f>
        <v>0.57134053716310729</v>
      </c>
      <c r="D16" s="522"/>
    </row>
    <row r="17" spans="2:8">
      <c r="B17" s="519" t="s">
        <v>809</v>
      </c>
      <c r="C17" s="530">
        <f>'Deal Design'!C24</f>
        <v>1.267111415309619</v>
      </c>
      <c r="D17" s="522"/>
    </row>
    <row r="18" spans="2:8">
      <c r="C18" s="522"/>
      <c r="D18" s="522"/>
    </row>
    <row r="19" spans="2:8">
      <c r="C19" s="522"/>
      <c r="D19" s="522"/>
    </row>
    <row r="20" spans="2:8">
      <c r="B20" s="699" t="s">
        <v>873</v>
      </c>
      <c r="C20" s="700"/>
      <c r="D20" s="522"/>
    </row>
    <row r="21" spans="2:8">
      <c r="B21" s="510" t="s">
        <v>874</v>
      </c>
      <c r="C21" s="527">
        <f>C3+D3-C15</f>
        <v>5.3999745118254374</v>
      </c>
      <c r="D21" s="522"/>
    </row>
    <row r="22" spans="2:8">
      <c r="B22" s="520" t="s">
        <v>875</v>
      </c>
      <c r="C22" s="525">
        <f>'Accretion Dilution'!C4+C16</f>
        <v>1.7413405371631072</v>
      </c>
      <c r="D22" s="522"/>
    </row>
    <row r="23" spans="2:8">
      <c r="B23" s="511" t="s">
        <v>862</v>
      </c>
      <c r="C23" s="526">
        <f>C21/C22</f>
        <v>3.1010445094345349</v>
      </c>
      <c r="D23" s="522"/>
    </row>
    <row r="24" spans="2:8">
      <c r="B24" s="545"/>
      <c r="C24" s="524"/>
      <c r="D24" s="522"/>
    </row>
    <row r="25" spans="2:8">
      <c r="C25" s="522"/>
      <c r="D25" s="522"/>
    </row>
    <row r="26" spans="2:8">
      <c r="B26" s="699" t="s">
        <v>876</v>
      </c>
      <c r="C26" s="700"/>
      <c r="D26" s="522"/>
    </row>
    <row r="27" spans="2:8">
      <c r="B27" s="510" t="s">
        <v>877</v>
      </c>
      <c r="C27" s="527">
        <f>C23-C7</f>
        <v>-1.4699751833729864</v>
      </c>
      <c r="D27" s="522"/>
    </row>
    <row r="28" spans="2:8">
      <c r="B28" s="511" t="s">
        <v>878</v>
      </c>
      <c r="C28" s="589">
        <f>C27/C7</f>
        <v>-0.3215858347068567</v>
      </c>
      <c r="D28" s="522"/>
    </row>
    <row r="29" spans="2:8" ht="15" customHeight="1">
      <c r="H29" s="522"/>
    </row>
    <row r="30" spans="2:8" ht="15" customHeight="1"/>
    <row r="31" spans="2:8" ht="15" customHeight="1">
      <c r="B31" s="577" t="s">
        <v>879</v>
      </c>
      <c r="C31" s="578"/>
      <c r="D31" s="578"/>
      <c r="E31" s="579"/>
    </row>
    <row r="32" spans="2:8" ht="15" customHeight="1">
      <c r="B32" s="583" t="s">
        <v>880</v>
      </c>
      <c r="C32" s="584">
        <v>2021</v>
      </c>
      <c r="D32" s="162">
        <f t="shared" ref="D32:E32" si="4">C32+1</f>
        <v>2022</v>
      </c>
      <c r="E32" s="575">
        <f t="shared" si="4"/>
        <v>2023</v>
      </c>
    </row>
    <row r="33" spans="2:5" ht="15" customHeight="1">
      <c r="B33" s="520" t="s">
        <v>881</v>
      </c>
      <c r="C33" s="585">
        <f>C3</f>
        <v>5.3480930405848</v>
      </c>
      <c r="D33" s="585">
        <f>6579.31681/1000</f>
        <v>6.5793168099999999</v>
      </c>
      <c r="E33" s="586">
        <f>8143/1000</f>
        <v>8.1430000000000007</v>
      </c>
    </row>
    <row r="34" spans="2:5">
      <c r="B34" s="520" t="s">
        <v>882</v>
      </c>
      <c r="C34" s="576">
        <f>D3</f>
        <v>0.29166512773343722</v>
      </c>
      <c r="D34" s="576">
        <f>('Synergy Adjustments'!I9+'Synergy Adjustments'!I16+'Synergy Adjustments'!I53)/1000</f>
        <v>1.1015503213855009</v>
      </c>
      <c r="E34" s="580">
        <f>('Synergy Adjustments'!J9+'Synergy Adjustments'!J16+'Synergy Adjustments'!J53)/1000</f>
        <v>2.4442123488139624</v>
      </c>
    </row>
    <row r="35" spans="2:5">
      <c r="B35" s="520" t="s">
        <v>883</v>
      </c>
      <c r="C35" s="524">
        <f>C33+C34-C15</f>
        <v>5.3999745118254374</v>
      </c>
      <c r="D35" s="524">
        <f t="shared" ref="D35:E35" si="5">D33+D34</f>
        <v>7.6808671313855008</v>
      </c>
      <c r="E35" s="525">
        <f t="shared" si="5"/>
        <v>10.587212348813964</v>
      </c>
    </row>
    <row r="36" spans="2:5">
      <c r="B36" s="520" t="s">
        <v>884</v>
      </c>
      <c r="C36" s="581">
        <f>C22</f>
        <v>1.7413405371631072</v>
      </c>
      <c r="D36" s="581">
        <f>C36</f>
        <v>1.7413405371631072</v>
      </c>
      <c r="E36" s="582">
        <f t="shared" ref="E36" si="6">D36</f>
        <v>1.7413405371631072</v>
      </c>
    </row>
    <row r="37" spans="2:5">
      <c r="B37" s="520" t="s">
        <v>885</v>
      </c>
      <c r="C37" s="524">
        <f>C35/C36</f>
        <v>3.1010445094345349</v>
      </c>
      <c r="D37" s="524">
        <f t="shared" ref="D37:E37" si="7">D35/D36</f>
        <v>4.4108931983509283</v>
      </c>
      <c r="E37" s="525">
        <f t="shared" si="7"/>
        <v>6.0799206834419914</v>
      </c>
    </row>
    <row r="38" spans="2:5">
      <c r="B38" s="514" t="s">
        <v>878</v>
      </c>
      <c r="C38" s="587">
        <f>C37/$C$7-1</f>
        <v>-0.32158583470685664</v>
      </c>
      <c r="D38" s="587">
        <f t="shared" ref="D38:E38" si="8">D37/$C$7-1</f>
        <v>-3.5030803894490203E-2</v>
      </c>
      <c r="E38" s="588">
        <f t="shared" si="8"/>
        <v>0.33010161671556992</v>
      </c>
    </row>
  </sheetData>
  <mergeCells count="10">
    <mergeCell ref="B11:C11"/>
    <mergeCell ref="B20:C20"/>
    <mergeCell ref="B26:C26"/>
    <mergeCell ref="H10:H13"/>
    <mergeCell ref="E3:F8"/>
    <mergeCell ref="E2:F2"/>
    <mergeCell ref="H7:N7"/>
    <mergeCell ref="H2:N2"/>
    <mergeCell ref="H3:N5"/>
    <mergeCell ref="J8:N8"/>
  </mergeCells>
  <phoneticPr fontId="35" type="noConversion"/>
  <pageMargins left="0.7" right="0.7" top="0.75" bottom="0.75" header="0.3" footer="0.3"/>
  <pageSetup scale="44"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71C-1819-4D69-A31E-D8181FD279BB}">
  <sheetPr>
    <tabColor theme="3"/>
  </sheetPr>
  <dimension ref="A1:B10"/>
  <sheetViews>
    <sheetView showGridLines="0" tabSelected="1" view="pageBreakPreview" zoomScale="60" zoomScaleNormal="100" workbookViewId="0">
      <selection activeCell="B11" sqref="B11"/>
    </sheetView>
  </sheetViews>
  <sheetFormatPr baseColWidth="10" defaultColWidth="8.83203125" defaultRowHeight="15"/>
  <cols>
    <col min="1" max="1" width="45.33203125" style="131" customWidth="1"/>
    <col min="2" max="2" width="26" style="131" customWidth="1"/>
    <col min="3" max="16384" width="8.83203125" style="131"/>
  </cols>
  <sheetData>
    <row r="1" spans="1:2">
      <c r="A1" s="486" t="s">
        <v>886</v>
      </c>
      <c r="B1" s="486" t="s">
        <v>887</v>
      </c>
    </row>
    <row r="2" spans="1:2" ht="14.25" customHeight="1">
      <c r="A2" s="487" t="s">
        <v>888</v>
      </c>
      <c r="B2" s="487" t="s">
        <v>889</v>
      </c>
    </row>
    <row r="3" spans="1:2" ht="18.75" customHeight="1">
      <c r="A3" s="487" t="s">
        <v>890</v>
      </c>
      <c r="B3" s="488">
        <v>0.79200000000000004</v>
      </c>
    </row>
    <row r="4" spans="1:2" ht="18" customHeight="1">
      <c r="A4" s="487" t="s">
        <v>891</v>
      </c>
      <c r="B4" s="488">
        <v>2.169</v>
      </c>
    </row>
    <row r="5" spans="1:2" ht="16.5" customHeight="1">
      <c r="A5" s="487" t="s">
        <v>892</v>
      </c>
      <c r="B5" s="488">
        <v>1.294</v>
      </c>
    </row>
    <row r="6" spans="1:2" ht="19.5" customHeight="1">
      <c r="A6" s="487" t="s">
        <v>893</v>
      </c>
      <c r="B6" s="488">
        <v>1.4179999999999999</v>
      </c>
    </row>
    <row r="7" spans="1:2">
      <c r="A7" s="487" t="s">
        <v>894</v>
      </c>
      <c r="B7" s="488">
        <v>1.466</v>
      </c>
    </row>
    <row r="8" spans="1:2">
      <c r="A8" s="487" t="s">
        <v>895</v>
      </c>
      <c r="B8" s="488">
        <f>AVERAGE(B3:B7)</f>
        <v>1.4278000000000002</v>
      </c>
    </row>
    <row r="9" spans="1:2">
      <c r="A9" s="489"/>
      <c r="B9" s="490"/>
    </row>
    <row r="10" spans="1:2" ht="15" customHeight="1">
      <c r="A10" s="487" t="s">
        <v>896</v>
      </c>
      <c r="B10" s="488">
        <v>0.52300000000000002</v>
      </c>
    </row>
  </sheetData>
  <phoneticPr fontId="35" type="noConversion"/>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18</vt:i4>
      </vt:variant>
    </vt:vector>
  </HeadingPairs>
  <TitlesOfParts>
    <vt:vector size="33" baseType="lpstr">
      <vt:lpstr>Football Fields</vt:lpstr>
      <vt:lpstr>DCF Main</vt:lpstr>
      <vt:lpstr>Synergy Adjustments</vt:lpstr>
      <vt:lpstr>IS Drivers</vt:lpstr>
      <vt:lpstr>D&amp;A - NWC</vt:lpstr>
      <vt:lpstr>Comps</vt:lpstr>
      <vt:lpstr>IS</vt:lpstr>
      <vt:lpstr>BS</vt:lpstr>
      <vt:lpstr>CF</vt:lpstr>
      <vt:lpstr>Cap Structure</vt:lpstr>
      <vt:lpstr>Consensus</vt:lpstr>
      <vt:lpstr>Deal Design</vt:lpstr>
      <vt:lpstr>Exchange Ratios</vt:lpstr>
      <vt:lpstr>Accretion Dilution</vt:lpstr>
      <vt:lpstr>Comps Capital Structure</vt:lpstr>
      <vt:lpstr>'Accretion Dilution'!Print_Area</vt:lpstr>
      <vt:lpstr>BS!Print_Area</vt:lpstr>
      <vt:lpstr>'Cap Structure'!Print_Area</vt:lpstr>
      <vt:lpstr>CF!Print_Area</vt:lpstr>
      <vt:lpstr>Comps!Print_Area</vt:lpstr>
      <vt:lpstr>'D&amp;A - NWC'!Print_Area</vt:lpstr>
      <vt:lpstr>'DCF Main'!Print_Area</vt:lpstr>
      <vt:lpstr>'Deal Design'!Print_Area</vt:lpstr>
      <vt:lpstr>'Exchange Ratios'!Print_Area</vt:lpstr>
      <vt:lpstr>'Football Fields'!Print_Area</vt:lpstr>
      <vt:lpstr>IS!Print_Area</vt:lpstr>
      <vt:lpstr>'IS Drivers'!Print_Area</vt:lpstr>
      <vt:lpstr>'Synergy Adjustments'!Print_Area</vt:lpstr>
      <vt:lpstr>BS!Print_Titles</vt:lpstr>
      <vt:lpstr>'Cap Structure'!Print_Titles</vt:lpstr>
      <vt:lpstr>CF!Print_Titles</vt:lpstr>
      <vt:lpstr>Consensus!Print_Titles</vt:lpstr>
      <vt:lpstr>IS!Print_Titles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Yanjin Yang</dc:creator>
  <cp:keywords/>
  <dc:description/>
  <cp:lastModifiedBy>Seungho (Samuel) Lee</cp:lastModifiedBy>
  <cp:revision/>
  <cp:lastPrinted>2020-12-16T05:27:01Z</cp:lastPrinted>
  <dcterms:created xsi:type="dcterms:W3CDTF">2020-11-23T23:49:52Z</dcterms:created>
  <dcterms:modified xsi:type="dcterms:W3CDTF">2020-12-16T05:28:16Z</dcterms:modified>
  <cp:category/>
  <cp:contentStatus/>
</cp:coreProperties>
</file>