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Xamel\Dropbox\Uniovi\TFG\ElFavorDeLasGuerreras\doc\capitulos\Anexos\"/>
    </mc:Choice>
  </mc:AlternateContent>
  <xr:revisionPtr revIDLastSave="0" documentId="13_ncr:1_{401307B1-7F50-4F6B-8841-71D6B21B7AC7}" xr6:coauthVersionLast="47" xr6:coauthVersionMax="47" xr10:uidLastSave="{00000000-0000-0000-0000-000000000000}"/>
  <bookViews>
    <workbookView xWindow="-108" yWindow="-108" windowWidth="23256" windowHeight="12600" activeTab="4" xr2:uid="{00000000-000D-0000-FFFF-FFFF00000000}"/>
  </bookViews>
  <sheets>
    <sheet name="Planificacion_Inicial" sheetId="2" r:id="rId1"/>
    <sheet name="Coste de personal" sheetId="3" r:id="rId2"/>
    <sheet name="Costes indirectos" sheetId="4" r:id="rId3"/>
    <sheet name="Presupuesto inicial" sheetId="5" r:id="rId4"/>
    <sheet name="Presupuesto intern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K9" i="6"/>
  <c r="K6" i="6"/>
  <c r="K7" i="6"/>
  <c r="K8" i="6"/>
  <c r="K5" i="6"/>
  <c r="K4" i="6"/>
  <c r="K3" i="6"/>
  <c r="K2" i="6"/>
  <c r="E3" i="6"/>
  <c r="E8" i="6"/>
  <c r="E7" i="6"/>
  <c r="E6" i="6"/>
  <c r="E5" i="6"/>
  <c r="E10" i="5"/>
  <c r="E9" i="5"/>
  <c r="E8" i="5"/>
  <c r="G10" i="2"/>
  <c r="G7" i="2"/>
  <c r="D8" i="5" s="1"/>
  <c r="G9" i="2"/>
  <c r="G8" i="2"/>
  <c r="C2" i="2"/>
  <c r="C3" i="2"/>
  <c r="D3" i="2" s="1"/>
  <c r="M5" i="3"/>
  <c r="M2" i="3" l="1"/>
  <c r="E6" i="5" l="1"/>
  <c r="E7" i="5"/>
  <c r="E5" i="5"/>
  <c r="E23" i="6"/>
  <c r="E20" i="6"/>
  <c r="E21" i="6"/>
  <c r="E22" i="6"/>
  <c r="E2" i="6"/>
  <c r="E4" i="6"/>
  <c r="E9" i="6"/>
  <c r="E10" i="6"/>
  <c r="E11" i="6"/>
  <c r="E12" i="6"/>
  <c r="E13" i="6"/>
  <c r="E14" i="6"/>
  <c r="E15" i="6"/>
  <c r="E16" i="6"/>
  <c r="E17" i="6"/>
  <c r="E18" i="6"/>
  <c r="E19" i="6"/>
  <c r="A3" i="5"/>
  <c r="B11" i="6"/>
  <c r="A14" i="5"/>
  <c r="E22" i="5"/>
  <c r="E21" i="5"/>
  <c r="E20" i="5"/>
  <c r="E19" i="5"/>
  <c r="E18" i="5"/>
  <c r="E16" i="5"/>
  <c r="E15" i="5"/>
  <c r="E14" i="5"/>
  <c r="E25" i="5"/>
  <c r="E24" i="5"/>
  <c r="M4" i="3"/>
  <c r="B5" i="5"/>
  <c r="B6" i="5"/>
  <c r="B7" i="5"/>
  <c r="B8" i="5"/>
  <c r="B9" i="5"/>
  <c r="B10" i="5"/>
  <c r="B11" i="5"/>
  <c r="B12" i="5"/>
  <c r="B14" i="5"/>
  <c r="B15" i="5"/>
  <c r="F15" i="5" s="1"/>
  <c r="B16" i="5"/>
  <c r="B18" i="5"/>
  <c r="B19" i="5"/>
  <c r="B20" i="5"/>
  <c r="B21" i="5"/>
  <c r="B22" i="5"/>
  <c r="B24" i="5"/>
  <c r="B25" i="5"/>
  <c r="A4" i="5"/>
  <c r="A5" i="5"/>
  <c r="A6" i="5"/>
  <c r="A7" i="5"/>
  <c r="A8" i="5"/>
  <c r="A9" i="5"/>
  <c r="A10" i="5"/>
  <c r="A11" i="5"/>
  <c r="A12" i="5"/>
  <c r="A13" i="5"/>
  <c r="A15" i="5"/>
  <c r="A16" i="5"/>
  <c r="A17" i="5"/>
  <c r="A18" i="5"/>
  <c r="A19" i="5"/>
  <c r="A20" i="5"/>
  <c r="A21" i="5"/>
  <c r="A22" i="5"/>
  <c r="A23" i="5"/>
  <c r="A24" i="5"/>
  <c r="A25" i="5"/>
  <c r="C25" i="6" l="1"/>
  <c r="F8" i="5"/>
  <c r="F10" i="5"/>
  <c r="F9" i="5"/>
  <c r="F24" i="5"/>
  <c r="F25" i="5"/>
  <c r="F20" i="5"/>
  <c r="F21" i="5"/>
  <c r="F19" i="5"/>
  <c r="F14" i="5"/>
  <c r="F6" i="5"/>
  <c r="F22" i="5"/>
  <c r="F5" i="5"/>
  <c r="F7" i="5"/>
  <c r="F16" i="5"/>
  <c r="F18" i="5"/>
  <c r="G23" i="5" l="1"/>
  <c r="G17" i="5"/>
  <c r="G13" i="5"/>
  <c r="D4" i="4" l="1"/>
  <c r="D3" i="4"/>
  <c r="D2" i="4"/>
  <c r="G2" i="3"/>
  <c r="G15" i="2"/>
  <c r="D16" i="5" s="1"/>
  <c r="G14" i="2"/>
  <c r="D15" i="5" s="1"/>
  <c r="G13" i="2"/>
  <c r="D14" i="5" s="1"/>
  <c r="G23" i="2"/>
  <c r="D24" i="5" s="1"/>
  <c r="G24" i="2"/>
  <c r="D25" i="5" s="1"/>
  <c r="G21" i="2"/>
  <c r="D22" i="5" s="1"/>
  <c r="G20" i="2"/>
  <c r="D21" i="5" s="1"/>
  <c r="G19" i="2"/>
  <c r="D20" i="5" s="1"/>
  <c r="G18" i="2"/>
  <c r="D19" i="5" s="1"/>
  <c r="G17" i="2"/>
  <c r="D18" i="5" s="1"/>
  <c r="D10" i="5"/>
  <c r="D9" i="5"/>
  <c r="G6" i="2"/>
  <c r="D7" i="5" s="1"/>
  <c r="G5" i="2"/>
  <c r="D6" i="5" s="1"/>
  <c r="G4" i="2"/>
  <c r="D5" i="5" s="1"/>
  <c r="C22" i="2"/>
  <c r="B23" i="5" s="1"/>
  <c r="C16" i="2"/>
  <c r="B17" i="5" s="1"/>
  <c r="C12" i="2"/>
  <c r="B13" i="5" s="1"/>
  <c r="G5" i="3"/>
  <c r="D5" i="3"/>
  <c r="E5" i="3" s="1"/>
  <c r="G4" i="3"/>
  <c r="D4" i="3"/>
  <c r="E4" i="3" s="1"/>
  <c r="G3" i="3"/>
  <c r="D3" i="3"/>
  <c r="M3" i="3" s="1"/>
  <c r="B4" i="5" l="1"/>
  <c r="E11" i="5"/>
  <c r="F11" i="5" s="1"/>
  <c r="G4" i="5" s="1"/>
  <c r="E12" i="5"/>
  <c r="F12" i="5" s="1"/>
  <c r="B6" i="4"/>
  <c r="K2" i="3"/>
  <c r="G11" i="2"/>
  <c r="D12" i="5" s="1"/>
  <c r="D11" i="5"/>
  <c r="K5" i="3"/>
  <c r="I5" i="3"/>
  <c r="K4" i="3"/>
  <c r="I4" i="3"/>
  <c r="E3" i="3"/>
  <c r="G3" i="5" l="1"/>
  <c r="B2" i="6" s="1"/>
  <c r="B14" i="6" s="1"/>
  <c r="B17" i="6" s="1"/>
  <c r="I2" i="3"/>
  <c r="K3" i="3"/>
  <c r="I3" i="3"/>
  <c r="E6" i="3"/>
  <c r="F8" i="6" l="1"/>
  <c r="F3" i="6"/>
  <c r="F6" i="6"/>
  <c r="F5" i="6"/>
  <c r="F7" i="6"/>
  <c r="C23" i="6"/>
  <c r="I6" i="3"/>
  <c r="K6" i="3"/>
  <c r="C24" i="6" l="1"/>
  <c r="C26" i="6" s="1"/>
  <c r="F14" i="6"/>
  <c r="F16" i="6"/>
  <c r="F23" i="6"/>
  <c r="F20" i="6"/>
  <c r="F4" i="6"/>
  <c r="F22" i="6"/>
  <c r="G21" i="6" s="1"/>
  <c r="F12" i="6"/>
  <c r="F17" i="6"/>
  <c r="F18" i="6"/>
  <c r="F19" i="6"/>
  <c r="F13" i="6"/>
  <c r="F9" i="6"/>
  <c r="F10" i="6"/>
  <c r="D6" i="2"/>
  <c r="E2" i="2"/>
  <c r="D22" i="2"/>
  <c r="D16" i="2"/>
  <c r="D12" i="2"/>
  <c r="E3" i="2"/>
  <c r="D7" i="2"/>
  <c r="D8" i="2"/>
  <c r="D9" i="2"/>
  <c r="D10" i="2"/>
  <c r="D11" i="2"/>
  <c r="D13" i="2"/>
  <c r="D14" i="2"/>
  <c r="D15" i="2"/>
  <c r="D17" i="2"/>
  <c r="D18" i="2"/>
  <c r="D19" i="2"/>
  <c r="D20" i="2"/>
  <c r="D21" i="2"/>
  <c r="D23" i="2"/>
  <c r="D24" i="2"/>
  <c r="D5" i="2"/>
  <c r="D4" i="2"/>
  <c r="F4" i="2" s="1"/>
  <c r="E5" i="2" s="1"/>
  <c r="G11" i="6" l="1"/>
  <c r="G2" i="6"/>
  <c r="I2" i="6"/>
  <c r="I5" i="6" s="1"/>
  <c r="L7" i="6" s="1"/>
  <c r="G15" i="6"/>
  <c r="F5" i="2"/>
  <c r="E6" i="2" s="1"/>
  <c r="F6" i="2" s="1"/>
  <c r="E7" i="2" s="1"/>
  <c r="F7" i="2" s="1"/>
  <c r="E8" i="2" s="1"/>
  <c r="F8" i="2" s="1"/>
  <c r="E9" i="2" s="1"/>
  <c r="F9" i="2" s="1"/>
  <c r="E10" i="2" s="1"/>
  <c r="F10" i="2" s="1"/>
  <c r="E11" i="2" s="1"/>
  <c r="F11" i="2" s="1"/>
  <c r="E13" i="2" s="1"/>
  <c r="E12" i="2" s="1"/>
  <c r="F12" i="2" s="1"/>
  <c r="F3" i="2"/>
  <c r="L8" i="6" l="1"/>
  <c r="L4" i="6"/>
  <c r="L6" i="6"/>
  <c r="M5" i="6" s="1"/>
  <c r="L10" i="6"/>
  <c r="M9" i="6" s="1"/>
  <c r="L3" i="6"/>
  <c r="G25" i="6"/>
  <c r="D2" i="2"/>
  <c r="F2" i="2" s="1"/>
  <c r="B3" i="5"/>
  <c r="F13" i="2"/>
  <c r="E14" i="2" s="1"/>
  <c r="F14" i="2" s="1"/>
  <c r="E15" i="2" s="1"/>
  <c r="F15" i="2" s="1"/>
  <c r="E17" i="2" s="1"/>
  <c r="F17" i="2" s="1"/>
  <c r="E18" i="2" s="1"/>
  <c r="F18" i="2" s="1"/>
  <c r="E19" i="2" s="1"/>
  <c r="F19" i="2" s="1"/>
  <c r="E20" i="2" s="1"/>
  <c r="F20" i="2" s="1"/>
  <c r="E21" i="2" s="1"/>
  <c r="F21" i="2" s="1"/>
  <c r="E23" i="2" s="1"/>
  <c r="F23" i="2" s="1"/>
  <c r="E24" i="2" s="1"/>
  <c r="F24" i="2" s="1"/>
  <c r="M2" i="6" l="1"/>
  <c r="M12" i="6" s="1"/>
  <c r="E16" i="2"/>
  <c r="F16" i="2" s="1"/>
  <c r="E22" i="2"/>
  <c r="F22" i="2" s="1"/>
</calcChain>
</file>

<file path=xl/sharedStrings.xml><?xml version="1.0" encoding="utf-8"?>
<sst xmlns="http://schemas.openxmlformats.org/spreadsheetml/2006/main" count="127" uniqueCount="92">
  <si>
    <t>Nombre de la tarea</t>
  </si>
  <si>
    <t>Comienzo</t>
  </si>
  <si>
    <t>Fin</t>
  </si>
  <si>
    <t>Proyecto Completo</t>
  </si>
  <si>
    <t>Duración en horas</t>
  </si>
  <si>
    <t>Duración en días</t>
  </si>
  <si>
    <t>Perfiles</t>
  </si>
  <si>
    <t>Nº de puestos</t>
  </si>
  <si>
    <t>Sueldo anual</t>
  </si>
  <si>
    <t>Coste salarial</t>
  </si>
  <si>
    <t>Coste total</t>
  </si>
  <si>
    <t>Productividad (%)</t>
  </si>
  <si>
    <t>Horas productivas</t>
  </si>
  <si>
    <t>Coste directo</t>
  </si>
  <si>
    <t>Coste indirecto</t>
  </si>
  <si>
    <t>Coste por hora</t>
  </si>
  <si>
    <t>Arquitecto software</t>
  </si>
  <si>
    <t>Analista de sistemas</t>
  </si>
  <si>
    <t>Tester</t>
  </si>
  <si>
    <t>Coste total:</t>
  </si>
  <si>
    <t>Coste directo total:</t>
  </si>
  <si>
    <t>Coste indirecto total:</t>
  </si>
  <si>
    <t>Servicio</t>
  </si>
  <si>
    <t>Tiempo de uso (Meses)</t>
  </si>
  <si>
    <t>Coste por mes</t>
  </si>
  <si>
    <t>Consumo de electricidad</t>
  </si>
  <si>
    <t>Gastos de Internet</t>
  </si>
  <si>
    <t>Gastos de material de oficina</t>
  </si>
  <si>
    <t>Beneficio esperado</t>
  </si>
  <si>
    <t>Partida</t>
  </si>
  <si>
    <t>Coste</t>
  </si>
  <si>
    <t>Total</t>
  </si>
  <si>
    <t>Cantidad a diluir</t>
  </si>
  <si>
    <t>Costes indirectos</t>
  </si>
  <si>
    <t>Porcentaje a aumentar</t>
  </si>
  <si>
    <t>Cantidad a dividir</t>
  </si>
  <si>
    <t>Participantes</t>
  </si>
  <si>
    <t>Descripción</t>
  </si>
  <si>
    <t>Cantidad</t>
  </si>
  <si>
    <t>Unidades</t>
  </si>
  <si>
    <t>horas</t>
  </si>
  <si>
    <t>Total facturado</t>
  </si>
  <si>
    <t>Total a facturar</t>
  </si>
  <si>
    <t xml:space="preserve">Total </t>
  </si>
  <si>
    <t>Compra de hardware</t>
  </si>
  <si>
    <t>Se muestra al cliente</t>
  </si>
  <si>
    <t>Se ha de diluir</t>
  </si>
  <si>
    <t>Análisis y Diseño</t>
  </si>
  <si>
    <t>Definición de Objetivos</t>
  </si>
  <si>
    <t xml:space="preserve">   1.1 </t>
  </si>
  <si>
    <t>Definición de Requisitos</t>
  </si>
  <si>
    <t xml:space="preserve">   1.2 </t>
  </si>
  <si>
    <t>Presupuesto</t>
  </si>
  <si>
    <t xml:space="preserve">   1.3 </t>
  </si>
  <si>
    <t>Aprender uso de GUI en Python</t>
  </si>
  <si>
    <t>Redes neuronales aplicadas a juegos</t>
  </si>
  <si>
    <t>Diseño de Interfaces</t>
  </si>
  <si>
    <t>Diseño de Clases</t>
  </si>
  <si>
    <t>Implementación</t>
  </si>
  <si>
    <t>Módulo de Controlador</t>
  </si>
  <si>
    <t xml:space="preserve">   2.1 </t>
  </si>
  <si>
    <t>Módulo de Interfaz Gráfica</t>
  </si>
  <si>
    <t xml:space="preserve">   2.2 </t>
  </si>
  <si>
    <t>Módulo de Red Neuronal</t>
  </si>
  <si>
    <t xml:space="preserve">   2.3 </t>
  </si>
  <si>
    <t>Pruebas</t>
  </si>
  <si>
    <t>Diseño de Pruebas</t>
  </si>
  <si>
    <t xml:space="preserve">   3.1 </t>
  </si>
  <si>
    <t>Pruebas Unitarias</t>
  </si>
  <si>
    <t xml:space="preserve">   3.2 </t>
  </si>
  <si>
    <t xml:space="preserve">   3.3</t>
  </si>
  <si>
    <t xml:space="preserve">   3.4</t>
  </si>
  <si>
    <t xml:space="preserve">   3.5</t>
  </si>
  <si>
    <t>Documentación</t>
  </si>
  <si>
    <t>Elaboración de la Documentación</t>
  </si>
  <si>
    <t xml:space="preserve">   4.1 </t>
  </si>
  <si>
    <t xml:space="preserve">   4.2</t>
  </si>
  <si>
    <t>Revisión de la Documentación</t>
  </si>
  <si>
    <t>Pruebas de Integración</t>
  </si>
  <si>
    <t>Pruebas de Usabilidad</t>
  </si>
  <si>
    <t>Pruebas de Accesibilidad</t>
  </si>
  <si>
    <t>Diseño e implementacion de pruebas</t>
  </si>
  <si>
    <t>No se va a mostrar</t>
  </si>
  <si>
    <t xml:space="preserve">   1.4</t>
  </si>
  <si>
    <t xml:space="preserve">   1.5</t>
  </si>
  <si>
    <t xml:space="preserve">   1.6</t>
  </si>
  <si>
    <t>Aprender sobre el uso de redes neuronales</t>
  </si>
  <si>
    <t>Desarrollador</t>
  </si>
  <si>
    <t>Subtotal</t>
  </si>
  <si>
    <t>Resumen:</t>
  </si>
  <si>
    <t xml:space="preserve">   1.7</t>
  </si>
  <si>
    <t xml:space="preserve">   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</si>
</sst>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ill="1" applyAlignment="1">
      <alignment horizontal="right" vertical="top"/>
    </xf>
    <xf numFmtId="0" fontId="1" fillId="0" borderId="0" xfId="0" applyFont="1" applyFill="1" applyAlignment="1">
      <alignment horizontal="right" vertical="top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0" fillId="0" borderId="0" xfId="0" applyNumberFormat="1"/>
    <xf numFmtId="14" fontId="1" fillId="0" borderId="0" xfId="0" applyNumberFormat="1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 vertical="top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4" borderId="2" xfId="0" applyFill="1" applyBorder="1"/>
    <xf numFmtId="0" fontId="1" fillId="4" borderId="5" xfId="0" applyFont="1" applyFill="1" applyBorder="1"/>
    <xf numFmtId="0" fontId="1" fillId="4" borderId="2" xfId="0" applyFont="1" applyFill="1" applyBorder="1"/>
    <xf numFmtId="0" fontId="1" fillId="5" borderId="3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0" fillId="0" borderId="6" xfId="0" applyFill="1" applyBorder="1"/>
    <xf numFmtId="3" fontId="0" fillId="0" borderId="0" xfId="0" applyNumberFormat="1"/>
    <xf numFmtId="8" fontId="0" fillId="0" borderId="0" xfId="0" applyNumberFormat="1"/>
    <xf numFmtId="8" fontId="1" fillId="3" borderId="2" xfId="0" applyNumberFormat="1" applyFont="1" applyFill="1" applyBorder="1"/>
    <xf numFmtId="0" fontId="0" fillId="0" borderId="12" xfId="0" applyBorder="1"/>
    <xf numFmtId="9" fontId="0" fillId="0" borderId="13" xfId="0" applyNumberFormat="1" applyBorder="1"/>
    <xf numFmtId="0" fontId="12" fillId="0" borderId="0" xfId="0" applyFont="1"/>
    <xf numFmtId="8" fontId="12" fillId="0" borderId="0" xfId="0" applyNumberFormat="1" applyFont="1"/>
    <xf numFmtId="8" fontId="0" fillId="0" borderId="13" xfId="0" applyNumberFormat="1" applyBorder="1"/>
    <xf numFmtId="9" fontId="0" fillId="0" borderId="13" xfId="1" applyFont="1" applyBorder="1"/>
    <xf numFmtId="0" fontId="0" fillId="6" borderId="0" xfId="0" applyFill="1"/>
    <xf numFmtId="8" fontId="0" fillId="0" borderId="14" xfId="0" applyNumberFormat="1" applyBorder="1"/>
    <xf numFmtId="8" fontId="0" fillId="0" borderId="15" xfId="0" applyNumberFormat="1" applyBorder="1"/>
    <xf numFmtId="8" fontId="0" fillId="0" borderId="16" xfId="0" applyNumberFormat="1" applyBorder="1"/>
    <xf numFmtId="0" fontId="0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2" fillId="2" borderId="0" xfId="0" applyNumberFormat="1" applyFont="1" applyFill="1" applyBorder="1"/>
    <xf numFmtId="49" fontId="1" fillId="0" borderId="0" xfId="0" applyNumberFormat="1" applyFont="1"/>
    <xf numFmtId="49" fontId="0" fillId="0" borderId="0" xfId="0" applyNumberFormat="1" applyFill="1"/>
    <xf numFmtId="49" fontId="0" fillId="0" borderId="0" xfId="0" applyNumberFormat="1"/>
    <xf numFmtId="49" fontId="0" fillId="0" borderId="6" xfId="0" applyNumberFormat="1" applyBorder="1"/>
    <xf numFmtId="0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3" xfId="0" applyBorder="1"/>
    <xf numFmtId="164" fontId="0" fillId="0" borderId="13" xfId="0" applyNumberFormat="1" applyBorder="1"/>
    <xf numFmtId="8" fontId="0" fillId="0" borderId="0" xfId="0" applyNumberFormat="1" applyBorder="1"/>
    <xf numFmtId="0" fontId="0" fillId="6" borderId="0" xfId="0" applyFont="1" applyFill="1"/>
    <xf numFmtId="8" fontId="0" fillId="6" borderId="0" xfId="0" applyNumberFormat="1" applyFont="1" applyFill="1"/>
    <xf numFmtId="0" fontId="0" fillId="7" borderId="0" xfId="0" applyFont="1" applyFill="1"/>
    <xf numFmtId="8" fontId="0" fillId="7" borderId="0" xfId="0" applyNumberFormat="1" applyFont="1" applyFill="1"/>
    <xf numFmtId="0" fontId="0" fillId="7" borderId="0" xfId="0" applyFill="1"/>
    <xf numFmtId="0" fontId="0" fillId="0" borderId="0" xfId="0" applyFont="1"/>
    <xf numFmtId="0" fontId="1" fillId="6" borderId="0" xfId="0" applyFont="1" applyFill="1"/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13" fillId="0" borderId="0" xfId="0" applyFont="1"/>
    <xf numFmtId="0" fontId="0" fillId="0" borderId="6" xfId="0" applyNumberFormat="1" applyBorder="1"/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right" vertical="top"/>
    </xf>
    <xf numFmtId="0" fontId="15" fillId="0" borderId="0" xfId="0" applyNumberFormat="1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164" fontId="16" fillId="0" borderId="0" xfId="0" applyNumberFormat="1" applyFont="1" applyAlignment="1">
      <alignment horizontal="left" vertical="top"/>
    </xf>
    <xf numFmtId="164" fontId="15" fillId="0" borderId="0" xfId="0" applyNumberFormat="1" applyFont="1" applyAlignment="1">
      <alignment horizontal="left" vertical="top"/>
    </xf>
    <xf numFmtId="14" fontId="16" fillId="0" borderId="0" xfId="0" applyNumberFormat="1" applyFont="1" applyAlignment="1">
      <alignment horizontal="left" vertical="top"/>
    </xf>
    <xf numFmtId="0" fontId="16" fillId="0" borderId="0" xfId="0" applyFont="1" applyAlignment="1">
      <alignment horizontal="right" vertical="top"/>
    </xf>
    <xf numFmtId="0" fontId="1" fillId="7" borderId="0" xfId="0" applyFont="1" applyFill="1"/>
    <xf numFmtId="0" fontId="0" fillId="8" borderId="0" xfId="0" applyFont="1" applyFill="1"/>
    <xf numFmtId="8" fontId="0" fillId="8" borderId="0" xfId="0" applyNumberFormat="1" applyFont="1" applyFill="1"/>
    <xf numFmtId="0" fontId="0" fillId="8" borderId="0" xfId="0" applyFill="1"/>
    <xf numFmtId="8" fontId="1" fillId="6" borderId="0" xfId="0" applyNumberFormat="1" applyFont="1" applyFill="1"/>
    <xf numFmtId="0" fontId="0" fillId="7" borderId="0" xfId="0" applyNumberFormat="1" applyFont="1" applyFill="1"/>
    <xf numFmtId="164" fontId="13" fillId="0" borderId="0" xfId="0" applyNumberFormat="1" applyFont="1"/>
    <xf numFmtId="164" fontId="12" fillId="0" borderId="0" xfId="0" applyNumberFormat="1" applyFont="1"/>
    <xf numFmtId="164" fontId="0" fillId="0" borderId="0" xfId="0" applyNumberFormat="1"/>
  </cellXfs>
  <cellStyles count="2">
    <cellStyle name="Normal" xfId="0" builtinId="0"/>
    <cellStyle name="Porcentaje" xfId="1" builtinId="5"/>
  </cellStyles>
  <dxfs count="18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2" formatCode="#,##0.00\ &quot;€&quot;;[Red]\-#,##0.00\ &quot;€&quot;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#,##0.00\ &quot;€&quot;;[Red]\-#,##0.00\ &quot;€&quot;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#,##0.00\ &quot;€&quot;;[Red]\-#,##0.00\ &quot;€&quot;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#,##0.00\ &quot;€&quot;"/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#,##0.00\ &quot;€&quot;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#,##0.00\ &quot;€&quot;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Planificacion_Inicial!$E$1</c:f>
              <c:strCache>
                <c:ptCount val="1"/>
                <c:pt idx="0">
                  <c:v>Comienzo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Planificacion_Inicial!$B$2:$B$24</c:f>
              <c:strCache>
                <c:ptCount val="23"/>
                <c:pt idx="0">
                  <c:v>Proyecto Completo</c:v>
                </c:pt>
                <c:pt idx="1">
                  <c:v>Análisis y Diseño</c:v>
                </c:pt>
                <c:pt idx="2">
                  <c:v>Definición de Objetivos</c:v>
                </c:pt>
                <c:pt idx="3">
                  <c:v>Definición de Requisitos</c:v>
                </c:pt>
                <c:pt idx="4">
                  <c:v>Presupuesto</c:v>
                </c:pt>
                <c:pt idx="5">
                  <c:v>Aprender uso de GUI en Python</c:v>
                </c:pt>
                <c:pt idx="6">
                  <c:v>Aprender sobre el uso de redes neuronales</c:v>
                </c:pt>
                <c:pt idx="7">
                  <c:v>Redes neuronales aplicadas a juegos</c:v>
                </c:pt>
                <c:pt idx="8">
                  <c:v>Diseño de Interfaces</c:v>
                </c:pt>
                <c:pt idx="9">
                  <c:v>Diseño de Clases</c:v>
                </c:pt>
                <c:pt idx="10">
                  <c:v>Implementación</c:v>
                </c:pt>
                <c:pt idx="11">
                  <c:v>Módulo de Controlador</c:v>
                </c:pt>
                <c:pt idx="12">
                  <c:v>Módulo de Interfaz Gráfica</c:v>
                </c:pt>
                <c:pt idx="13">
                  <c:v>Módulo de Red Neuronal</c:v>
                </c:pt>
                <c:pt idx="14">
                  <c:v>Pruebas</c:v>
                </c:pt>
                <c:pt idx="15">
                  <c:v>Diseño de Pruebas</c:v>
                </c:pt>
                <c:pt idx="16">
                  <c:v>Pruebas Unitarias</c:v>
                </c:pt>
                <c:pt idx="17">
                  <c:v>Pruebas de Integración</c:v>
                </c:pt>
                <c:pt idx="18">
                  <c:v>Pruebas de Usabilidad</c:v>
                </c:pt>
                <c:pt idx="19">
                  <c:v>Pruebas de Accesibilidad</c:v>
                </c:pt>
                <c:pt idx="20">
                  <c:v>Documentación</c:v>
                </c:pt>
                <c:pt idx="21">
                  <c:v>Elaboración de la Documentación</c:v>
                </c:pt>
                <c:pt idx="22">
                  <c:v>Revisión de la Documentación</c:v>
                </c:pt>
              </c:strCache>
            </c:strRef>
          </c:cat>
          <c:val>
            <c:numRef>
              <c:f>Planificacion_Inicial!$E$2:$E$24</c:f>
              <c:numCache>
                <c:formatCode>m/d/yyyy</c:formatCode>
                <c:ptCount val="23"/>
                <c:pt idx="0">
                  <c:v>44235</c:v>
                </c:pt>
                <c:pt idx="1">
                  <c:v>44235</c:v>
                </c:pt>
                <c:pt idx="2">
                  <c:v>44235</c:v>
                </c:pt>
                <c:pt idx="3">
                  <c:v>44237</c:v>
                </c:pt>
                <c:pt idx="4">
                  <c:v>44241</c:v>
                </c:pt>
                <c:pt idx="5">
                  <c:v>44243</c:v>
                </c:pt>
                <c:pt idx="6">
                  <c:v>44251</c:v>
                </c:pt>
                <c:pt idx="7">
                  <c:v>44271</c:v>
                </c:pt>
                <c:pt idx="8">
                  <c:v>44279</c:v>
                </c:pt>
                <c:pt idx="9">
                  <c:v>44283</c:v>
                </c:pt>
                <c:pt idx="10">
                  <c:v>44289</c:v>
                </c:pt>
                <c:pt idx="11">
                  <c:v>44289</c:v>
                </c:pt>
                <c:pt idx="12">
                  <c:v>44299</c:v>
                </c:pt>
                <c:pt idx="13">
                  <c:v>44307</c:v>
                </c:pt>
                <c:pt idx="14">
                  <c:v>44323</c:v>
                </c:pt>
                <c:pt idx="15">
                  <c:v>44323</c:v>
                </c:pt>
                <c:pt idx="16">
                  <c:v>44325</c:v>
                </c:pt>
                <c:pt idx="17">
                  <c:v>44331</c:v>
                </c:pt>
                <c:pt idx="18">
                  <c:v>44335</c:v>
                </c:pt>
                <c:pt idx="19">
                  <c:v>44337</c:v>
                </c:pt>
                <c:pt idx="20">
                  <c:v>44339</c:v>
                </c:pt>
                <c:pt idx="21">
                  <c:v>44339</c:v>
                </c:pt>
                <c:pt idx="22">
                  <c:v>44351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3-41F5-AA61-6A41961C4174}"/>
            </c:ext>
          </c:extLst>
        </c:ser>
        <c:ser>
          <c:idx val="1"/>
          <c:order val="1"/>
          <c:tx>
            <c:strRef>
              <c:f>Planificacion_Inicial!$D$1</c:f>
              <c:strCache>
                <c:ptCount val="1"/>
                <c:pt idx="0">
                  <c:v>Duración en días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13-41F5-AA61-6A41961C417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613-41F5-AA61-6A41961C417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613-41F5-AA61-6A41961C417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613-41F5-AA61-6A41961C417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613-41F5-AA61-6A41961C417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613-41F5-AA61-6A41961C417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613-41F5-AA61-6A41961C417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613-41F5-AA61-6A41961C417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613-41F5-AA61-6A41961C417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613-41F5-AA61-6A41961C417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613-41F5-AA61-6A41961C417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613-41F5-AA61-6A41961C417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613-41F5-AA61-6A41961C417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F613-41F5-AA61-6A41961C417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613-41F5-AA61-6A41961C417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F613-41F5-AA61-6A41961C4174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613-41F5-AA61-6A41961C417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F613-41F5-AA61-6A41961C417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613-41F5-AA61-6A41961C417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F613-41F5-AA61-6A41961C417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613-41F5-AA61-6A41961C417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F613-41F5-AA61-6A41961C417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613-41F5-AA61-6A41961C4174}"/>
              </c:ext>
            </c:extLst>
          </c:dPt>
          <c:cat>
            <c:strRef>
              <c:f>Planificacion_Inicial!$B$2:$B$24</c:f>
              <c:strCache>
                <c:ptCount val="23"/>
                <c:pt idx="0">
                  <c:v>Proyecto Completo</c:v>
                </c:pt>
                <c:pt idx="1">
                  <c:v>Análisis y Diseño</c:v>
                </c:pt>
                <c:pt idx="2">
                  <c:v>Definición de Objetivos</c:v>
                </c:pt>
                <c:pt idx="3">
                  <c:v>Definición de Requisitos</c:v>
                </c:pt>
                <c:pt idx="4">
                  <c:v>Presupuesto</c:v>
                </c:pt>
                <c:pt idx="5">
                  <c:v>Aprender uso de GUI en Python</c:v>
                </c:pt>
                <c:pt idx="6">
                  <c:v>Aprender sobre el uso de redes neuronales</c:v>
                </c:pt>
                <c:pt idx="7">
                  <c:v>Redes neuronales aplicadas a juegos</c:v>
                </c:pt>
                <c:pt idx="8">
                  <c:v>Diseño de Interfaces</c:v>
                </c:pt>
                <c:pt idx="9">
                  <c:v>Diseño de Clases</c:v>
                </c:pt>
                <c:pt idx="10">
                  <c:v>Implementación</c:v>
                </c:pt>
                <c:pt idx="11">
                  <c:v>Módulo de Controlador</c:v>
                </c:pt>
                <c:pt idx="12">
                  <c:v>Módulo de Interfaz Gráfica</c:v>
                </c:pt>
                <c:pt idx="13">
                  <c:v>Módulo de Red Neuronal</c:v>
                </c:pt>
                <c:pt idx="14">
                  <c:v>Pruebas</c:v>
                </c:pt>
                <c:pt idx="15">
                  <c:v>Diseño de Pruebas</c:v>
                </c:pt>
                <c:pt idx="16">
                  <c:v>Pruebas Unitarias</c:v>
                </c:pt>
                <c:pt idx="17">
                  <c:v>Pruebas de Integración</c:v>
                </c:pt>
                <c:pt idx="18">
                  <c:v>Pruebas de Usabilidad</c:v>
                </c:pt>
                <c:pt idx="19">
                  <c:v>Pruebas de Accesibilidad</c:v>
                </c:pt>
                <c:pt idx="20">
                  <c:v>Documentación</c:v>
                </c:pt>
                <c:pt idx="21">
                  <c:v>Elaboración de la Documentación</c:v>
                </c:pt>
                <c:pt idx="22">
                  <c:v>Revisión de la Documentación</c:v>
                </c:pt>
              </c:strCache>
            </c:strRef>
          </c:cat>
          <c:val>
            <c:numRef>
              <c:f>Planificacion_Inicial!$D$2:$D$24</c:f>
              <c:numCache>
                <c:formatCode>General</c:formatCode>
                <c:ptCount val="23"/>
                <c:pt idx="0">
                  <c:v>120</c:v>
                </c:pt>
                <c:pt idx="1">
                  <c:v>54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20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34</c:v>
                </c:pt>
                <c:pt idx="11">
                  <c:v>10</c:v>
                </c:pt>
                <c:pt idx="12">
                  <c:v>8</c:v>
                </c:pt>
                <c:pt idx="13">
                  <c:v>16</c:v>
                </c:pt>
                <c:pt idx="14">
                  <c:v>16</c:v>
                </c:pt>
                <c:pt idx="15">
                  <c:v>2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12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13-41F5-AA61-6A41961C4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4231920"/>
        <c:axId val="1504232336"/>
      </c:barChart>
      <c:catAx>
        <c:axId val="1504231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32336"/>
        <c:crossesAt val="44235"/>
        <c:auto val="1"/>
        <c:lblAlgn val="ctr"/>
        <c:lblOffset val="100"/>
        <c:noMultiLvlLbl val="0"/>
      </c:catAx>
      <c:valAx>
        <c:axId val="1504232336"/>
        <c:scaling>
          <c:orientation val="minMax"/>
          <c:max val="44354"/>
          <c:min val="442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31920"/>
        <c:crosses val="autoZero"/>
        <c:crossBetween val="between"/>
        <c:majorUnit val="29"/>
        <c:min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0</xdr:rowOff>
    </xdr:from>
    <xdr:to>
      <xdr:col>17</xdr:col>
      <xdr:colOff>7620</xdr:colOff>
      <xdr:row>26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E1952F-887F-457D-9AE3-5D619D17F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D757F0-03FD-4F2F-9C4C-3F6A6642F243}" name="Tabla7" displayName="Tabla7" ref="A2:G25" totalsRowShown="0" headerRowDxfId="17" dataDxfId="16">
  <autoFilter ref="A2:G25" xr:uid="{F2D757F0-03FD-4F2F-9C4C-3F6A6642F243}"/>
  <tableColumns count="7">
    <tableColumn id="4" xr3:uid="{462B5620-769F-42FA-8572-640AFA84CF54}" name="Descripción" dataDxfId="15">
      <calculatedColumnFormula>Planificacion_Inicial!B2</calculatedColumnFormula>
    </tableColumn>
    <tableColumn id="5" xr3:uid="{A918A855-70E0-43CA-B17C-8B8F988AEF57}" name="Cantidad" dataDxfId="14">
      <calculatedColumnFormula>Planificacion_Inicial!C2</calculatedColumnFormula>
    </tableColumn>
    <tableColumn id="6" xr3:uid="{932E27C9-D818-427B-92F6-C4F52D5BFC8F}" name="Unidades" dataDxfId="13"/>
    <tableColumn id="13" xr3:uid="{9046627A-F48E-488C-862C-A025D14C1A30}" name="Participantes" dataDxfId="12">
      <calculatedColumnFormula>Planificacion_Inicial!G2</calculatedColumnFormula>
    </tableColumn>
    <tableColumn id="2" xr3:uid="{D82B9949-7D1C-4C9A-9231-4D0F7D181C37}" name="Coste por hora" dataDxfId="11">
      <calculatedColumnFormula>'Coste de personal'!M1</calculatedColumnFormula>
    </tableColumn>
    <tableColumn id="9" xr3:uid="{265CAA25-A48F-4AB4-8E4C-C8BD8F6145CB}" name="Subtotal" dataDxfId="10">
      <calculatedColumnFormula>(Tabla7[[#This Row],[Coste por hora]]*Tabla7[[#This Row],[Cantidad]])</calculatedColumnFormula>
    </tableColumn>
    <tableColumn id="10" xr3:uid="{3548782A-0D6F-4F91-993F-F7E8E7B81AD7}" name="Total" dataDxfId="9">
      <calculatedColumnFormula>SUM(F4:F7,F10:F11)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9471FB-B307-4A98-BB74-AC181EDF3503}" name="Tabla2" displayName="Tabla2" ref="E1:G23" totalsRowShown="0" dataDxfId="8">
  <autoFilter ref="E1:G23" xr:uid="{119471FB-B307-4A98-BB74-AC181EDF3503}"/>
  <tableColumns count="3">
    <tableColumn id="1" xr3:uid="{977D24E1-6307-4072-9D89-57C63F397CE7}" name="Partida" dataDxfId="7">
      <calculatedColumnFormula>(Planificacion_Inicial!B3)</calculatedColumnFormula>
    </tableColumn>
    <tableColumn id="2" xr3:uid="{384B0842-8A4B-438E-841F-2F55B875830A}" name="Coste" dataDxfId="6">
      <calculatedColumnFormula>'Presupuesto inicial'!F4</calculatedColumnFormula>
    </tableColumn>
    <tableColumn id="3" xr3:uid="{72B81624-59F2-48EE-92CA-7DF8403553CA}" name="Total" dataDxfId="5">
      <calculatedColumnFormula>SUM(F3:F10)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6A7710-9164-47B9-8C8A-30C43531CE52}" name="Tabla3" displayName="Tabla3" ref="K1:M12" totalsRowShown="0" headerRowDxfId="4" dataDxfId="3">
  <autoFilter ref="K1:M12" xr:uid="{C66A7710-9164-47B9-8C8A-30C43531CE52}"/>
  <tableColumns count="3">
    <tableColumn id="1" xr3:uid="{3C1F8E41-67BF-4F04-A784-23E9357E691A}" name="Partida" dataDxfId="2">
      <calculatedColumnFormula>#REF!</calculatedColumnFormula>
    </tableColumn>
    <tableColumn id="2" xr3:uid="{BE04F76D-3E14-423B-A409-758C0A65547C}" name="Coste" dataDxfId="1">
      <calculatedColumnFormula>'Presupuesto interno'!#REF!</calculatedColumnFormula>
    </tableColumn>
    <tableColumn id="3" xr3:uid="{1F1FCDEB-E78C-4D15-9044-BBA1500172D9}" name="Total" dataDxfId="0">
      <calculatedColumnFormula>#REF!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A03D-9082-4234-9404-AB9320BC371F}">
  <dimension ref="A1:G29"/>
  <sheetViews>
    <sheetView topLeftCell="E1" workbookViewId="0">
      <selection activeCell="C24" sqref="A1:C24"/>
    </sheetView>
  </sheetViews>
  <sheetFormatPr baseColWidth="10" defaultRowHeight="14.4" x14ac:dyDescent="0.3"/>
  <cols>
    <col min="1" max="1" width="8.21875" style="65" customWidth="1"/>
    <col min="2" max="2" width="38.109375" customWidth="1"/>
    <col min="3" max="3" width="15.88671875" style="6" customWidth="1"/>
    <col min="4" max="4" width="16.5546875" style="6" customWidth="1"/>
    <col min="5" max="5" width="13.109375" customWidth="1"/>
    <col min="6" max="6" width="15.21875" customWidth="1"/>
    <col min="7" max="7" width="21.88671875" style="48" customWidth="1"/>
  </cols>
  <sheetData>
    <row r="1" spans="1:7" x14ac:dyDescent="0.3">
      <c r="B1" s="14" t="s">
        <v>0</v>
      </c>
      <c r="C1" s="15" t="s">
        <v>4</v>
      </c>
      <c r="D1" s="15" t="s">
        <v>5</v>
      </c>
      <c r="E1" s="14" t="s">
        <v>1</v>
      </c>
      <c r="F1" s="14" t="s">
        <v>2</v>
      </c>
      <c r="G1" s="45" t="s">
        <v>36</v>
      </c>
    </row>
    <row r="2" spans="1:7" s="1" customFormat="1" x14ac:dyDescent="0.3">
      <c r="A2" s="44"/>
      <c r="B2" s="1" t="s">
        <v>3</v>
      </c>
      <c r="C2" s="7">
        <f>SUM(C3,C12,C16,C22)</f>
        <v>300</v>
      </c>
      <c r="D2" s="7">
        <f>(C2/2.5)</f>
        <v>120</v>
      </c>
      <c r="E2" s="13">
        <f>E4</f>
        <v>44235</v>
      </c>
      <c r="F2" s="13">
        <f t="shared" ref="F2:F24" si="0">(E2+D2-1)</f>
        <v>44354</v>
      </c>
      <c r="G2" s="46"/>
    </row>
    <row r="3" spans="1:7" s="1" customFormat="1" x14ac:dyDescent="0.3">
      <c r="A3" s="66">
        <v>1</v>
      </c>
      <c r="B3" s="8" t="s">
        <v>47</v>
      </c>
      <c r="C3" s="7">
        <f>(SUM(C4:C11))</f>
        <v>135</v>
      </c>
      <c r="D3" s="7">
        <f>(C3/2.5)</f>
        <v>54</v>
      </c>
      <c r="E3" s="13">
        <f>E4</f>
        <v>44235</v>
      </c>
      <c r="F3" s="13">
        <f t="shared" si="0"/>
        <v>44288</v>
      </c>
      <c r="G3" s="46"/>
    </row>
    <row r="4" spans="1:7" x14ac:dyDescent="0.3">
      <c r="A4" s="67" t="s">
        <v>49</v>
      </c>
      <c r="B4" s="2" t="s">
        <v>48</v>
      </c>
      <c r="C4" s="6">
        <v>5</v>
      </c>
      <c r="D4" s="6">
        <f>(C4/2.5)</f>
        <v>2</v>
      </c>
      <c r="E4" s="12">
        <v>44235</v>
      </c>
      <c r="F4" s="12">
        <f t="shared" si="0"/>
        <v>44236</v>
      </c>
      <c r="G4" s="47" t="str">
        <f>'Coste de personal'!A3</f>
        <v>Analista de sistemas</v>
      </c>
    </row>
    <row r="5" spans="1:7" x14ac:dyDescent="0.3">
      <c r="A5" s="67" t="s">
        <v>51</v>
      </c>
      <c r="B5" s="2" t="s">
        <v>50</v>
      </c>
      <c r="C5" s="6">
        <v>10</v>
      </c>
      <c r="D5" s="6">
        <f>(C5/2.5)</f>
        <v>4</v>
      </c>
      <c r="E5" s="12">
        <f t="shared" ref="E5:E11" si="1">(F4+1)</f>
        <v>44237</v>
      </c>
      <c r="F5" s="12">
        <f t="shared" si="0"/>
        <v>44240</v>
      </c>
      <c r="G5" s="48" t="str">
        <f>'Coste de personal'!A3</f>
        <v>Analista de sistemas</v>
      </c>
    </row>
    <row r="6" spans="1:7" x14ac:dyDescent="0.3">
      <c r="A6" s="67" t="s">
        <v>53</v>
      </c>
      <c r="B6" s="2" t="s">
        <v>52</v>
      </c>
      <c r="C6" s="6">
        <v>5</v>
      </c>
      <c r="D6" s="6">
        <f>(C6/2.5)</f>
        <v>2</v>
      </c>
      <c r="E6" s="12">
        <f t="shared" si="1"/>
        <v>44241</v>
      </c>
      <c r="F6" s="12">
        <f t="shared" si="0"/>
        <v>44242</v>
      </c>
      <c r="G6" s="48" t="str">
        <f>'Coste de personal'!A3</f>
        <v>Analista de sistemas</v>
      </c>
    </row>
    <row r="7" spans="1:7" x14ac:dyDescent="0.3">
      <c r="A7" s="67" t="s">
        <v>83</v>
      </c>
      <c r="B7" s="2" t="s">
        <v>54</v>
      </c>
      <c r="C7" s="6">
        <v>20</v>
      </c>
      <c r="D7" s="6">
        <f t="shared" ref="D7:D24" si="2">(C7/2.5)</f>
        <v>8</v>
      </c>
      <c r="E7" s="12">
        <f t="shared" si="1"/>
        <v>44243</v>
      </c>
      <c r="F7" s="12">
        <f t="shared" si="0"/>
        <v>44250</v>
      </c>
      <c r="G7" s="75" t="str">
        <f>'Coste de personal'!A3</f>
        <v>Analista de sistemas</v>
      </c>
    </row>
    <row r="8" spans="1:7" x14ac:dyDescent="0.3">
      <c r="A8" s="67" t="s">
        <v>84</v>
      </c>
      <c r="B8" s="2" t="s">
        <v>86</v>
      </c>
      <c r="C8" s="6">
        <v>50</v>
      </c>
      <c r="D8" s="6">
        <f t="shared" si="2"/>
        <v>20</v>
      </c>
      <c r="E8" s="12">
        <f t="shared" si="1"/>
        <v>44251</v>
      </c>
      <c r="F8" s="12">
        <f t="shared" si="0"/>
        <v>44270</v>
      </c>
      <c r="G8" s="75" t="str">
        <f>'Coste de personal'!A3</f>
        <v>Analista de sistemas</v>
      </c>
    </row>
    <row r="9" spans="1:7" x14ac:dyDescent="0.3">
      <c r="A9" s="67" t="s">
        <v>85</v>
      </c>
      <c r="B9" s="2" t="s">
        <v>55</v>
      </c>
      <c r="C9" s="6">
        <v>20</v>
      </c>
      <c r="D9" s="6">
        <f t="shared" si="2"/>
        <v>8</v>
      </c>
      <c r="E9" s="12">
        <f t="shared" si="1"/>
        <v>44271</v>
      </c>
      <c r="F9" s="12">
        <f t="shared" si="0"/>
        <v>44278</v>
      </c>
      <c r="G9" s="75" t="str">
        <f>'Coste de personal'!A3</f>
        <v>Analista de sistemas</v>
      </c>
    </row>
    <row r="10" spans="1:7" x14ac:dyDescent="0.3">
      <c r="A10" s="67" t="s">
        <v>90</v>
      </c>
      <c r="B10" s="2" t="s">
        <v>56</v>
      </c>
      <c r="C10" s="6">
        <v>10</v>
      </c>
      <c r="D10" s="6">
        <f t="shared" si="2"/>
        <v>4</v>
      </c>
      <c r="E10" s="12">
        <f t="shared" si="1"/>
        <v>44279</v>
      </c>
      <c r="F10" s="12">
        <f t="shared" si="0"/>
        <v>44282</v>
      </c>
      <c r="G10" s="75" t="str">
        <f>'Coste de personal'!A2</f>
        <v>Arquitecto software</v>
      </c>
    </row>
    <row r="11" spans="1:7" x14ac:dyDescent="0.3">
      <c r="A11" s="67" t="s">
        <v>91</v>
      </c>
      <c r="B11" s="2" t="s">
        <v>57</v>
      </c>
      <c r="C11" s="6">
        <v>15</v>
      </c>
      <c r="D11" s="6">
        <f t="shared" si="2"/>
        <v>6</v>
      </c>
      <c r="E11" s="12">
        <f t="shared" si="1"/>
        <v>44283</v>
      </c>
      <c r="F11" s="12">
        <f t="shared" si="0"/>
        <v>44288</v>
      </c>
      <c r="G11" s="49" t="str">
        <f>'Coste de personal'!A2</f>
        <v>Arquitecto software</v>
      </c>
    </row>
    <row r="12" spans="1:7" s="1" customFormat="1" x14ac:dyDescent="0.3">
      <c r="A12" s="68">
        <v>2</v>
      </c>
      <c r="B12" s="9" t="s">
        <v>58</v>
      </c>
      <c r="C12" s="7">
        <f>SUM(C13:C15)</f>
        <v>85</v>
      </c>
      <c r="D12" s="7">
        <f t="shared" si="2"/>
        <v>34</v>
      </c>
      <c r="E12" s="13">
        <f>E13</f>
        <v>44289</v>
      </c>
      <c r="F12" s="13">
        <f t="shared" si="0"/>
        <v>44322</v>
      </c>
      <c r="G12" s="46"/>
    </row>
    <row r="13" spans="1:7" x14ac:dyDescent="0.3">
      <c r="A13" s="69" t="s">
        <v>60</v>
      </c>
      <c r="B13" s="3" t="s">
        <v>59</v>
      </c>
      <c r="C13" s="6">
        <v>25</v>
      </c>
      <c r="D13" s="6">
        <f t="shared" si="2"/>
        <v>10</v>
      </c>
      <c r="E13" s="12">
        <f>(F11+1)</f>
        <v>44289</v>
      </c>
      <c r="F13" s="12">
        <f t="shared" si="0"/>
        <v>44298</v>
      </c>
      <c r="G13" s="49" t="str">
        <f>'Coste de personal'!A4</f>
        <v>Desarrollador</v>
      </c>
    </row>
    <row r="14" spans="1:7" x14ac:dyDescent="0.3">
      <c r="A14" s="69" t="s">
        <v>62</v>
      </c>
      <c r="B14" s="3" t="s">
        <v>61</v>
      </c>
      <c r="C14" s="6">
        <v>20</v>
      </c>
      <c r="D14" s="6">
        <f t="shared" si="2"/>
        <v>8</v>
      </c>
      <c r="E14" s="12">
        <f>(F13+1)</f>
        <v>44299</v>
      </c>
      <c r="F14" s="12">
        <f t="shared" si="0"/>
        <v>44306</v>
      </c>
      <c r="G14" s="49" t="str">
        <f>'Coste de personal'!A4</f>
        <v>Desarrollador</v>
      </c>
    </row>
    <row r="15" spans="1:7" x14ac:dyDescent="0.3">
      <c r="A15" s="69" t="s">
        <v>64</v>
      </c>
      <c r="B15" s="3" t="s">
        <v>63</v>
      </c>
      <c r="C15" s="6">
        <v>40</v>
      </c>
      <c r="D15" s="6">
        <f t="shared" si="2"/>
        <v>16</v>
      </c>
      <c r="E15" s="12">
        <f>(F14+1)</f>
        <v>44307</v>
      </c>
      <c r="F15" s="12">
        <f t="shared" si="0"/>
        <v>44322</v>
      </c>
      <c r="G15" s="49" t="str">
        <f>'Coste de personal'!A4</f>
        <v>Desarrollador</v>
      </c>
    </row>
    <row r="16" spans="1:7" s="1" customFormat="1" x14ac:dyDescent="0.3">
      <c r="A16" s="70">
        <v>3</v>
      </c>
      <c r="B16" s="10" t="s">
        <v>65</v>
      </c>
      <c r="C16" s="7">
        <f>SUM(C17:C21)</f>
        <v>40</v>
      </c>
      <c r="D16" s="7">
        <f t="shared" si="2"/>
        <v>16</v>
      </c>
      <c r="E16" s="13">
        <f>E17</f>
        <v>44323</v>
      </c>
      <c r="F16" s="13">
        <f t="shared" si="0"/>
        <v>44338</v>
      </c>
      <c r="G16" s="46"/>
    </row>
    <row r="17" spans="1:7" x14ac:dyDescent="0.3">
      <c r="A17" s="71" t="s">
        <v>67</v>
      </c>
      <c r="B17" s="4" t="s">
        <v>66</v>
      </c>
      <c r="C17" s="6">
        <v>5</v>
      </c>
      <c r="D17" s="6">
        <f t="shared" si="2"/>
        <v>2</v>
      </c>
      <c r="E17" s="12">
        <f>(F15+1)</f>
        <v>44323</v>
      </c>
      <c r="F17" s="12">
        <f t="shared" si="0"/>
        <v>44324</v>
      </c>
      <c r="G17" s="49" t="str">
        <f>'Coste de personal'!A5</f>
        <v>Tester</v>
      </c>
    </row>
    <row r="18" spans="1:7" x14ac:dyDescent="0.3">
      <c r="A18" s="71" t="s">
        <v>69</v>
      </c>
      <c r="B18" s="4" t="s">
        <v>68</v>
      </c>
      <c r="C18" s="6">
        <v>15</v>
      </c>
      <c r="D18" s="6">
        <f t="shared" si="2"/>
        <v>6</v>
      </c>
      <c r="E18" s="12">
        <f>(F17+1)</f>
        <v>44325</v>
      </c>
      <c r="F18" s="12">
        <f t="shared" si="0"/>
        <v>44330</v>
      </c>
      <c r="G18" s="49" t="str">
        <f>'Coste de personal'!A5</f>
        <v>Tester</v>
      </c>
    </row>
    <row r="19" spans="1:7" x14ac:dyDescent="0.3">
      <c r="A19" s="71" t="s">
        <v>70</v>
      </c>
      <c r="B19" s="4" t="s">
        <v>78</v>
      </c>
      <c r="C19" s="6">
        <v>10</v>
      </c>
      <c r="D19" s="6">
        <f t="shared" si="2"/>
        <v>4</v>
      </c>
      <c r="E19" s="12">
        <f>(F18+1)</f>
        <v>44331</v>
      </c>
      <c r="F19" s="12">
        <f t="shared" si="0"/>
        <v>44334</v>
      </c>
      <c r="G19" s="49" t="str">
        <f>'Coste de personal'!A5</f>
        <v>Tester</v>
      </c>
    </row>
    <row r="20" spans="1:7" x14ac:dyDescent="0.3">
      <c r="A20" s="71" t="s">
        <v>71</v>
      </c>
      <c r="B20" s="4" t="s">
        <v>79</v>
      </c>
      <c r="C20" s="6">
        <v>5</v>
      </c>
      <c r="D20" s="6">
        <f t="shared" si="2"/>
        <v>2</v>
      </c>
      <c r="E20" s="12">
        <f>(F19+1)</f>
        <v>44335</v>
      </c>
      <c r="F20" s="12">
        <f t="shared" si="0"/>
        <v>44336</v>
      </c>
      <c r="G20" s="49" t="str">
        <f>'Coste de personal'!A5</f>
        <v>Tester</v>
      </c>
    </row>
    <row r="21" spans="1:7" x14ac:dyDescent="0.3">
      <c r="A21" s="71" t="s">
        <v>72</v>
      </c>
      <c r="B21" s="4" t="s">
        <v>80</v>
      </c>
      <c r="C21" s="6">
        <v>5</v>
      </c>
      <c r="D21" s="6">
        <f t="shared" si="2"/>
        <v>2</v>
      </c>
      <c r="E21" s="12">
        <f>(F20+1)</f>
        <v>44337</v>
      </c>
      <c r="F21" s="12">
        <f t="shared" si="0"/>
        <v>44338</v>
      </c>
      <c r="G21" s="49" t="str">
        <f>'Coste de personal'!A5</f>
        <v>Tester</v>
      </c>
    </row>
    <row r="22" spans="1:7" s="1" customFormat="1" x14ac:dyDescent="0.3">
      <c r="A22" s="72">
        <v>4</v>
      </c>
      <c r="B22" s="11" t="s">
        <v>73</v>
      </c>
      <c r="C22" s="7">
        <f>SUM(C23:C24)</f>
        <v>40</v>
      </c>
      <c r="D22" s="7">
        <f t="shared" si="2"/>
        <v>16</v>
      </c>
      <c r="E22" s="13">
        <f>E23</f>
        <v>44339</v>
      </c>
      <c r="F22" s="13">
        <f t="shared" si="0"/>
        <v>44354</v>
      </c>
      <c r="G22" s="46"/>
    </row>
    <row r="23" spans="1:7" x14ac:dyDescent="0.3">
      <c r="A23" s="73" t="s">
        <v>75</v>
      </c>
      <c r="B23" s="5" t="s">
        <v>74</v>
      </c>
      <c r="C23" s="6">
        <v>30</v>
      </c>
      <c r="D23" s="6">
        <f t="shared" si="2"/>
        <v>12</v>
      </c>
      <c r="E23" s="12">
        <f>(F21+1)</f>
        <v>44339</v>
      </c>
      <c r="F23" s="12">
        <f t="shared" si="0"/>
        <v>44350</v>
      </c>
      <c r="G23" s="48" t="str">
        <f>'Coste de personal'!A3</f>
        <v>Analista de sistemas</v>
      </c>
    </row>
    <row r="24" spans="1:7" x14ac:dyDescent="0.3">
      <c r="A24" s="73" t="s">
        <v>76</v>
      </c>
      <c r="B24" s="5" t="s">
        <v>77</v>
      </c>
      <c r="C24" s="6">
        <v>10</v>
      </c>
      <c r="D24" s="6">
        <f t="shared" si="2"/>
        <v>4</v>
      </c>
      <c r="E24" s="12">
        <f>(F23+1)</f>
        <v>44351</v>
      </c>
      <c r="F24" s="12">
        <f t="shared" si="0"/>
        <v>44354</v>
      </c>
      <c r="G24" s="48" t="str">
        <f>'Coste de personal'!A3</f>
        <v>Analista de sistemas</v>
      </c>
    </row>
    <row r="29" spans="1:7" x14ac:dyDescent="0.3">
      <c r="A29" s="65" t="s">
        <v>89</v>
      </c>
    </row>
  </sheetData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BF065-F789-4FBE-805C-2762AADCF0E1}">
  <dimension ref="A1:M6"/>
  <sheetViews>
    <sheetView workbookViewId="0">
      <selection activeCell="D2" sqref="D2"/>
    </sheetView>
  </sheetViews>
  <sheetFormatPr baseColWidth="10" defaultRowHeight="14.4" x14ac:dyDescent="0.3"/>
  <cols>
    <col min="1" max="1" width="20.109375" customWidth="1"/>
    <col min="3" max="3" width="12.5546875" customWidth="1"/>
    <col min="4" max="4" width="12.6640625" customWidth="1"/>
    <col min="5" max="5" width="12.5546875" customWidth="1"/>
    <col min="6" max="6" width="16.77734375" customWidth="1"/>
    <col min="7" max="7" width="17.21875" customWidth="1"/>
    <col min="10" max="10" width="20.109375" customWidth="1"/>
    <col min="11" max="11" width="14" customWidth="1"/>
    <col min="13" max="13" width="13.77734375" customWidth="1"/>
  </cols>
  <sheetData>
    <row r="1" spans="1:13" x14ac:dyDescent="0.3">
      <c r="A1" s="16" t="s">
        <v>6</v>
      </c>
      <c r="B1" s="17" t="s">
        <v>7</v>
      </c>
      <c r="C1" s="17" t="s">
        <v>8</v>
      </c>
      <c r="D1" s="17" t="s">
        <v>9</v>
      </c>
      <c r="E1" s="18" t="s">
        <v>10</v>
      </c>
      <c r="F1" s="16" t="s">
        <v>11</v>
      </c>
      <c r="G1" s="18" t="s">
        <v>12</v>
      </c>
      <c r="H1" s="19"/>
      <c r="I1" s="20" t="s">
        <v>13</v>
      </c>
      <c r="J1" s="19"/>
      <c r="K1" s="21" t="s">
        <v>14</v>
      </c>
      <c r="L1" s="19"/>
      <c r="M1" s="22" t="s">
        <v>15</v>
      </c>
    </row>
    <row r="2" spans="1:13" x14ac:dyDescent="0.3">
      <c r="A2" s="29" t="s">
        <v>16</v>
      </c>
      <c r="B2">
        <v>1</v>
      </c>
      <c r="C2" s="30">
        <v>45000</v>
      </c>
      <c r="D2">
        <f>ROUND(C2*1.3,0)</f>
        <v>58500</v>
      </c>
      <c r="E2" s="24">
        <f>D2*B2</f>
        <v>58500</v>
      </c>
      <c r="F2" s="23">
        <v>90</v>
      </c>
      <c r="G2" s="24">
        <f>ROUND(1920*F2/100,0)</f>
        <v>1728</v>
      </c>
      <c r="H2" s="23"/>
      <c r="I2" s="25">
        <f>ROUND(E2*F2/100,0)</f>
        <v>52650</v>
      </c>
      <c r="J2" s="23"/>
      <c r="K2" s="23">
        <f>ROUND(E2*(100-F2)/100,0)</f>
        <v>5850</v>
      </c>
      <c r="L2" s="23"/>
      <c r="M2">
        <f>ROUND(D2/1920,2)</f>
        <v>30.47</v>
      </c>
    </row>
    <row r="3" spans="1:13" x14ac:dyDescent="0.3">
      <c r="A3" s="29" t="s">
        <v>17</v>
      </c>
      <c r="B3">
        <v>1</v>
      </c>
      <c r="C3" s="30">
        <v>34900</v>
      </c>
      <c r="D3">
        <f>ROUND(C3*1.3,0)</f>
        <v>45370</v>
      </c>
      <c r="E3" s="24">
        <f>D3*B3</f>
        <v>45370</v>
      </c>
      <c r="F3" s="23">
        <v>90</v>
      </c>
      <c r="G3" s="24">
        <f>ROUND(1920*F3/100,0)</f>
        <v>1728</v>
      </c>
      <c r="H3" s="23"/>
      <c r="I3" s="25">
        <f>ROUND(E3*F3/100,0)</f>
        <v>40833</v>
      </c>
      <c r="J3" s="23"/>
      <c r="K3" s="23">
        <f>ROUND(E3*(100-F3)/100,0)</f>
        <v>4537</v>
      </c>
      <c r="L3" s="23"/>
      <c r="M3">
        <f>ROUND(D3/1920,2)</f>
        <v>23.63</v>
      </c>
    </row>
    <row r="4" spans="1:13" x14ac:dyDescent="0.3">
      <c r="A4" s="29" t="s">
        <v>87</v>
      </c>
      <c r="B4">
        <v>1</v>
      </c>
      <c r="C4" s="30">
        <v>19630</v>
      </c>
      <c r="D4">
        <f>ROUND(C4*1.3,0)</f>
        <v>25519</v>
      </c>
      <c r="E4" s="24">
        <f>D4*B4</f>
        <v>25519</v>
      </c>
      <c r="F4" s="23">
        <v>85</v>
      </c>
      <c r="G4" s="24">
        <f>ROUND(1920*F4/100,0)</f>
        <v>1632</v>
      </c>
      <c r="H4" s="23"/>
      <c r="I4" s="25">
        <f>ROUND(E4*F4/100,0)</f>
        <v>21691</v>
      </c>
      <c r="J4" s="23"/>
      <c r="K4" s="23">
        <f>ROUND(E4*(100-F4)/100,0)</f>
        <v>3828</v>
      </c>
      <c r="L4" s="23"/>
      <c r="M4">
        <f>ROUND(D4/1920,2)</f>
        <v>13.29</v>
      </c>
    </row>
    <row r="5" spans="1:13" x14ac:dyDescent="0.3">
      <c r="A5" s="29" t="s">
        <v>18</v>
      </c>
      <c r="B5">
        <v>1</v>
      </c>
      <c r="C5" s="30">
        <v>25350</v>
      </c>
      <c r="D5">
        <f>ROUND(C5*1.3,0)</f>
        <v>32955</v>
      </c>
      <c r="E5" s="24">
        <f>D5*B5</f>
        <v>32955</v>
      </c>
      <c r="F5" s="23">
        <v>90</v>
      </c>
      <c r="G5" s="24">
        <f>ROUND(1920*F5/100,0)</f>
        <v>1728</v>
      </c>
      <c r="H5" s="23"/>
      <c r="I5" s="25">
        <f>ROUND(E5*F5/100,0)</f>
        <v>29660</v>
      </c>
      <c r="J5" s="23"/>
      <c r="K5" s="23">
        <f>ROUND(E5*(100-F5)/100,0)</f>
        <v>3296</v>
      </c>
      <c r="L5" s="23"/>
      <c r="M5">
        <f>ROUND(D5/1920,2)</f>
        <v>17.16</v>
      </c>
    </row>
    <row r="6" spans="1:13" x14ac:dyDescent="0.3">
      <c r="D6" s="26" t="s">
        <v>19</v>
      </c>
      <c r="E6" s="27">
        <f>SUM(E2:E5)</f>
        <v>162344</v>
      </c>
      <c r="F6" s="1"/>
      <c r="G6" s="1"/>
      <c r="H6" s="26" t="s">
        <v>20</v>
      </c>
      <c r="I6" s="28">
        <f>SUM(I2:I5)</f>
        <v>144834</v>
      </c>
      <c r="J6" s="26" t="s">
        <v>21</v>
      </c>
      <c r="K6" s="28">
        <f>SUM(K2:K5)</f>
        <v>17511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8C43-6D0A-4601-A1B0-A769CFC83B6E}">
  <dimension ref="A1:D6"/>
  <sheetViews>
    <sheetView workbookViewId="0">
      <selection activeCell="D29" sqref="D29"/>
    </sheetView>
  </sheetViews>
  <sheetFormatPr baseColWidth="10" defaultRowHeight="14.4" x14ac:dyDescent="0.3"/>
  <cols>
    <col min="1" max="1" width="42.44140625" customWidth="1"/>
  </cols>
  <sheetData>
    <row r="1" spans="1:4" x14ac:dyDescent="0.3">
      <c r="A1" s="16" t="s">
        <v>22</v>
      </c>
      <c r="B1" s="17" t="s">
        <v>23</v>
      </c>
      <c r="C1" s="17" t="s">
        <v>24</v>
      </c>
      <c r="D1" s="17" t="s">
        <v>10</v>
      </c>
    </row>
    <row r="2" spans="1:4" x14ac:dyDescent="0.3">
      <c r="A2" t="s">
        <v>25</v>
      </c>
      <c r="B2">
        <v>4</v>
      </c>
      <c r="C2" s="31">
        <v>50</v>
      </c>
      <c r="D2" s="31">
        <f>C2*B2</f>
        <v>200</v>
      </c>
    </row>
    <row r="3" spans="1:4" x14ac:dyDescent="0.3">
      <c r="A3" t="s">
        <v>26</v>
      </c>
      <c r="B3">
        <v>4</v>
      </c>
      <c r="C3" s="31">
        <v>50</v>
      </c>
      <c r="D3" s="31">
        <f>C3*B3</f>
        <v>200</v>
      </c>
    </row>
    <row r="4" spans="1:4" x14ac:dyDescent="0.3">
      <c r="A4" t="s">
        <v>27</v>
      </c>
      <c r="B4">
        <v>4</v>
      </c>
      <c r="C4" s="31">
        <v>20</v>
      </c>
      <c r="D4" s="31">
        <f>C4*B4</f>
        <v>80</v>
      </c>
    </row>
    <row r="6" spans="1:4" x14ac:dyDescent="0.3">
      <c r="A6" s="16" t="s">
        <v>19</v>
      </c>
      <c r="B6" s="32">
        <f>SUM(D2:D4)</f>
        <v>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D725C-4884-4A2C-9459-00B6F79789CA}">
  <dimension ref="A2:G25"/>
  <sheetViews>
    <sheetView workbookViewId="0">
      <selection activeCell="A5" sqref="A5"/>
    </sheetView>
  </sheetViews>
  <sheetFormatPr baseColWidth="10" defaultRowHeight="14.4" x14ac:dyDescent="0.3"/>
  <cols>
    <col min="1" max="1" width="31" style="43" customWidth="1"/>
    <col min="2" max="2" width="5.33203125" style="51" customWidth="1"/>
    <col min="3" max="3" width="5.88671875" style="43" customWidth="1"/>
    <col min="4" max="4" width="18" style="43" customWidth="1"/>
    <col min="5" max="5" width="7" style="50" customWidth="1"/>
    <col min="6" max="6" width="7.77734375" style="43" customWidth="1"/>
    <col min="7" max="7" width="7.44140625" style="44" customWidth="1"/>
    <col min="8" max="16384" width="11.5546875" style="43"/>
  </cols>
  <sheetData>
    <row r="2" spans="1:7" ht="16.2" customHeight="1" x14ac:dyDescent="0.3">
      <c r="A2" s="76" t="s">
        <v>37</v>
      </c>
      <c r="B2" s="77" t="s">
        <v>38</v>
      </c>
      <c r="C2" s="76" t="s">
        <v>39</v>
      </c>
      <c r="D2" s="76" t="s">
        <v>36</v>
      </c>
      <c r="E2" s="78" t="s">
        <v>15</v>
      </c>
      <c r="F2" s="79" t="s">
        <v>88</v>
      </c>
      <c r="G2" s="76" t="s">
        <v>31</v>
      </c>
    </row>
    <row r="3" spans="1:7" ht="16.2" customHeight="1" x14ac:dyDescent="0.3">
      <c r="A3" s="76" t="str">
        <f>Planificacion_Inicial!B2</f>
        <v>Proyecto Completo</v>
      </c>
      <c r="B3" s="77">
        <f>Planificacion_Inicial!C2</f>
        <v>300</v>
      </c>
      <c r="C3" s="76" t="s">
        <v>40</v>
      </c>
      <c r="D3" s="80"/>
      <c r="E3" s="81"/>
      <c r="F3" s="81"/>
      <c r="G3" s="82">
        <f>SUM(G4,G13,G17,G23)</f>
        <v>6122.2999999999984</v>
      </c>
    </row>
    <row r="4" spans="1:7" s="44" customFormat="1" x14ac:dyDescent="0.3">
      <c r="A4" s="76" t="str">
        <f>Planificacion_Inicial!B3</f>
        <v>Análisis y Diseño</v>
      </c>
      <c r="B4" s="77">
        <f>Planificacion_Inicial!C3</f>
        <v>135</v>
      </c>
      <c r="C4" s="79" t="s">
        <v>40</v>
      </c>
      <c r="D4" s="83"/>
      <c r="E4" s="81"/>
      <c r="F4" s="81"/>
      <c r="G4" s="82">
        <f>SUM(F5:F12)</f>
        <v>3361.0499999999993</v>
      </c>
    </row>
    <row r="5" spans="1:7" x14ac:dyDescent="0.3">
      <c r="A5" s="79" t="str">
        <f>Planificacion_Inicial!B4</f>
        <v>Definición de Objetivos</v>
      </c>
      <c r="B5" s="84">
        <f>Planificacion_Inicial!C4</f>
        <v>5</v>
      </c>
      <c r="C5" s="79" t="s">
        <v>40</v>
      </c>
      <c r="D5" s="83" t="str">
        <f>Planificacion_Inicial!G4</f>
        <v>Analista de sistemas</v>
      </c>
      <c r="E5" s="81">
        <f>'Coste de personal'!$M$3</f>
        <v>23.63</v>
      </c>
      <c r="F5" s="81">
        <f>(Tabla7[[#This Row],[Coste por hora]]*Tabla7[[#This Row],[Cantidad]])</f>
        <v>118.14999999999999</v>
      </c>
      <c r="G5" s="82"/>
    </row>
    <row r="6" spans="1:7" x14ac:dyDescent="0.3">
      <c r="A6" s="79" t="str">
        <f>Planificacion_Inicial!B5</f>
        <v>Definición de Requisitos</v>
      </c>
      <c r="B6" s="84">
        <f>Planificacion_Inicial!C5</f>
        <v>10</v>
      </c>
      <c r="C6" s="79" t="s">
        <v>40</v>
      </c>
      <c r="D6" s="83" t="str">
        <f>Planificacion_Inicial!G5</f>
        <v>Analista de sistemas</v>
      </c>
      <c r="E6" s="81">
        <f>'Coste de personal'!$M$3</f>
        <v>23.63</v>
      </c>
      <c r="F6" s="81">
        <f>(Tabla7[[#This Row],[Coste por hora]]*Tabla7[[#This Row],[Cantidad]])</f>
        <v>236.29999999999998</v>
      </c>
      <c r="G6" s="82"/>
    </row>
    <row r="7" spans="1:7" x14ac:dyDescent="0.3">
      <c r="A7" s="79" t="str">
        <f>Planificacion_Inicial!B6</f>
        <v>Presupuesto</v>
      </c>
      <c r="B7" s="84">
        <f>Planificacion_Inicial!C6</f>
        <v>5</v>
      </c>
      <c r="C7" s="79" t="s">
        <v>40</v>
      </c>
      <c r="D7" s="83" t="str">
        <f>Planificacion_Inicial!G6</f>
        <v>Analista de sistemas</v>
      </c>
      <c r="E7" s="81">
        <f>'Coste de personal'!$M$3</f>
        <v>23.63</v>
      </c>
      <c r="F7" s="81">
        <f>(Tabla7[[#This Row],[Coste por hora]]*Tabla7[[#This Row],[Cantidad]])</f>
        <v>118.14999999999999</v>
      </c>
      <c r="G7" s="82"/>
    </row>
    <row r="8" spans="1:7" x14ac:dyDescent="0.3">
      <c r="A8" s="79" t="str">
        <f>Planificacion_Inicial!B7</f>
        <v>Aprender uso de GUI en Python</v>
      </c>
      <c r="B8" s="84">
        <f>Planificacion_Inicial!C7</f>
        <v>20</v>
      </c>
      <c r="C8" s="79" t="s">
        <v>40</v>
      </c>
      <c r="D8" s="83" t="str">
        <f>Planificacion_Inicial!G7</f>
        <v>Analista de sistemas</v>
      </c>
      <c r="E8" s="81">
        <f>'Coste de personal'!$M$3</f>
        <v>23.63</v>
      </c>
      <c r="F8" s="81">
        <f>(Tabla7[[#This Row],[Coste por hora]]*Tabla7[[#This Row],[Cantidad]])</f>
        <v>472.59999999999997</v>
      </c>
      <c r="G8" s="82"/>
    </row>
    <row r="9" spans="1:7" x14ac:dyDescent="0.3">
      <c r="A9" s="79" t="str">
        <f>Planificacion_Inicial!B8</f>
        <v>Aprender sobre el uso de redes neuronales</v>
      </c>
      <c r="B9" s="84">
        <f>Planificacion_Inicial!C8</f>
        <v>50</v>
      </c>
      <c r="C9" s="79" t="s">
        <v>40</v>
      </c>
      <c r="D9" s="83" t="str">
        <f>Planificacion_Inicial!G8</f>
        <v>Analista de sistemas</v>
      </c>
      <c r="E9" s="81">
        <f>'Coste de personal'!$M$3</f>
        <v>23.63</v>
      </c>
      <c r="F9" s="81">
        <f>(Tabla7[[#This Row],[Coste por hora]]*Tabla7[[#This Row],[Cantidad]])</f>
        <v>1181.5</v>
      </c>
      <c r="G9" s="82"/>
    </row>
    <row r="10" spans="1:7" x14ac:dyDescent="0.3">
      <c r="A10" s="79" t="str">
        <f>Planificacion_Inicial!B9</f>
        <v>Redes neuronales aplicadas a juegos</v>
      </c>
      <c r="B10" s="84">
        <f>Planificacion_Inicial!C9</f>
        <v>20</v>
      </c>
      <c r="C10" s="79" t="s">
        <v>40</v>
      </c>
      <c r="D10" s="83" t="str">
        <f>Planificacion_Inicial!G9</f>
        <v>Analista de sistemas</v>
      </c>
      <c r="E10" s="81">
        <f>'Coste de personal'!$M$3</f>
        <v>23.63</v>
      </c>
      <c r="F10" s="81">
        <f>(Tabla7[[#This Row],[Coste por hora]]*Tabla7[[#This Row],[Cantidad]])</f>
        <v>472.59999999999997</v>
      </c>
      <c r="G10" s="82"/>
    </row>
    <row r="11" spans="1:7" x14ac:dyDescent="0.3">
      <c r="A11" s="79" t="str">
        <f>Planificacion_Inicial!B10</f>
        <v>Diseño de Interfaces</v>
      </c>
      <c r="B11" s="84">
        <f>Planificacion_Inicial!C10</f>
        <v>10</v>
      </c>
      <c r="C11" s="79" t="s">
        <v>40</v>
      </c>
      <c r="D11" s="83" t="str">
        <f>Planificacion_Inicial!G10</f>
        <v>Arquitecto software</v>
      </c>
      <c r="E11" s="81">
        <f>'Coste de personal'!M2</f>
        <v>30.47</v>
      </c>
      <c r="F11" s="81">
        <f>(Tabla7[[#This Row],[Coste por hora]]*Tabla7[[#This Row],[Cantidad]])</f>
        <v>304.7</v>
      </c>
      <c r="G11" s="82"/>
    </row>
    <row r="12" spans="1:7" x14ac:dyDescent="0.3">
      <c r="A12" s="79" t="str">
        <f>Planificacion_Inicial!B11</f>
        <v>Diseño de Clases</v>
      </c>
      <c r="B12" s="84">
        <f>Planificacion_Inicial!C11</f>
        <v>15</v>
      </c>
      <c r="C12" s="79" t="s">
        <v>40</v>
      </c>
      <c r="D12" s="83" t="str">
        <f>Planificacion_Inicial!G11</f>
        <v>Arquitecto software</v>
      </c>
      <c r="E12" s="81">
        <f>'Coste de personal'!M2</f>
        <v>30.47</v>
      </c>
      <c r="F12" s="81">
        <f>(Tabla7[[#This Row],[Coste por hora]]*Tabla7[[#This Row],[Cantidad]])</f>
        <v>457.04999999999995</v>
      </c>
      <c r="G12" s="82"/>
    </row>
    <row r="13" spans="1:7" s="44" customFormat="1" x14ac:dyDescent="0.3">
      <c r="A13" s="76" t="str">
        <f>Planificacion_Inicial!B12</f>
        <v>Implementación</v>
      </c>
      <c r="B13" s="77">
        <f>Planificacion_Inicial!C12</f>
        <v>85</v>
      </c>
      <c r="C13" s="76" t="s">
        <v>40</v>
      </c>
      <c r="D13" s="83"/>
      <c r="E13" s="81"/>
      <c r="F13" s="81"/>
      <c r="G13" s="82">
        <f>SUM(F14:F16)</f>
        <v>1129.6499999999999</v>
      </c>
    </row>
    <row r="14" spans="1:7" x14ac:dyDescent="0.3">
      <c r="A14" s="79" t="str">
        <f>Planificacion_Inicial!B13</f>
        <v>Módulo de Controlador</v>
      </c>
      <c r="B14" s="84">
        <f>Planificacion_Inicial!C13</f>
        <v>25</v>
      </c>
      <c r="C14" s="79" t="s">
        <v>40</v>
      </c>
      <c r="D14" s="83" t="str">
        <f>Planificacion_Inicial!G13</f>
        <v>Desarrollador</v>
      </c>
      <c r="E14" s="81">
        <f>'Coste de personal'!M4</f>
        <v>13.29</v>
      </c>
      <c r="F14" s="81">
        <f>(Tabla7[[#This Row],[Coste por hora]]*Tabla7[[#This Row],[Cantidad]])</f>
        <v>332.25</v>
      </c>
      <c r="G14" s="82"/>
    </row>
    <row r="15" spans="1:7" x14ac:dyDescent="0.3">
      <c r="A15" s="79" t="str">
        <f>Planificacion_Inicial!B14</f>
        <v>Módulo de Interfaz Gráfica</v>
      </c>
      <c r="B15" s="84">
        <f>Planificacion_Inicial!C14</f>
        <v>20</v>
      </c>
      <c r="C15" s="79" t="s">
        <v>40</v>
      </c>
      <c r="D15" s="83" t="str">
        <f>Planificacion_Inicial!G14</f>
        <v>Desarrollador</v>
      </c>
      <c r="E15" s="81">
        <f>'Coste de personal'!M4</f>
        <v>13.29</v>
      </c>
      <c r="F15" s="81">
        <f>(Tabla7[[#This Row],[Coste por hora]]*Tabla7[[#This Row],[Cantidad]])</f>
        <v>265.79999999999995</v>
      </c>
      <c r="G15" s="82"/>
    </row>
    <row r="16" spans="1:7" x14ac:dyDescent="0.3">
      <c r="A16" s="79" t="str">
        <f>Planificacion_Inicial!B15</f>
        <v>Módulo de Red Neuronal</v>
      </c>
      <c r="B16" s="84">
        <f>Planificacion_Inicial!C15</f>
        <v>40</v>
      </c>
      <c r="C16" s="79" t="s">
        <v>40</v>
      </c>
      <c r="D16" s="83" t="str">
        <f>Planificacion_Inicial!G15</f>
        <v>Desarrollador</v>
      </c>
      <c r="E16" s="81">
        <f>'Coste de personal'!M4</f>
        <v>13.29</v>
      </c>
      <c r="F16" s="81">
        <f>(Tabla7[[#This Row],[Coste por hora]]*Tabla7[[#This Row],[Cantidad]])</f>
        <v>531.59999999999991</v>
      </c>
      <c r="G16" s="82"/>
    </row>
    <row r="17" spans="1:7" s="44" customFormat="1" x14ac:dyDescent="0.3">
      <c r="A17" s="76" t="str">
        <f>Planificacion_Inicial!B16</f>
        <v>Pruebas</v>
      </c>
      <c r="B17" s="77">
        <f>Planificacion_Inicial!C16</f>
        <v>40</v>
      </c>
      <c r="C17" s="76" t="s">
        <v>40</v>
      </c>
      <c r="D17" s="83"/>
      <c r="E17" s="81"/>
      <c r="F17" s="81"/>
      <c r="G17" s="82">
        <f>SUM(F18:F22)</f>
        <v>686.39999999999986</v>
      </c>
    </row>
    <row r="18" spans="1:7" x14ac:dyDescent="0.3">
      <c r="A18" s="79" t="str">
        <f>Planificacion_Inicial!B17</f>
        <v>Diseño de Pruebas</v>
      </c>
      <c r="B18" s="84">
        <f>Planificacion_Inicial!C17</f>
        <v>5</v>
      </c>
      <c r="C18" s="79" t="s">
        <v>40</v>
      </c>
      <c r="D18" s="83" t="str">
        <f>Planificacion_Inicial!G17</f>
        <v>Tester</v>
      </c>
      <c r="E18" s="81">
        <f>'Coste de personal'!M5</f>
        <v>17.16</v>
      </c>
      <c r="F18" s="81">
        <f>(Tabla7[[#This Row],[Coste por hora]]*Tabla7[[#This Row],[Cantidad]])</f>
        <v>85.8</v>
      </c>
      <c r="G18" s="82"/>
    </row>
    <row r="19" spans="1:7" x14ac:dyDescent="0.3">
      <c r="A19" s="79" t="str">
        <f>Planificacion_Inicial!B18</f>
        <v>Pruebas Unitarias</v>
      </c>
      <c r="B19" s="84">
        <f>Planificacion_Inicial!C18</f>
        <v>15</v>
      </c>
      <c r="C19" s="79" t="s">
        <v>40</v>
      </c>
      <c r="D19" s="83" t="str">
        <f>Planificacion_Inicial!G18</f>
        <v>Tester</v>
      </c>
      <c r="E19" s="81">
        <f>'Coste de personal'!M5</f>
        <v>17.16</v>
      </c>
      <c r="F19" s="81">
        <f>(Tabla7[[#This Row],[Coste por hora]]*Tabla7[[#This Row],[Cantidad]])</f>
        <v>257.39999999999998</v>
      </c>
      <c r="G19" s="82"/>
    </row>
    <row r="20" spans="1:7" x14ac:dyDescent="0.3">
      <c r="A20" s="79" t="str">
        <f>Planificacion_Inicial!B19</f>
        <v>Pruebas de Integración</v>
      </c>
      <c r="B20" s="84">
        <f>Planificacion_Inicial!C19</f>
        <v>10</v>
      </c>
      <c r="C20" s="79" t="s">
        <v>40</v>
      </c>
      <c r="D20" s="83" t="str">
        <f>Planificacion_Inicial!G19</f>
        <v>Tester</v>
      </c>
      <c r="E20" s="81">
        <f>'Coste de personal'!M5</f>
        <v>17.16</v>
      </c>
      <c r="F20" s="81">
        <f>(Tabla7[[#This Row],[Coste por hora]]*Tabla7[[#This Row],[Cantidad]])</f>
        <v>171.6</v>
      </c>
      <c r="G20" s="82"/>
    </row>
    <row r="21" spans="1:7" x14ac:dyDescent="0.3">
      <c r="A21" s="79" t="str">
        <f>Planificacion_Inicial!B20</f>
        <v>Pruebas de Usabilidad</v>
      </c>
      <c r="B21" s="84">
        <f>Planificacion_Inicial!C20</f>
        <v>5</v>
      </c>
      <c r="C21" s="79" t="s">
        <v>40</v>
      </c>
      <c r="D21" s="83" t="str">
        <f>Planificacion_Inicial!G20</f>
        <v>Tester</v>
      </c>
      <c r="E21" s="81">
        <f>'Coste de personal'!M5</f>
        <v>17.16</v>
      </c>
      <c r="F21" s="81">
        <f>(Tabla7[[#This Row],[Coste por hora]]*Tabla7[[#This Row],[Cantidad]])</f>
        <v>85.8</v>
      </c>
      <c r="G21" s="82"/>
    </row>
    <row r="22" spans="1:7" x14ac:dyDescent="0.3">
      <c r="A22" s="79" t="str">
        <f>Planificacion_Inicial!B21</f>
        <v>Pruebas de Accesibilidad</v>
      </c>
      <c r="B22" s="84">
        <f>Planificacion_Inicial!C21</f>
        <v>5</v>
      </c>
      <c r="C22" s="79" t="s">
        <v>40</v>
      </c>
      <c r="D22" s="83" t="str">
        <f>Planificacion_Inicial!G21</f>
        <v>Tester</v>
      </c>
      <c r="E22" s="81">
        <f>'Coste de personal'!M5</f>
        <v>17.16</v>
      </c>
      <c r="F22" s="81">
        <f>(Tabla7[[#This Row],[Coste por hora]]*Tabla7[[#This Row],[Cantidad]])</f>
        <v>85.8</v>
      </c>
      <c r="G22" s="82"/>
    </row>
    <row r="23" spans="1:7" s="44" customFormat="1" x14ac:dyDescent="0.3">
      <c r="A23" s="76" t="str">
        <f>Planificacion_Inicial!B22</f>
        <v>Documentación</v>
      </c>
      <c r="B23" s="77">
        <f>Planificacion_Inicial!C22</f>
        <v>40</v>
      </c>
      <c r="C23" s="76" t="s">
        <v>40</v>
      </c>
      <c r="D23" s="83"/>
      <c r="E23" s="81"/>
      <c r="F23" s="81"/>
      <c r="G23" s="82">
        <f>SUM(F24:F25)</f>
        <v>945.19999999999993</v>
      </c>
    </row>
    <row r="24" spans="1:7" x14ac:dyDescent="0.3">
      <c r="A24" s="79" t="str">
        <f>Planificacion_Inicial!B23</f>
        <v>Elaboración de la Documentación</v>
      </c>
      <c r="B24" s="84">
        <f>Planificacion_Inicial!C23</f>
        <v>30</v>
      </c>
      <c r="C24" s="79" t="s">
        <v>40</v>
      </c>
      <c r="D24" s="83" t="str">
        <f>Planificacion_Inicial!G23</f>
        <v>Analista de sistemas</v>
      </c>
      <c r="E24" s="81">
        <f>'Coste de personal'!M3</f>
        <v>23.63</v>
      </c>
      <c r="F24" s="81">
        <f>(Tabla7[[#This Row],[Coste por hora]]*Tabla7[[#This Row],[Cantidad]])</f>
        <v>708.9</v>
      </c>
      <c r="G24" s="82"/>
    </row>
    <row r="25" spans="1:7" x14ac:dyDescent="0.3">
      <c r="A25" s="79" t="str">
        <f>Planificacion_Inicial!B24</f>
        <v>Revisión de la Documentación</v>
      </c>
      <c r="B25" s="84">
        <f>Planificacion_Inicial!C24</f>
        <v>10</v>
      </c>
      <c r="C25" s="79" t="s">
        <v>40</v>
      </c>
      <c r="D25" s="83" t="str">
        <f>Planificacion_Inicial!G24</f>
        <v>Analista de sistemas</v>
      </c>
      <c r="E25" s="81">
        <f>'Coste de personal'!M3</f>
        <v>23.63</v>
      </c>
      <c r="F25" s="81">
        <f>(Tabla7[[#This Row],[Coste por hora]]*Tabla7[[#This Row],[Cantidad]])</f>
        <v>236.29999999999998</v>
      </c>
      <c r="G25" s="82"/>
    </row>
  </sheetData>
  <pageMargins left="0.7" right="0.7" top="0.75" bottom="0.75" header="0.3" footer="0.3"/>
  <pageSetup paperSize="9" orientation="portrait" r:id="rId1"/>
  <ignoredErrors>
    <ignoredError sqref="A13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E8532-42D4-4FA5-81EA-3838C0D5D34E}">
  <dimension ref="B1:M29"/>
  <sheetViews>
    <sheetView tabSelected="1" topLeftCell="E1" workbookViewId="0">
      <selection activeCell="H22" sqref="H22"/>
    </sheetView>
  </sheetViews>
  <sheetFormatPr baseColWidth="10" defaultRowHeight="14.4" x14ac:dyDescent="0.3"/>
  <cols>
    <col min="2" max="4" width="20.109375" customWidth="1"/>
    <col min="5" max="5" width="45.88671875" customWidth="1"/>
    <col min="6" max="6" width="20.109375" customWidth="1"/>
    <col min="7" max="7" width="12.6640625" customWidth="1"/>
    <col min="9" max="9" width="19.5546875" customWidth="1"/>
    <col min="11" max="11" width="38.5546875" style="63" customWidth="1"/>
    <col min="12" max="12" width="14.88671875" style="93" customWidth="1"/>
    <col min="13" max="13" width="14.5546875" customWidth="1"/>
  </cols>
  <sheetData>
    <row r="1" spans="2:13" ht="15.6" x14ac:dyDescent="0.3">
      <c r="B1" s="33" t="s">
        <v>43</v>
      </c>
      <c r="E1" t="s">
        <v>29</v>
      </c>
      <c r="F1" t="s">
        <v>30</v>
      </c>
      <c r="G1" t="s">
        <v>31</v>
      </c>
      <c r="I1" s="33" t="s">
        <v>32</v>
      </c>
      <c r="K1" s="74" t="s">
        <v>29</v>
      </c>
      <c r="L1" s="91" t="s">
        <v>30</v>
      </c>
      <c r="M1" s="74" t="s">
        <v>31</v>
      </c>
    </row>
    <row r="2" spans="2:13" ht="16.2" thickBot="1" x14ac:dyDescent="0.35">
      <c r="B2" s="56">
        <f>'Presupuesto inicial'!G3</f>
        <v>6122.2999999999984</v>
      </c>
      <c r="E2" s="64" t="str">
        <f>(Planificacion_Inicial!B3)</f>
        <v>Análisis y Diseño</v>
      </c>
      <c r="F2" s="59"/>
      <c r="G2" s="59">
        <f>SUM(F3:F10)</f>
        <v>4464.8252321431482</v>
      </c>
      <c r="I2" s="37">
        <f>SUM(F3:F8,F22:F23)</f>
        <v>4708.5205621253454</v>
      </c>
      <c r="K2" s="35" t="str">
        <f>Tabla2[[#This Row],[Partida]]</f>
        <v>Análisis y Diseño</v>
      </c>
      <c r="L2" s="92"/>
      <c r="M2" s="36">
        <f>SUM(L3:L4)</f>
        <v>2403.2964276708826</v>
      </c>
    </row>
    <row r="3" spans="2:13" ht="16.2" thickBot="1" x14ac:dyDescent="0.35">
      <c r="E3" s="60" t="str">
        <f>(Planificacion_Inicial!B4)</f>
        <v>Definición de Objetivos</v>
      </c>
      <c r="F3" s="61">
        <f>'Presupuesto inicial'!F5+'Presupuesto inicial'!F5*$B$17</f>
        <v>156.95068540417816</v>
      </c>
      <c r="G3" s="61"/>
      <c r="K3" s="74" t="str">
        <f t="shared" ref="K3:K9" si="0">E9</f>
        <v>Diseño de Interfaces</v>
      </c>
      <c r="L3" s="91">
        <f>F9+F9*$I$5</f>
        <v>961.31857106835309</v>
      </c>
      <c r="M3" s="36"/>
    </row>
    <row r="4" spans="2:13" ht="15.6" x14ac:dyDescent="0.3">
      <c r="B4" s="33" t="s">
        <v>44</v>
      </c>
      <c r="E4" s="60" t="str">
        <f>(Planificacion_Inicial!B5)</f>
        <v>Definición de Requisitos</v>
      </c>
      <c r="F4" s="61">
        <f>'Presupuesto inicial'!F6+'Presupuesto inicial'!F6*$B$17</f>
        <v>313.90137080835632</v>
      </c>
      <c r="G4" s="61"/>
      <c r="I4" s="33" t="s">
        <v>34</v>
      </c>
      <c r="K4" s="74" t="str">
        <f t="shared" si="0"/>
        <v>Diseño de Clases</v>
      </c>
      <c r="L4" s="91">
        <f>F10+F10*$I$5</f>
        <v>1441.9778566025298</v>
      </c>
      <c r="M4" s="36"/>
    </row>
    <row r="5" spans="2:13" ht="16.2" thickBot="1" x14ac:dyDescent="0.35">
      <c r="B5" s="55">
        <v>0</v>
      </c>
      <c r="E5" s="90" t="str">
        <f>(Planificacion_Inicial!B6)</f>
        <v>Presupuesto</v>
      </c>
      <c r="F5" s="61">
        <f>'Presupuesto inicial'!F7+'Presupuesto inicial'!F7*$B$17</f>
        <v>156.95068540417816</v>
      </c>
      <c r="G5" s="61"/>
      <c r="I5" s="38">
        <f>I2/(C26-B5-I2)</f>
        <v>1.3750096981922579</v>
      </c>
      <c r="K5" s="35" t="str">
        <f t="shared" si="0"/>
        <v>Implementación</v>
      </c>
      <c r="L5" s="91"/>
      <c r="M5" s="36">
        <f>SUM(L6:L8)</f>
        <v>3564.0089393087137</v>
      </c>
    </row>
    <row r="6" spans="2:13" ht="16.2" thickBot="1" x14ac:dyDescent="0.35">
      <c r="E6" s="90" t="str">
        <f>(Planificacion_Inicial!B7)</f>
        <v>Aprender uso de GUI en Python</v>
      </c>
      <c r="F6" s="61">
        <f>'Presupuesto inicial'!F8+'Presupuesto inicial'!F8*$B$17</f>
        <v>627.80274161671264</v>
      </c>
      <c r="G6" s="61"/>
      <c r="K6" s="74" t="str">
        <f t="shared" si="0"/>
        <v>Módulo de Controlador</v>
      </c>
      <c r="L6" s="91">
        <f>F12+F12*$I$5</f>
        <v>1048.2379233260924</v>
      </c>
      <c r="M6" s="36"/>
    </row>
    <row r="7" spans="2:13" ht="15.6" x14ac:dyDescent="0.3">
      <c r="B7" s="33" t="s">
        <v>28</v>
      </c>
      <c r="E7" s="90" t="str">
        <f>(Planificacion_Inicial!B8)</f>
        <v>Aprender sobre el uso de redes neuronales</v>
      </c>
      <c r="F7" s="61">
        <f>'Presupuesto inicial'!F9+'Presupuesto inicial'!F9*$B$17</f>
        <v>1569.5068540417817</v>
      </c>
      <c r="G7" s="61"/>
      <c r="K7" s="74" t="str">
        <f t="shared" si="0"/>
        <v>Módulo de Interfaz Gráfica</v>
      </c>
      <c r="L7" s="91">
        <f>F13+F13*$I$5</f>
        <v>838.59033866087384</v>
      </c>
      <c r="M7" s="36"/>
    </row>
    <row r="8" spans="2:13" ht="16.2" thickBot="1" x14ac:dyDescent="0.35">
      <c r="B8" s="34">
        <v>0.25</v>
      </c>
      <c r="E8" s="60" t="str">
        <f>(Planificacion_Inicial!B9)</f>
        <v>Redes neuronales aplicadas a juegos</v>
      </c>
      <c r="F8" s="61">
        <f>'Presupuesto inicial'!F10+'Presupuesto inicial'!F10*$B$17</f>
        <v>627.80274161671264</v>
      </c>
      <c r="G8" s="61"/>
      <c r="K8" s="74" t="str">
        <f t="shared" si="0"/>
        <v>Módulo de Red Neuronal</v>
      </c>
      <c r="L8" s="91">
        <f>F14+F14*$I$5</f>
        <v>1677.1806773217477</v>
      </c>
      <c r="M8" s="36"/>
    </row>
    <row r="9" spans="2:13" ht="16.2" thickBot="1" x14ac:dyDescent="0.35">
      <c r="E9" s="58" t="str">
        <f>(Planificacion_Inicial!B10)</f>
        <v>Diseño de Interfaces</v>
      </c>
      <c r="F9" s="59">
        <f>'Presupuesto inicial'!F11+'Presupuesto inicial'!F11*$B$17</f>
        <v>404.76406130049162</v>
      </c>
      <c r="G9" s="59"/>
      <c r="K9" s="35" t="str">
        <f t="shared" si="0"/>
        <v>Pruebas</v>
      </c>
      <c r="L9" s="91"/>
      <c r="M9" s="36">
        <f>SUM(L10)</f>
        <v>2165.5696330204055</v>
      </c>
    </row>
    <row r="10" spans="2:13" ht="15.6" x14ac:dyDescent="0.3">
      <c r="B10" s="33" t="s">
        <v>33</v>
      </c>
      <c r="E10" s="58" t="str">
        <f>(Planificacion_Inicial!B11)</f>
        <v>Diseño de Clases</v>
      </c>
      <c r="F10" s="59">
        <f>'Presupuesto inicial'!F12+'Presupuesto inicial'!F12*$B$17</f>
        <v>607.1460919507374</v>
      </c>
      <c r="G10" s="59"/>
      <c r="K10" s="74" t="s">
        <v>81</v>
      </c>
      <c r="L10" s="91">
        <f>G15+G15*$I$5</f>
        <v>2165.5696330204055</v>
      </c>
      <c r="M10" s="36"/>
    </row>
    <row r="11" spans="2:13" ht="16.2" thickBot="1" x14ac:dyDescent="0.35">
      <c r="B11" s="37">
        <f>'Costes indirectos'!B6</f>
        <v>480</v>
      </c>
      <c r="E11" s="64" t="str">
        <f>(Planificacion_Inicial!B12)</f>
        <v>Implementación</v>
      </c>
      <c r="F11" s="59"/>
      <c r="G11" s="59">
        <f>SUM(F12:F14)</f>
        <v>1500.6292151234011</v>
      </c>
      <c r="K11" s="35"/>
      <c r="L11" s="91"/>
      <c r="M11" s="36"/>
    </row>
    <row r="12" spans="2:13" ht="16.2" thickBot="1" x14ac:dyDescent="0.35">
      <c r="E12" s="58" t="str">
        <f>(Planificacion_Inicial!B13)</f>
        <v>Módulo de Controlador</v>
      </c>
      <c r="F12" s="59">
        <f>'Presupuesto inicial'!F14+'Presupuesto inicial'!F14*$B$17</f>
        <v>441.36153385982391</v>
      </c>
      <c r="G12" s="59"/>
      <c r="K12" s="35" t="s">
        <v>31</v>
      </c>
      <c r="L12" s="91"/>
      <c r="M12" s="36">
        <f>SUM(M2,M5,M9)</f>
        <v>8132.8750000000018</v>
      </c>
    </row>
    <row r="13" spans="2:13" x14ac:dyDescent="0.3">
      <c r="B13" s="33" t="s">
        <v>35</v>
      </c>
      <c r="E13" s="58" t="str">
        <f>(Planificacion_Inicial!B14)</f>
        <v>Módulo de Interfaz Gráfica</v>
      </c>
      <c r="F13" s="59">
        <f>'Presupuesto inicial'!F15+'Presupuesto inicial'!F15*$B$17</f>
        <v>353.08922708785906</v>
      </c>
      <c r="G13" s="59"/>
    </row>
    <row r="14" spans="2:13" ht="15" thickBot="1" x14ac:dyDescent="0.35">
      <c r="B14" s="37">
        <f>(B2*B8)+B11</f>
        <v>2010.5749999999996</v>
      </c>
      <c r="E14" s="58" t="str">
        <f>(Planificacion_Inicial!B15)</f>
        <v>Módulo de Red Neuronal</v>
      </c>
      <c r="F14" s="59">
        <f>'Presupuesto inicial'!F16+'Presupuesto inicial'!F16*$B$17</f>
        <v>706.17845417571812</v>
      </c>
      <c r="G14" s="59"/>
    </row>
    <row r="15" spans="2:13" ht="15" thickBot="1" x14ac:dyDescent="0.35">
      <c r="E15" s="64" t="str">
        <f>(Planificacion_Inicial!B16)</f>
        <v>Pruebas</v>
      </c>
      <c r="F15" s="59"/>
      <c r="G15" s="59">
        <f>SUM(F16:F20)</f>
        <v>911.81506950002426</v>
      </c>
    </row>
    <row r="16" spans="2:13" x14ac:dyDescent="0.3">
      <c r="B16" s="33" t="s">
        <v>34</v>
      </c>
      <c r="E16" s="86" t="str">
        <f>(Planificacion_Inicial!B17)</f>
        <v>Diseño de Pruebas</v>
      </c>
      <c r="F16" s="87">
        <f>'Presupuesto inicial'!F18+'Presupuesto inicial'!F18*$B$17</f>
        <v>113.97688368750306</v>
      </c>
      <c r="G16" s="87"/>
    </row>
    <row r="17" spans="2:7" ht="15" thickBot="1" x14ac:dyDescent="0.35">
      <c r="B17" s="38">
        <f>B14/(B2-B5)</f>
        <v>0.32840190777975597</v>
      </c>
      <c r="E17" s="86" t="str">
        <f>(Planificacion_Inicial!B18)</f>
        <v>Pruebas Unitarias</v>
      </c>
      <c r="F17" s="87">
        <f>'Presupuesto inicial'!F19+'Presupuesto inicial'!F19*$B$17</f>
        <v>341.93065106250913</v>
      </c>
      <c r="G17" s="87"/>
    </row>
    <row r="18" spans="2:7" x14ac:dyDescent="0.3">
      <c r="E18" s="86" t="str">
        <f>(Planificacion_Inicial!B19)</f>
        <v>Pruebas de Integración</v>
      </c>
      <c r="F18" s="87">
        <f>'Presupuesto inicial'!F20+'Presupuesto inicial'!F20*$B$17</f>
        <v>227.95376737500612</v>
      </c>
      <c r="G18" s="87"/>
    </row>
    <row r="19" spans="2:7" x14ac:dyDescent="0.3">
      <c r="E19" s="86" t="str">
        <f>(Planificacion_Inicial!B20)</f>
        <v>Pruebas de Usabilidad</v>
      </c>
      <c r="F19" s="87">
        <f>'Presupuesto inicial'!F21+'Presupuesto inicial'!F21*$B$17</f>
        <v>113.97688368750306</v>
      </c>
      <c r="G19" s="87"/>
    </row>
    <row r="20" spans="2:7" x14ac:dyDescent="0.3">
      <c r="E20" s="86" t="str">
        <f>(Planificacion_Inicial!B21)</f>
        <v>Pruebas de Accesibilidad</v>
      </c>
      <c r="F20" s="87">
        <f>'Presupuesto inicial'!F22+'Presupuesto inicial'!F22*$B$17</f>
        <v>113.97688368750306</v>
      </c>
      <c r="G20" s="87"/>
    </row>
    <row r="21" spans="2:7" x14ac:dyDescent="0.3">
      <c r="E21" s="85" t="str">
        <f>(Planificacion_Inicial!B22)</f>
        <v>Documentación</v>
      </c>
      <c r="F21" s="61"/>
      <c r="G21" s="61">
        <f>SUM(F22:F23)</f>
        <v>1255.6054832334253</v>
      </c>
    </row>
    <row r="22" spans="2:7" ht="15" thickBot="1" x14ac:dyDescent="0.35">
      <c r="E22" s="60" t="str">
        <f>(Planificacion_Inicial!B23)</f>
        <v>Elaboración de la Documentación</v>
      </c>
      <c r="F22" s="61">
        <f>'Presupuesto inicial'!F24+'Presupuesto inicial'!F24*$B$17</f>
        <v>941.70411242506896</v>
      </c>
      <c r="G22" s="61"/>
    </row>
    <row r="23" spans="2:7" x14ac:dyDescent="0.3">
      <c r="B23" s="52" t="s">
        <v>41</v>
      </c>
      <c r="C23" s="40">
        <f>B2</f>
        <v>6122.2999999999984</v>
      </c>
      <c r="D23" s="57"/>
      <c r="E23" s="60" t="str">
        <f>(Planificacion_Inicial!B24)</f>
        <v>Revisión de la Documentación</v>
      </c>
      <c r="F23" s="61">
        <f>'Presupuesto inicial'!F25+'Presupuesto inicial'!F25*$B$17</f>
        <v>313.90137080835632</v>
      </c>
      <c r="G23" s="61"/>
    </row>
    <row r="24" spans="2:7" x14ac:dyDescent="0.3">
      <c r="B24" s="53" t="s">
        <v>28</v>
      </c>
      <c r="C24" s="41">
        <f>(C23*B8)</f>
        <v>1530.5749999999996</v>
      </c>
      <c r="D24" s="57"/>
    </row>
    <row r="25" spans="2:7" x14ac:dyDescent="0.3">
      <c r="B25" s="53" t="s">
        <v>33</v>
      </c>
      <c r="C25" s="41">
        <f>B11</f>
        <v>480</v>
      </c>
      <c r="D25" s="57"/>
      <c r="E25" s="64" t="s">
        <v>31</v>
      </c>
      <c r="F25" s="39"/>
      <c r="G25" s="89">
        <f>SUM(G21,G15,G11,G2)</f>
        <v>8132.8749999999991</v>
      </c>
    </row>
    <row r="26" spans="2:7" ht="15" thickBot="1" x14ac:dyDescent="0.35">
      <c r="B26" s="54" t="s">
        <v>42</v>
      </c>
      <c r="C26" s="42">
        <f>SUM(C23:C25)</f>
        <v>8132.8749999999982</v>
      </c>
      <c r="D26" s="57"/>
    </row>
    <row r="27" spans="2:7" x14ac:dyDescent="0.3">
      <c r="E27" s="39" t="s">
        <v>45</v>
      </c>
    </row>
    <row r="28" spans="2:7" x14ac:dyDescent="0.3">
      <c r="E28" s="62" t="s">
        <v>46</v>
      </c>
    </row>
    <row r="29" spans="2:7" x14ac:dyDescent="0.3">
      <c r="E29" s="88" t="s">
        <v>82</v>
      </c>
    </row>
  </sheetData>
  <pageMargins left="0.7" right="0.7" top="0.75" bottom="0.75" header="0.3" footer="0.3"/>
  <pageSetup paperSize="9" orientation="portrait" r:id="rId1"/>
  <ignoredErrors>
    <ignoredError sqref="E9:E23 G12:G14 F9:F23 G16:G20 F4 F6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Planificacion_Inicial</vt:lpstr>
      <vt:lpstr>Coste de personal</vt:lpstr>
      <vt:lpstr>Costes indirectos</vt:lpstr>
      <vt:lpstr>Presupuesto inicial</vt:lpstr>
      <vt:lpstr>Presupuesto interno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Xamel</dc:creator>
  <cp:lastModifiedBy>Samuel Moreno Vincent</cp:lastModifiedBy>
  <dcterms:created xsi:type="dcterms:W3CDTF">2015-06-05T18:19:34Z</dcterms:created>
  <dcterms:modified xsi:type="dcterms:W3CDTF">2021-11-13T12:31:11Z</dcterms:modified>
</cp:coreProperties>
</file>