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samuele.lorenzoni\Desktop\Script\Crystal-Calculator\Documenti\"/>
    </mc:Choice>
  </mc:AlternateContent>
  <xr:revisionPtr revIDLastSave="0" documentId="13_ncr:1_{2EE91758-F0CA-4455-A4C2-948AC6913236}" xr6:coauthVersionLast="47" xr6:coauthVersionMax="47" xr10:uidLastSave="{00000000-0000-0000-0000-000000000000}"/>
  <bookViews>
    <workbookView xWindow="-28920" yWindow="1605" windowWidth="29040" windowHeight="15720" activeTab="1" xr2:uid="{00000000-000D-0000-FFFF-FFFF00000000}"/>
  </bookViews>
  <sheets>
    <sheet name="Cover" sheetId="3" r:id="rId1"/>
    <sheet name="Foglio1" sheetId="1" r:id="rId2"/>
    <sheet name="Foglio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1" l="1"/>
  <c r="D14" i="1"/>
  <c r="D12" i="1"/>
  <c r="D30" i="1"/>
  <c r="D22" i="1"/>
  <c r="D23" i="1" s="1"/>
  <c r="D10" i="1"/>
  <c r="D25" i="1" l="1"/>
  <c r="D26" i="1"/>
  <c r="D34" i="1" s="1"/>
  <c r="D35" i="1" s="1"/>
  <c r="D27" i="1" l="1"/>
  <c r="D28" i="1" s="1"/>
</calcChain>
</file>

<file path=xl/sharedStrings.xml><?xml version="1.0" encoding="utf-8"?>
<sst xmlns="http://schemas.openxmlformats.org/spreadsheetml/2006/main" count="94" uniqueCount="88">
  <si>
    <t>Current status, Rext = 0Ohm, CL1=CL2= 10pF</t>
  </si>
  <si>
    <t>DESIGN TOOL</t>
  </si>
  <si>
    <t>XTAL characteristics, taken from XTAL Data Sheet + Stray capacitance effects</t>
  </si>
  <si>
    <t>C0 - Shunt Capacitance [F]</t>
  </si>
  <si>
    <t>Resulting from the capacitor formed by the electrodes</t>
  </si>
  <si>
    <t>Cs_PCB - Stray Capacitance (Cpcb) [F]</t>
  </si>
  <si>
    <t>Stray capacitance due to any PCB traces (1,5pF/inch typically)</t>
  </si>
  <si>
    <t>Cs_PIN - Stray Capacitance (Cpin) [F]</t>
  </si>
  <si>
    <t>Parasitic capacitance on the MCU pin</t>
  </si>
  <si>
    <t>CL - Load Capacitance [F]</t>
  </si>
  <si>
    <t>External crystal total load capacitance</t>
  </si>
  <si>
    <t>Max ESR [Ohm]</t>
  </si>
  <si>
    <t>Equivalent series resistance of the external crystal</t>
  </si>
  <si>
    <t>Frequency [Hz]</t>
  </si>
  <si>
    <t>External crystal oscillation frequency</t>
  </si>
  <si>
    <t>Max Drive Level [W]</t>
  </si>
  <si>
    <t>Max power dissipated in the crystal</t>
  </si>
  <si>
    <t>Rm [Ohm] Xtal circuit losses</t>
  </si>
  <si>
    <t>Load Capacitor -&gt; Calculation output
External load capacitances on EXTAL and XTAL (OSC_IN/OUT)</t>
  </si>
  <si>
    <t>Calculated CL1 = CL2 (F)</t>
  </si>
  <si>
    <t>CL1 = CL2 selected (F)</t>
  </si>
  <si>
    <t>Chosen by design</t>
  </si>
  <si>
    <t>Equivalent CL (F)</t>
  </si>
  <si>
    <t>Load capacitance seen by XTAL according to selected CL1 &amp; CL2
Check if less than the XTAL max load capacitance</t>
  </si>
  <si>
    <t>VALIDATION TOOL</t>
  </si>
  <si>
    <t>Drive level (Power dissipated in the XTAL) -&gt; Result of design and measure taken</t>
  </si>
  <si>
    <t>Vpp [V] Measured value</t>
  </si>
  <si>
    <r>
      <t xml:space="preserve">Voltage swing at the amplifier input (OSC_IN)
</t>
    </r>
    <r>
      <rPr>
        <b/>
        <sz val="11"/>
        <color theme="1"/>
        <rFont val="Calibri"/>
        <family val="2"/>
        <scheme val="minor"/>
      </rPr>
      <t>Measure it across CL1</t>
    </r>
  </si>
  <si>
    <t>Probe used for the test:</t>
  </si>
  <si>
    <t>Active (Lo-Cap)</t>
  </si>
  <si>
    <t>Select which type of probe will be used for the measures
A low-capacitance probe is preferable (If possible no more than 1pF)</t>
  </si>
  <si>
    <t>Cprobe (Using a low-capacitance probe) 
If possible no more than 1pF</t>
  </si>
  <si>
    <t>Cprobe (Using a normal oscilloscope probe)</t>
  </si>
  <si>
    <t>Fill with the input resistance and capacitance value of the probe
Typically 10MOhm and 11pF</t>
  </si>
  <si>
    <t>Oscillator Transconductance</t>
  </si>
  <si>
    <t>Rprobe (Using a normal oscilloscope probe)</t>
  </si>
  <si>
    <t>Cmeas (Using a series capacitor to reduce the measure capacitance)</t>
  </si>
  <si>
    <t>Gmeas loss</t>
  </si>
  <si>
    <t>Gain loss due to the hi-cap passive probe
This value is sensitive to Cmeas, so the network should be calibrated with an external signal generator</t>
  </si>
  <si>
    <t xml:space="preserve">True Vrms [V] </t>
  </si>
  <si>
    <t>Vrms value calculated by measured Vpp across CL1 and considering actual Gmeas</t>
  </si>
  <si>
    <t>Ctot [F]</t>
  </si>
  <si>
    <t>Result of CL1 + Cprobe + Cs/2</t>
  </si>
  <si>
    <t>Iqrms [A] (RMS AC current)</t>
  </si>
  <si>
    <t>Calculated by Vpp measure: Vrms*(2*pi*F)*Ctot</t>
  </si>
  <si>
    <t>Drive level</t>
  </si>
  <si>
    <t>True ESR [Ohm]</t>
  </si>
  <si>
    <t>If the load capacitance is larger than the required from XTAL, the ESR will change accordly</t>
  </si>
  <si>
    <t>Drive Level [W]</t>
  </si>
  <si>
    <t xml:space="preserve">Power dissipated </t>
  </si>
  <si>
    <t>Actual Drive Level/Max Drive Level</t>
  </si>
  <si>
    <t>Should be less than Max Drive Level (&lt;1, better &lt;0.8)
If DL &gt; DL_max Rext becomes mandatory to avoid overdriving the crystal.</t>
  </si>
  <si>
    <t>Rext (in case the drive level exceed the max drive level allowed)
Series resistance connected between MCU XTAL pin (OSC_OUT) and external crystal for current limitation</t>
  </si>
  <si>
    <t>Rext Estimation [Ohm]</t>
  </si>
  <si>
    <t>equal to the reactance of CL2</t>
  </si>
  <si>
    <t>Rext [Ohm]</t>
  </si>
  <si>
    <t>Damping resistor* -&gt; Chosen by design</t>
  </si>
  <si>
    <t>Gain margin</t>
  </si>
  <si>
    <t>Gm - Oscillator transconductance [mA/V]</t>
  </si>
  <si>
    <t>Provided by DataSheet 
(nMOS amplifier transconductance @MCU)</t>
  </si>
  <si>
    <t>Gm_crit [mA/V]</t>
  </si>
  <si>
    <t>Oscillation loop critical gain</t>
  </si>
  <si>
    <t>Gain_margin = Gm/Gm_crit  Should be &gt;5</t>
  </si>
  <si>
    <t>By Design/Data Sheet</t>
  </si>
  <si>
    <t>Calculated</t>
  </si>
  <si>
    <t>Measured</t>
  </si>
  <si>
    <t>DSO probe characteristics</t>
  </si>
  <si>
    <t>*Rd - Damping Resistor – A series resistor that is designed to prevent overdriving the oscillator. 
1. It stabilises the phase of the feedback circuit, 
2. it reduces the loop gain at higher frequencies
Rd also works with CL2 to form a low pass filter which can greatly reduce unwanted oscillation modes. 
Typical values for Rd are in the range of 250 - 500 ohms</t>
  </si>
  <si>
    <t>Probe</t>
  </si>
  <si>
    <t>Normal (Hi-Cap)</t>
  </si>
  <si>
    <t>Description</t>
  </si>
  <si>
    <t>Document Details</t>
  </si>
  <si>
    <t>Doc. Type</t>
  </si>
  <si>
    <t>Revision</t>
  </si>
  <si>
    <t>Role</t>
  </si>
  <si>
    <t>Name</t>
  </si>
  <si>
    <t>Date</t>
  </si>
  <si>
    <t>Author</t>
  </si>
  <si>
    <t>HW Designer</t>
  </si>
  <si>
    <t>Michele Tiriduzzi</t>
  </si>
  <si>
    <t>R1.0</t>
  </si>
  <si>
    <t>Crystal oscillator design and testing tool</t>
  </si>
  <si>
    <t>internal design tool</t>
  </si>
  <si>
    <t>Log Revision</t>
  </si>
  <si>
    <t>Authors</t>
  </si>
  <si>
    <t>M. Tiriduzzi</t>
  </si>
  <si>
    <t>First Release</t>
  </si>
  <si>
    <t>Note the calc tool is based on AN2867 from ST 
(Oscillator design guide for STM8AF/AL/S, STM32 MCUs and MPUs)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</si>
</sst>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E+0"/>
    <numFmt numFmtId="165" formatCode="0.000"/>
    <numFmt numFmtId="166" formatCode="0.0"/>
  </numFmts>
  <fonts count="11" x14ac:knownFonts="1">
    <font>
      <sz val="11"/>
      <color theme="1"/>
      <name val="Calibri"/>
      <family val="2"/>
      <scheme val="minor"/>
    </font>
    <font>
      <b/>
      <sz val="11"/>
      <color theme="1"/>
      <name val="Calibri"/>
      <family val="2"/>
      <scheme val="minor"/>
    </font>
    <font>
      <b/>
      <sz val="15"/>
      <color theme="0"/>
      <name val="Calibri"/>
      <family val="2"/>
      <scheme val="minor"/>
    </font>
    <font>
      <sz val="16"/>
      <color theme="1"/>
      <name val="Calibri"/>
      <family val="2"/>
      <scheme val="minor"/>
    </font>
    <font>
      <b/>
      <sz val="14"/>
      <color theme="1"/>
      <name val="Calibri"/>
      <family val="2"/>
      <scheme val="minor"/>
    </font>
    <font>
      <b/>
      <sz val="12"/>
      <color theme="1"/>
      <name val="Calibri"/>
      <family val="2"/>
      <scheme val="minor"/>
    </font>
    <font>
      <sz val="11"/>
      <color rgb="FF000000"/>
      <name val="Calibri"/>
      <family val="2"/>
      <scheme val="minor"/>
    </font>
    <font>
      <b/>
      <sz val="14"/>
      <color rgb="FF000000"/>
      <name val="Calibri"/>
      <family val="2"/>
      <scheme val="minor"/>
    </font>
    <font>
      <b/>
      <sz val="11"/>
      <color rgb="FF000000"/>
      <name val="Calibri"/>
      <family val="2"/>
      <scheme val="minor"/>
    </font>
    <font>
      <b/>
      <sz val="12"/>
      <color rgb="FF000000"/>
      <name val="Calibri"/>
      <family val="2"/>
      <scheme val="minor"/>
    </font>
    <font>
      <sz val="10"/>
      <color rgb="FF000000"/>
      <name val="Calibri"/>
      <family val="2"/>
      <scheme val="minor"/>
    </font>
  </fonts>
  <fills count="11">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92D05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D9D9D9"/>
        <bgColor rgb="FF000000"/>
      </patternFill>
    </fill>
    <fill>
      <patternFill patternType="solid">
        <fgColor rgb="FF00B0F0"/>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12">
    <xf numFmtId="0" fontId="0" fillId="0" borderId="0" xfId="0"/>
    <xf numFmtId="0" fontId="0" fillId="0" borderId="0" xfId="0" applyAlignment="1">
      <alignment horizontal="right" vertical="center"/>
    </xf>
    <xf numFmtId="0" fontId="0" fillId="4" borderId="6" xfId="0" applyFill="1" applyBorder="1" applyAlignment="1">
      <alignment horizontal="left" vertical="center" wrapText="1"/>
    </xf>
    <xf numFmtId="48" fontId="0" fillId="4" borderId="7" xfId="0" applyNumberFormat="1" applyFill="1" applyBorder="1" applyAlignment="1">
      <alignment horizontal="center" vertical="center"/>
    </xf>
    <xf numFmtId="0" fontId="0" fillId="0" borderId="8" xfId="0" applyBorder="1" applyAlignment="1">
      <alignment horizontal="left" vertical="center"/>
    </xf>
    <xf numFmtId="0" fontId="0" fillId="4" borderId="9" xfId="0" applyFill="1" applyBorder="1" applyAlignment="1">
      <alignment horizontal="left" vertical="center" wrapText="1"/>
    </xf>
    <xf numFmtId="11" fontId="0" fillId="4" borderId="10" xfId="0" applyNumberFormat="1" applyFill="1" applyBorder="1" applyAlignment="1">
      <alignment horizontal="center" vertical="center"/>
    </xf>
    <xf numFmtId="0" fontId="0" fillId="0" borderId="11" xfId="0" applyBorder="1" applyAlignment="1">
      <alignment horizontal="left" vertical="center"/>
    </xf>
    <xf numFmtId="0" fontId="0" fillId="4" borderId="9" xfId="0" applyFill="1" applyBorder="1" applyAlignment="1">
      <alignment horizontal="left" vertical="center"/>
    </xf>
    <xf numFmtId="48" fontId="0" fillId="4" borderId="10" xfId="0" applyNumberFormat="1" applyFill="1" applyBorder="1" applyAlignment="1">
      <alignment horizontal="center" vertical="center"/>
    </xf>
    <xf numFmtId="1" fontId="0" fillId="4" borderId="10" xfId="0" applyNumberFormat="1" applyFill="1" applyBorder="1" applyAlignment="1">
      <alignment horizontal="center" vertical="center"/>
    </xf>
    <xf numFmtId="164" fontId="0" fillId="4" borderId="10" xfId="0" applyNumberFormat="1" applyFill="1" applyBorder="1" applyAlignment="1">
      <alignment horizontal="center" vertical="center"/>
    </xf>
    <xf numFmtId="0" fontId="0" fillId="5" borderId="12" xfId="0" applyFill="1" applyBorder="1" applyAlignment="1">
      <alignment horizontal="left" vertical="center"/>
    </xf>
    <xf numFmtId="2" fontId="0" fillId="5" borderId="13" xfId="0" applyNumberFormat="1" applyFill="1" applyBorder="1" applyAlignment="1">
      <alignment horizontal="center" vertical="center"/>
    </xf>
    <xf numFmtId="0" fontId="0" fillId="0" borderId="14" xfId="0" applyBorder="1" applyAlignment="1">
      <alignment horizontal="left" vertical="center"/>
    </xf>
    <xf numFmtId="0" fontId="0" fillId="5" borderId="6" xfId="0" applyFill="1" applyBorder="1" applyAlignment="1">
      <alignment horizontal="left" vertical="center"/>
    </xf>
    <xf numFmtId="48" fontId="0" fillId="5" borderId="7" xfId="0" applyNumberFormat="1" applyFill="1" applyBorder="1" applyAlignment="1">
      <alignment horizontal="center" vertical="center"/>
    </xf>
    <xf numFmtId="48" fontId="1" fillId="4" borderId="10" xfId="0" applyNumberFormat="1" applyFont="1" applyFill="1" applyBorder="1" applyAlignment="1">
      <alignment horizontal="center" vertical="center"/>
    </xf>
    <xf numFmtId="0" fontId="0" fillId="5" borderId="18" xfId="0" applyFill="1" applyBorder="1" applyAlignment="1">
      <alignment horizontal="left" vertical="center"/>
    </xf>
    <xf numFmtId="48" fontId="1" fillId="6" borderId="19" xfId="0" applyNumberFormat="1" applyFont="1" applyFill="1" applyBorder="1" applyAlignment="1">
      <alignment horizontal="center" vertical="center"/>
    </xf>
    <xf numFmtId="0" fontId="0" fillId="0" borderId="20" xfId="0" applyBorder="1" applyAlignment="1">
      <alignment horizontal="left" vertical="center" wrapText="1"/>
    </xf>
    <xf numFmtId="0" fontId="0" fillId="7" borderId="24" xfId="0" applyFill="1" applyBorder="1" applyAlignment="1">
      <alignment horizontal="left" vertical="center"/>
    </xf>
    <xf numFmtId="0" fontId="0" fillId="7" borderId="25" xfId="0" applyFill="1" applyBorder="1" applyAlignment="1">
      <alignment horizontal="center" vertical="center"/>
    </xf>
    <xf numFmtId="0" fontId="0" fillId="0" borderId="26" xfId="0" applyBorder="1" applyAlignment="1">
      <alignment horizontal="left" vertical="center" wrapText="1"/>
    </xf>
    <xf numFmtId="0" fontId="0" fillId="8" borderId="9" xfId="0" applyFill="1" applyBorder="1" applyAlignment="1">
      <alignment horizontal="left" vertical="center"/>
    </xf>
    <xf numFmtId="165" fontId="0" fillId="8" borderId="10" xfId="0" applyNumberFormat="1" applyFill="1" applyBorder="1" applyAlignment="1">
      <alignment horizontal="center" vertical="center"/>
    </xf>
    <xf numFmtId="0" fontId="0" fillId="8" borderId="11" xfId="0" applyFill="1" applyBorder="1" applyAlignment="1">
      <alignment horizontal="left" vertical="center" wrapText="1"/>
    </xf>
    <xf numFmtId="0" fontId="0" fillId="8" borderId="9" xfId="0" applyFill="1" applyBorder="1" applyAlignment="1">
      <alignment horizontal="left" vertical="center" wrapText="1"/>
    </xf>
    <xf numFmtId="48" fontId="0" fillId="8" borderId="10" xfId="0" applyNumberFormat="1" applyFill="1" applyBorder="1" applyAlignment="1">
      <alignment horizontal="center" vertical="center"/>
    </xf>
    <xf numFmtId="0" fontId="1" fillId="8" borderId="11" xfId="0" applyFont="1" applyFill="1" applyBorder="1" applyAlignment="1">
      <alignment horizontal="left" vertical="center"/>
    </xf>
    <xf numFmtId="0" fontId="4" fillId="0" borderId="0" xfId="0" applyFont="1"/>
    <xf numFmtId="2" fontId="0" fillId="5" borderId="10" xfId="0" applyNumberFormat="1" applyFill="1" applyBorder="1" applyAlignment="1">
      <alignment horizontal="center" vertical="center"/>
    </xf>
    <xf numFmtId="0" fontId="1" fillId="8" borderId="11" xfId="0" applyFont="1" applyFill="1" applyBorder="1" applyAlignment="1">
      <alignment horizontal="left" vertical="center" wrapText="1"/>
    </xf>
    <xf numFmtId="0" fontId="0" fillId="5" borderId="9" xfId="0" applyFill="1" applyBorder="1" applyAlignment="1">
      <alignment horizontal="left" vertical="center"/>
    </xf>
    <xf numFmtId="165" fontId="0" fillId="5" borderId="10" xfId="0" applyNumberFormat="1" applyFill="1" applyBorder="1" applyAlignment="1">
      <alignment horizontal="center" vertical="center"/>
    </xf>
    <xf numFmtId="0" fontId="1" fillId="0" borderId="11" xfId="0" applyFont="1" applyBorder="1" applyAlignment="1">
      <alignment horizontal="left" vertical="center" wrapText="1"/>
    </xf>
    <xf numFmtId="48" fontId="0" fillId="5" borderId="10" xfId="0" applyNumberFormat="1" applyFill="1" applyBorder="1" applyAlignment="1">
      <alignment horizontal="center" vertical="center"/>
    </xf>
    <xf numFmtId="166" fontId="0" fillId="5" borderId="10" xfId="0" applyNumberFormat="1" applyFill="1" applyBorder="1" applyAlignment="1">
      <alignment horizontal="center" vertical="center"/>
    </xf>
    <xf numFmtId="0" fontId="0" fillId="0" borderId="11" xfId="0" applyBorder="1" applyAlignment="1">
      <alignment horizontal="left" vertical="center" wrapText="1"/>
    </xf>
    <xf numFmtId="165" fontId="1" fillId="6" borderId="19" xfId="0" applyNumberFormat="1" applyFont="1" applyFill="1" applyBorder="1" applyAlignment="1">
      <alignment horizontal="center" vertical="center"/>
    </xf>
    <xf numFmtId="0" fontId="5" fillId="0" borderId="0" xfId="0" applyFont="1" applyAlignment="1">
      <alignment vertical="center"/>
    </xf>
    <xf numFmtId="0" fontId="0" fillId="5" borderId="24" xfId="0" applyFill="1" applyBorder="1" applyAlignment="1">
      <alignment horizontal="left" vertical="center"/>
    </xf>
    <xf numFmtId="1" fontId="0" fillId="5" borderId="25" xfId="0" applyNumberFormat="1" applyFill="1" applyBorder="1" applyAlignment="1">
      <alignment horizontal="center" vertical="center"/>
    </xf>
    <xf numFmtId="0" fontId="0" fillId="0" borderId="26" xfId="0" applyBorder="1" applyAlignment="1">
      <alignment horizontal="left" vertical="center"/>
    </xf>
    <xf numFmtId="0" fontId="0" fillId="4" borderId="18" xfId="0" applyFill="1" applyBorder="1" applyAlignment="1">
      <alignment horizontal="left" vertical="center"/>
    </xf>
    <xf numFmtId="1" fontId="1" fillId="4" borderId="19" xfId="0" applyNumberFormat="1" applyFont="1" applyFill="1" applyBorder="1" applyAlignment="1">
      <alignment horizontal="center" vertical="center"/>
    </xf>
    <xf numFmtId="0" fontId="0" fillId="0" borderId="20" xfId="0" applyBorder="1" applyAlignment="1">
      <alignment horizontal="left" vertical="center"/>
    </xf>
    <xf numFmtId="0" fontId="0" fillId="4" borderId="24" xfId="0" applyFill="1" applyBorder="1" applyAlignment="1">
      <alignment horizontal="left" vertical="center"/>
    </xf>
    <xf numFmtId="48" fontId="0" fillId="4" borderId="25" xfId="0" applyNumberFormat="1" applyFill="1" applyBorder="1" applyAlignment="1">
      <alignment horizontal="center" vertical="center"/>
    </xf>
    <xf numFmtId="0" fontId="1" fillId="0" borderId="26" xfId="0" applyFont="1" applyBorder="1" applyAlignment="1">
      <alignment horizontal="left" vertical="center" wrapText="1"/>
    </xf>
    <xf numFmtId="166" fontId="1" fillId="6" borderId="13" xfId="0" applyNumberFormat="1" applyFont="1" applyFill="1" applyBorder="1" applyAlignment="1">
      <alignment horizontal="center" vertical="center"/>
    </xf>
    <xf numFmtId="0" fontId="1" fillId="0" borderId="14" xfId="0" applyFont="1" applyBorder="1" applyAlignment="1">
      <alignment horizontal="left" vertical="center"/>
    </xf>
    <xf numFmtId="0" fontId="0" fillId="0" borderId="0" xfId="0" applyAlignment="1">
      <alignment horizontal="left" vertical="center"/>
    </xf>
    <xf numFmtId="0" fontId="1" fillId="0" borderId="0" xfId="0" applyFont="1" applyAlignment="1">
      <alignment horizontal="left" vertical="center"/>
    </xf>
    <xf numFmtId="0" fontId="0" fillId="4" borderId="0" xfId="0" applyFill="1"/>
    <xf numFmtId="0" fontId="0" fillId="5" borderId="0" xfId="0" applyFill="1"/>
    <xf numFmtId="0" fontId="0" fillId="7" borderId="0" xfId="0" applyFill="1"/>
    <xf numFmtId="0" fontId="0" fillId="8" borderId="0" xfId="0" applyFill="1"/>
    <xf numFmtId="0" fontId="5" fillId="0" borderId="0" xfId="0" applyFont="1" applyAlignment="1">
      <alignment horizontal="right" vertical="center"/>
    </xf>
    <xf numFmtId="0" fontId="0" fillId="0" borderId="0" xfId="0" applyAlignment="1">
      <alignment horizontal="center" vertical="center"/>
    </xf>
    <xf numFmtId="0" fontId="6" fillId="0" borderId="0" xfId="0" applyFont="1"/>
    <xf numFmtId="0" fontId="7" fillId="0" borderId="0" xfId="0" applyFont="1" applyAlignment="1">
      <alignment horizontal="center" vertical="top"/>
    </xf>
    <xf numFmtId="0" fontId="8" fillId="9" borderId="10" xfId="0" applyFont="1" applyFill="1" applyBorder="1" applyAlignment="1">
      <alignment horizontal="center" wrapText="1"/>
    </xf>
    <xf numFmtId="14" fontId="6" fillId="0" borderId="10" xfId="0" applyNumberFormat="1" applyFont="1" applyBorder="1" applyAlignment="1">
      <alignment horizontal="center" vertical="center" wrapText="1"/>
    </xf>
    <xf numFmtId="0" fontId="6" fillId="0" borderId="10" xfId="0" applyFont="1" applyBorder="1" applyAlignment="1">
      <alignment vertical="center"/>
    </xf>
    <xf numFmtId="0" fontId="9" fillId="0" borderId="0" xfId="0" applyFont="1"/>
    <xf numFmtId="0" fontId="8" fillId="0" borderId="0" xfId="0" applyFont="1"/>
    <xf numFmtId="0" fontId="6" fillId="0" borderId="0" xfId="0" applyFont="1" applyAlignment="1">
      <alignment vertical="center"/>
    </xf>
    <xf numFmtId="0" fontId="10" fillId="0" borderId="0" xfId="0" applyFont="1" applyAlignment="1">
      <alignment vertical="center" wrapText="1"/>
    </xf>
    <xf numFmtId="0" fontId="6" fillId="0" borderId="0" xfId="0" applyFont="1" applyAlignment="1">
      <alignment vertical="center" wrapText="1"/>
    </xf>
    <xf numFmtId="0" fontId="8" fillId="0" borderId="10" xfId="0" applyFont="1" applyBorder="1"/>
    <xf numFmtId="0" fontId="8" fillId="0" borderId="10" xfId="0" applyFont="1" applyBorder="1" applyAlignment="1">
      <alignment horizontal="left"/>
    </xf>
    <xf numFmtId="0" fontId="7" fillId="10" borderId="0" xfId="0" applyFont="1" applyFill="1" applyAlignment="1">
      <alignment horizontal="left" vertical="top"/>
    </xf>
    <xf numFmtId="0" fontId="7" fillId="10" borderId="0" xfId="0" applyFont="1" applyFill="1" applyAlignment="1">
      <alignment horizontal="center" vertical="top" wrapText="1"/>
    </xf>
    <xf numFmtId="0" fontId="6" fillId="0" borderId="0" xfId="0" applyFont="1"/>
    <xf numFmtId="0" fontId="7" fillId="9" borderId="10" xfId="0" applyFont="1" applyFill="1" applyBorder="1" applyAlignment="1">
      <alignment horizontal="center"/>
    </xf>
    <xf numFmtId="0" fontId="7" fillId="0" borderId="0" xfId="0" applyFont="1" applyAlignment="1">
      <alignment horizontal="left" vertical="top"/>
    </xf>
    <xf numFmtId="0" fontId="6" fillId="0" borderId="27" xfId="0" applyFont="1" applyBorder="1" applyAlignment="1">
      <alignment horizontal="center"/>
    </xf>
    <xf numFmtId="0" fontId="6" fillId="0" borderId="29" xfId="0" applyFont="1" applyBorder="1" applyAlignment="1">
      <alignment horizontal="center"/>
    </xf>
    <xf numFmtId="0" fontId="6" fillId="0" borderId="28" xfId="0" applyFont="1" applyBorder="1" applyAlignment="1">
      <alignment horizontal="center"/>
    </xf>
    <xf numFmtId="0" fontId="8" fillId="9" borderId="27" xfId="0" applyFont="1" applyFill="1" applyBorder="1" applyAlignment="1">
      <alignment horizontal="center" vertical="center" wrapText="1"/>
    </xf>
    <xf numFmtId="0" fontId="8" fillId="9" borderId="28" xfId="0" applyFont="1" applyFill="1" applyBorder="1" applyAlignment="1">
      <alignment horizontal="center" vertical="center" wrapText="1"/>
    </xf>
    <xf numFmtId="0" fontId="8" fillId="9" borderId="27" xfId="0" applyFont="1" applyFill="1" applyBorder="1" applyAlignment="1">
      <alignment horizontal="center" wrapText="1"/>
    </xf>
    <xf numFmtId="0" fontId="8" fillId="9" borderId="28" xfId="0" applyFont="1" applyFill="1" applyBorder="1" applyAlignment="1">
      <alignment horizont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10" xfId="0" applyFont="1" applyBorder="1" applyAlignment="1">
      <alignment horizontal="center" vertical="center" wrapText="1"/>
    </xf>
    <xf numFmtId="0" fontId="8" fillId="9" borderId="10" xfId="0" applyFont="1" applyFill="1" applyBorder="1" applyAlignment="1">
      <alignment horizontal="center" wrapText="1"/>
    </xf>
    <xf numFmtId="0" fontId="0" fillId="0" borderId="0" xfId="0" applyAlignment="1">
      <alignment horizontal="left" vertical="top" wrapText="1"/>
    </xf>
    <xf numFmtId="0" fontId="8" fillId="0" borderId="10" xfId="0" applyFont="1" applyBorder="1" applyAlignment="1">
      <alignment horizontal="center"/>
    </xf>
    <xf numFmtId="0" fontId="6" fillId="0" borderId="10" xfId="0" applyFont="1" applyBorder="1" applyAlignment="1">
      <alignment horizontal="center" vertical="center"/>
    </xf>
    <xf numFmtId="0" fontId="8" fillId="0" borderId="10" xfId="0" applyFont="1" applyBorder="1" applyAlignment="1">
      <alignment horizontal="left"/>
    </xf>
    <xf numFmtId="0" fontId="10" fillId="0" borderId="10" xfId="0" applyFont="1" applyBorder="1" applyAlignment="1">
      <alignment horizontal="left" vertical="center" wrapText="1"/>
    </xf>
    <xf numFmtId="0" fontId="5" fillId="0" borderId="0" xfId="0" applyFont="1" applyAlignment="1">
      <alignment horizontal="center" vertical="center"/>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3" fillId="0" borderId="4" xfId="0" applyFont="1" applyBorder="1" applyAlignment="1">
      <alignment horizontal="center" vertical="center" textRotation="180"/>
    </xf>
    <xf numFmtId="0" fontId="3" fillId="0" borderId="5" xfId="0" applyFont="1" applyBorder="1" applyAlignment="1">
      <alignment horizontal="center" vertical="center" textRotation="180"/>
    </xf>
    <xf numFmtId="0" fontId="3" fillId="0" borderId="17" xfId="0" applyFont="1" applyBorder="1" applyAlignment="1">
      <alignment horizontal="center" vertical="center" textRotation="180"/>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15" xfId="0" applyFont="1" applyFill="1" applyBorder="1" applyAlignment="1">
      <alignment horizontal="center" vertical="center" wrapText="1"/>
    </xf>
    <xf numFmtId="0" fontId="1" fillId="3" borderId="0" xfId="0" applyFont="1" applyFill="1" applyAlignment="1">
      <alignment horizontal="center" vertical="center"/>
    </xf>
    <xf numFmtId="0" fontId="1" fillId="3" borderId="16" xfId="0" applyFont="1" applyFill="1" applyBorder="1" applyAlignment="1">
      <alignment horizontal="center" vertical="center"/>
    </xf>
    <xf numFmtId="0" fontId="1" fillId="3" borderId="21"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23" xfId="0" applyFont="1" applyFill="1" applyBorder="1" applyAlignment="1">
      <alignment horizontal="center" vertical="center"/>
    </xf>
    <xf numFmtId="0" fontId="1" fillId="8" borderId="20" xfId="0" applyFont="1" applyFill="1" applyBorder="1" applyAlignment="1">
      <alignment horizontal="left" vertical="center" wrapText="1"/>
    </xf>
    <xf numFmtId="0" fontId="1" fillId="8" borderId="26" xfId="0" applyFont="1" applyFill="1" applyBorder="1" applyAlignment="1">
      <alignment horizontal="left" vertical="center"/>
    </xf>
    <xf numFmtId="0" fontId="1" fillId="3" borderId="21" xfId="0" applyFont="1" applyFill="1" applyBorder="1" applyAlignment="1">
      <alignment horizontal="center" vertical="center" wrapText="1"/>
    </xf>
  </cellXfs>
  <cellStyles count="1">
    <cellStyle name="Normale" xfId="0" builtinId="0"/>
  </cellStyles>
  <dxfs count="6">
    <dxf>
      <font>
        <color rgb="FF9C0006"/>
      </font>
      <fill>
        <patternFill>
          <bgColor rgb="FFFFC7CE"/>
        </patternFill>
      </fill>
    </dxf>
    <dxf>
      <font>
        <color rgb="FF9C0006"/>
      </font>
      <fill>
        <patternFill>
          <bgColor rgb="FFFFC7CE"/>
        </patternFill>
      </fill>
    </dxf>
    <dxf>
      <font>
        <color rgb="FFFF0000"/>
      </font>
      <fill>
        <patternFill>
          <bgColor rgb="FFFFC7CE"/>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19051</xdr:colOff>
      <xdr:row>19</xdr:row>
      <xdr:rowOff>75864</xdr:rowOff>
    </xdr:from>
    <xdr:to>
      <xdr:col>10</xdr:col>
      <xdr:colOff>526676</xdr:colOff>
      <xdr:row>23</xdr:row>
      <xdr:rowOff>123264</xdr:rowOff>
    </xdr:to>
    <xdr:grpSp>
      <xdr:nvGrpSpPr>
        <xdr:cNvPr id="2" name="Gruppo 1">
          <a:extLst>
            <a:ext uri="{FF2B5EF4-FFF2-40B4-BE49-F238E27FC236}">
              <a16:creationId xmlns:a16="http://schemas.microsoft.com/office/drawing/2014/main" id="{A0854FB1-CC70-43E5-B989-D2F01AFC3CEF}"/>
            </a:ext>
          </a:extLst>
        </xdr:cNvPr>
        <xdr:cNvGrpSpPr/>
      </xdr:nvGrpSpPr>
      <xdr:grpSpPr>
        <a:xfrm>
          <a:off x="10421304" y="5124114"/>
          <a:ext cx="2938405" cy="1489961"/>
          <a:chOff x="34211172" y="6817068"/>
          <a:chExt cx="4145094" cy="1683235"/>
        </a:xfrm>
      </xdr:grpSpPr>
      <xdr:pic>
        <xdr:nvPicPr>
          <xdr:cNvPr id="3" name="Immagine 2">
            <a:extLst>
              <a:ext uri="{FF2B5EF4-FFF2-40B4-BE49-F238E27FC236}">
                <a16:creationId xmlns:a16="http://schemas.microsoft.com/office/drawing/2014/main" id="{8C67583F-3FF1-78BD-3379-E11CF5478A42}"/>
              </a:ext>
            </a:extLst>
          </xdr:cNvPr>
          <xdr:cNvPicPr>
            <a:picLocks noChangeAspect="1"/>
          </xdr:cNvPicPr>
        </xdr:nvPicPr>
        <xdr:blipFill>
          <a:blip xmlns:r="http://schemas.openxmlformats.org/officeDocument/2006/relationships" r:embed="rId1"/>
          <a:stretch>
            <a:fillRect/>
          </a:stretch>
        </xdr:blipFill>
        <xdr:spPr>
          <a:xfrm>
            <a:off x="34223178" y="6817068"/>
            <a:ext cx="3697970" cy="589150"/>
          </a:xfrm>
          <a:prstGeom prst="rect">
            <a:avLst/>
          </a:prstGeom>
        </xdr:spPr>
      </xdr:pic>
      <xdr:pic>
        <xdr:nvPicPr>
          <xdr:cNvPr id="4" name="Immagine 3">
            <a:extLst>
              <a:ext uri="{FF2B5EF4-FFF2-40B4-BE49-F238E27FC236}">
                <a16:creationId xmlns:a16="http://schemas.microsoft.com/office/drawing/2014/main" id="{5F031B68-82E4-7F3D-BC40-1442E29A8C19}"/>
              </a:ext>
            </a:extLst>
          </xdr:cNvPr>
          <xdr:cNvPicPr>
            <a:picLocks noChangeAspect="1"/>
          </xdr:cNvPicPr>
        </xdr:nvPicPr>
        <xdr:blipFill>
          <a:blip xmlns:r="http://schemas.openxmlformats.org/officeDocument/2006/relationships" r:embed="rId2"/>
          <a:stretch>
            <a:fillRect/>
          </a:stretch>
        </xdr:blipFill>
        <xdr:spPr>
          <a:xfrm>
            <a:off x="34211172" y="7429500"/>
            <a:ext cx="4145094" cy="1070803"/>
          </a:xfrm>
          <a:prstGeom prst="rect">
            <a:avLst/>
          </a:prstGeom>
        </xdr:spPr>
      </xdr:pic>
    </xdr:grpSp>
    <xdr:clientData/>
  </xdr:twoCellAnchor>
  <xdr:twoCellAnchor editAs="oneCell">
    <xdr:from>
      <xdr:col>6</xdr:col>
      <xdr:colOff>37202</xdr:colOff>
      <xdr:row>25</xdr:row>
      <xdr:rowOff>37880</xdr:rowOff>
    </xdr:from>
    <xdr:to>
      <xdr:col>17</xdr:col>
      <xdr:colOff>378317</xdr:colOff>
      <xdr:row>39</xdr:row>
      <xdr:rowOff>172100</xdr:rowOff>
    </xdr:to>
    <xdr:pic>
      <xdr:nvPicPr>
        <xdr:cNvPr id="5" name="Immagine 4">
          <a:extLst>
            <a:ext uri="{FF2B5EF4-FFF2-40B4-BE49-F238E27FC236}">
              <a16:creationId xmlns:a16="http://schemas.microsoft.com/office/drawing/2014/main" id="{E8A8B362-999F-447B-9A09-8A34917E73D1}"/>
            </a:ext>
          </a:extLst>
        </xdr:cNvPr>
        <xdr:cNvPicPr>
          <a:picLocks/>
        </xdr:cNvPicPr>
      </xdr:nvPicPr>
      <xdr:blipFill>
        <a:blip xmlns:r="http://schemas.openxmlformats.org/officeDocument/2006/relationships" r:embed="rId3"/>
        <a:stretch>
          <a:fillRect/>
        </a:stretch>
      </xdr:blipFill>
      <xdr:spPr>
        <a:xfrm>
          <a:off x="13486502" y="7078760"/>
          <a:ext cx="7046715" cy="3708000"/>
        </a:xfrm>
        <a:prstGeom prst="rect">
          <a:avLst/>
        </a:prstGeom>
      </xdr:spPr>
    </xdr:pic>
    <xdr:clientData/>
  </xdr:twoCellAnchor>
  <xdr:twoCellAnchor editAs="oneCell">
    <xdr:from>
      <xdr:col>5</xdr:col>
      <xdr:colOff>300319</xdr:colOff>
      <xdr:row>0</xdr:row>
      <xdr:rowOff>0</xdr:rowOff>
    </xdr:from>
    <xdr:to>
      <xdr:col>17</xdr:col>
      <xdr:colOff>187659</xdr:colOff>
      <xdr:row>16</xdr:row>
      <xdr:rowOff>322090</xdr:rowOff>
    </xdr:to>
    <xdr:pic>
      <xdr:nvPicPr>
        <xdr:cNvPr id="6" name="Immagine 5">
          <a:extLst>
            <a:ext uri="{FF2B5EF4-FFF2-40B4-BE49-F238E27FC236}">
              <a16:creationId xmlns:a16="http://schemas.microsoft.com/office/drawing/2014/main" id="{B91E29CC-D9F6-4149-AED5-0D40C5632520}"/>
            </a:ext>
          </a:extLst>
        </xdr:cNvPr>
        <xdr:cNvPicPr>
          <a:picLocks/>
        </xdr:cNvPicPr>
      </xdr:nvPicPr>
      <xdr:blipFill>
        <a:blip xmlns:r="http://schemas.openxmlformats.org/officeDocument/2006/relationships" r:embed="rId4"/>
        <a:stretch>
          <a:fillRect/>
        </a:stretch>
      </xdr:blipFill>
      <xdr:spPr>
        <a:xfrm>
          <a:off x="13140019" y="0"/>
          <a:ext cx="7200000" cy="44280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1B37B1-057F-4542-863A-1F10F6308F09}" name="Tabella1" displayName="Tabella1" ref="B1:B3" totalsRowShown="0" headerRowDxfId="5" dataDxfId="4">
  <autoFilter ref="B1:B3" xr:uid="{4A1B37B1-057F-4542-863A-1F10F6308F09}"/>
  <tableColumns count="1">
    <tableColumn id="1" xr3:uid="{D7BC30A8-79F1-4171-BB11-3DF2D4E1E1CE}" name="Probe"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E9A6F-7202-4E9C-BB40-F2CE382925C4}">
  <dimension ref="B2:K18"/>
  <sheetViews>
    <sheetView workbookViewId="0">
      <selection activeCell="C21" sqref="C21"/>
    </sheetView>
  </sheetViews>
  <sheetFormatPr defaultRowHeight="14.4" x14ac:dyDescent="0.3"/>
  <cols>
    <col min="8" max="8" width="10.5546875" bestFit="1" customWidth="1"/>
  </cols>
  <sheetData>
    <row r="2" spans="2:11" x14ac:dyDescent="0.3">
      <c r="B2" s="74"/>
      <c r="C2" s="74"/>
      <c r="D2" s="74"/>
      <c r="E2" s="74"/>
      <c r="F2" s="74"/>
      <c r="G2" s="74"/>
      <c r="H2" s="60"/>
      <c r="I2" s="60"/>
    </row>
    <row r="3" spans="2:11" x14ac:dyDescent="0.3">
      <c r="B3" s="74"/>
      <c r="C3" s="74"/>
      <c r="D3" s="74"/>
      <c r="E3" s="74"/>
      <c r="F3" s="74"/>
      <c r="G3" s="74"/>
      <c r="H3" s="60"/>
      <c r="I3" s="60"/>
    </row>
    <row r="4" spans="2:11" ht="18" x14ac:dyDescent="0.3">
      <c r="B4" s="72" t="s">
        <v>70</v>
      </c>
      <c r="C4" s="72"/>
      <c r="D4" s="73" t="s">
        <v>81</v>
      </c>
      <c r="E4" s="73"/>
      <c r="F4" s="73"/>
      <c r="G4" s="73"/>
      <c r="H4" s="73"/>
      <c r="I4" s="60"/>
    </row>
    <row r="5" spans="2:11" x14ac:dyDescent="0.3">
      <c r="B5" s="74"/>
      <c r="C5" s="74"/>
      <c r="D5" s="74"/>
      <c r="E5" s="74"/>
      <c r="F5" s="74"/>
      <c r="G5" s="74"/>
      <c r="H5" s="60"/>
      <c r="I5" s="60"/>
    </row>
    <row r="6" spans="2:11" ht="18" x14ac:dyDescent="0.3">
      <c r="B6" s="61"/>
      <c r="C6" s="61"/>
      <c r="D6" s="61"/>
      <c r="E6" s="61"/>
      <c r="F6" s="76"/>
      <c r="G6" s="76"/>
      <c r="H6" s="60"/>
      <c r="I6" s="60"/>
    </row>
    <row r="7" spans="2:11" ht="18" x14ac:dyDescent="0.35">
      <c r="B7" s="75" t="s">
        <v>71</v>
      </c>
      <c r="C7" s="75"/>
      <c r="D7" s="75"/>
      <c r="E7" s="75"/>
      <c r="F7" s="75"/>
      <c r="G7" s="75"/>
      <c r="H7" s="75"/>
      <c r="I7" s="60"/>
    </row>
    <row r="8" spans="2:11" x14ac:dyDescent="0.3">
      <c r="B8" s="77" t="s">
        <v>72</v>
      </c>
      <c r="C8" s="78"/>
      <c r="D8" s="78"/>
      <c r="E8" s="79"/>
      <c r="F8" s="77" t="s">
        <v>73</v>
      </c>
      <c r="G8" s="78"/>
      <c r="H8" s="79"/>
      <c r="I8" s="60"/>
    </row>
    <row r="9" spans="2:11" x14ac:dyDescent="0.3">
      <c r="B9" s="77" t="s">
        <v>82</v>
      </c>
      <c r="C9" s="78"/>
      <c r="D9" s="78"/>
      <c r="E9" s="79"/>
      <c r="F9" s="77" t="s">
        <v>80</v>
      </c>
      <c r="G9" s="78"/>
      <c r="H9" s="79"/>
      <c r="I9" s="60"/>
    </row>
    <row r="10" spans="2:11" x14ac:dyDescent="0.3">
      <c r="B10" s="74"/>
      <c r="C10" s="74"/>
      <c r="D10" s="74"/>
      <c r="E10" s="74"/>
      <c r="F10" s="74"/>
      <c r="G10" s="74"/>
      <c r="H10" s="60"/>
      <c r="I10" s="60"/>
    </row>
    <row r="11" spans="2:11" x14ac:dyDescent="0.3">
      <c r="B11" s="82"/>
      <c r="C11" s="83"/>
      <c r="D11" s="82" t="s">
        <v>74</v>
      </c>
      <c r="E11" s="83"/>
      <c r="F11" s="87" t="s">
        <v>75</v>
      </c>
      <c r="G11" s="87"/>
      <c r="H11" s="62" t="s">
        <v>76</v>
      </c>
      <c r="I11" s="60"/>
    </row>
    <row r="12" spans="2:11" x14ac:dyDescent="0.3">
      <c r="B12" s="80" t="s">
        <v>77</v>
      </c>
      <c r="C12" s="81"/>
      <c r="D12" s="84" t="s">
        <v>78</v>
      </c>
      <c r="E12" s="85"/>
      <c r="F12" s="86" t="s">
        <v>79</v>
      </c>
      <c r="G12" s="86"/>
      <c r="H12" s="63">
        <v>45203</v>
      </c>
      <c r="I12" s="60"/>
    </row>
    <row r="14" spans="2:11" ht="18" x14ac:dyDescent="0.35">
      <c r="B14" s="75" t="s">
        <v>83</v>
      </c>
      <c r="C14" s="75"/>
      <c r="D14" s="75"/>
      <c r="E14" s="75"/>
      <c r="F14" s="75"/>
      <c r="G14" s="75"/>
      <c r="H14" s="75"/>
      <c r="I14" s="65"/>
      <c r="J14" s="65"/>
      <c r="K14" s="65"/>
    </row>
    <row r="15" spans="2:11" x14ac:dyDescent="0.3">
      <c r="B15" s="70" t="s">
        <v>73</v>
      </c>
      <c r="C15" s="89" t="s">
        <v>84</v>
      </c>
      <c r="D15" s="89"/>
      <c r="E15" s="91" t="s">
        <v>70</v>
      </c>
      <c r="F15" s="91"/>
      <c r="G15" s="91"/>
      <c r="H15" s="71" t="s">
        <v>76</v>
      </c>
      <c r="I15" s="66"/>
      <c r="J15" s="66"/>
    </row>
    <row r="16" spans="2:11" ht="14.4" customHeight="1" x14ac:dyDescent="0.3">
      <c r="B16" s="64" t="s">
        <v>80</v>
      </c>
      <c r="C16" s="90" t="s">
        <v>85</v>
      </c>
      <c r="D16" s="90"/>
      <c r="E16" s="92" t="s">
        <v>86</v>
      </c>
      <c r="F16" s="92"/>
      <c r="G16" s="92"/>
      <c r="H16" s="63">
        <v>45203</v>
      </c>
      <c r="I16" s="68"/>
      <c r="J16" s="68"/>
    </row>
    <row r="17" spans="2:11" x14ac:dyDescent="0.3">
      <c r="B17" s="67"/>
      <c r="C17" s="67"/>
      <c r="D17" s="69"/>
      <c r="E17" s="68"/>
      <c r="F17" s="68"/>
      <c r="G17" s="68"/>
      <c r="H17" s="68"/>
      <c r="I17" s="68"/>
      <c r="J17" s="68"/>
      <c r="K17" s="67"/>
    </row>
    <row r="18" spans="2:11" ht="30" customHeight="1" x14ac:dyDescent="0.3">
      <c r="B18" s="88" t="s">
        <v>87</v>
      </c>
      <c r="C18" s="88"/>
      <c r="D18" s="88"/>
      <c r="E18" s="88"/>
      <c r="F18" s="88"/>
      <c r="G18" s="88"/>
      <c r="H18" s="88"/>
    </row>
  </sheetData>
  <mergeCells count="32">
    <mergeCell ref="D10:E10"/>
    <mergeCell ref="F10:G10"/>
    <mergeCell ref="F11:G11"/>
    <mergeCell ref="B18:H18"/>
    <mergeCell ref="C15:D15"/>
    <mergeCell ref="C16:D16"/>
    <mergeCell ref="E15:G15"/>
    <mergeCell ref="E16:G16"/>
    <mergeCell ref="B14:H14"/>
    <mergeCell ref="F6:G6"/>
    <mergeCell ref="B7:H7"/>
    <mergeCell ref="B5:C5"/>
    <mergeCell ref="D5:E5"/>
    <mergeCell ref="F5:G5"/>
    <mergeCell ref="B8:E8"/>
    <mergeCell ref="F8:H8"/>
    <mergeCell ref="F9:H9"/>
    <mergeCell ref="B12:C12"/>
    <mergeCell ref="D11:E11"/>
    <mergeCell ref="D12:E12"/>
    <mergeCell ref="B11:C11"/>
    <mergeCell ref="B9:E9"/>
    <mergeCell ref="F12:G12"/>
    <mergeCell ref="B10:C10"/>
    <mergeCell ref="B4:C4"/>
    <mergeCell ref="D4:H4"/>
    <mergeCell ref="B2:C2"/>
    <mergeCell ref="D2:E2"/>
    <mergeCell ref="F2:G2"/>
    <mergeCell ref="B3:C3"/>
    <mergeCell ref="D3:E3"/>
    <mergeCell ref="F3:G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4"/>
  <sheetViews>
    <sheetView tabSelected="1" zoomScale="80" zoomScaleNormal="80" workbookViewId="0">
      <selection activeCell="D24" sqref="D24"/>
    </sheetView>
  </sheetViews>
  <sheetFormatPr defaultRowHeight="14.4" x14ac:dyDescent="0.3"/>
  <cols>
    <col min="1" max="1" width="9.44140625" customWidth="1"/>
    <col min="2" max="2" width="6.77734375" style="1" customWidth="1"/>
    <col min="3" max="3" width="46.33203125" customWidth="1"/>
    <col min="4" max="4" width="15.5546875" bestFit="1" customWidth="1"/>
    <col min="5" max="5" width="64.6640625" bestFit="1" customWidth="1"/>
  </cols>
  <sheetData>
    <row r="1" spans="2:5" ht="20.399999999999999" thickBot="1" x14ac:dyDescent="0.35">
      <c r="C1" s="94" t="s">
        <v>0</v>
      </c>
      <c r="D1" s="95"/>
      <c r="E1" s="96"/>
    </row>
    <row r="2" spans="2:5" ht="15" thickBot="1" x14ac:dyDescent="0.35">
      <c r="B2" s="97" t="s">
        <v>1</v>
      </c>
      <c r="C2" s="100" t="s">
        <v>2</v>
      </c>
      <c r="D2" s="101"/>
      <c r="E2" s="102"/>
    </row>
    <row r="3" spans="2:5" ht="19.95" customHeight="1" x14ac:dyDescent="0.3">
      <c r="B3" s="98"/>
      <c r="C3" s="2" t="s">
        <v>3</v>
      </c>
      <c r="D3" s="3">
        <v>7.0000000000000001E-12</v>
      </c>
      <c r="E3" s="4" t="s">
        <v>4</v>
      </c>
    </row>
    <row r="4" spans="2:5" ht="19.95" customHeight="1" x14ac:dyDescent="0.3">
      <c r="B4" s="98"/>
      <c r="C4" s="5" t="s">
        <v>5</v>
      </c>
      <c r="D4" s="6">
        <v>1.5000000000000001E-12</v>
      </c>
      <c r="E4" s="7" t="s">
        <v>6</v>
      </c>
    </row>
    <row r="5" spans="2:5" ht="19.95" customHeight="1" x14ac:dyDescent="0.3">
      <c r="B5" s="98"/>
      <c r="C5" s="5" t="s">
        <v>7</v>
      </c>
      <c r="D5" s="6">
        <v>3.9999999999999999E-12</v>
      </c>
      <c r="E5" s="7" t="s">
        <v>8</v>
      </c>
    </row>
    <row r="6" spans="2:5" ht="19.95" customHeight="1" x14ac:dyDescent="0.3">
      <c r="B6" s="98"/>
      <c r="C6" s="8" t="s">
        <v>9</v>
      </c>
      <c r="D6" s="9">
        <v>2.7E-11</v>
      </c>
      <c r="E6" s="7" t="s">
        <v>10</v>
      </c>
    </row>
    <row r="7" spans="2:5" ht="19.95" customHeight="1" x14ac:dyDescent="0.3">
      <c r="B7" s="98"/>
      <c r="C7" s="8" t="s">
        <v>11</v>
      </c>
      <c r="D7" s="10">
        <v>40</v>
      </c>
      <c r="E7" s="7" t="s">
        <v>12</v>
      </c>
    </row>
    <row r="8" spans="2:5" ht="19.95" customHeight="1" x14ac:dyDescent="0.3">
      <c r="B8" s="98"/>
      <c r="C8" s="8" t="s">
        <v>13</v>
      </c>
      <c r="D8" s="11">
        <v>25000000</v>
      </c>
      <c r="E8" s="7" t="s">
        <v>14</v>
      </c>
    </row>
    <row r="9" spans="2:5" x14ac:dyDescent="0.3">
      <c r="B9" s="98"/>
      <c r="C9" s="8" t="s">
        <v>15</v>
      </c>
      <c r="D9" s="9">
        <v>1E-4</v>
      </c>
      <c r="E9" s="7" t="s">
        <v>16</v>
      </c>
    </row>
    <row r="10" spans="2:5" ht="15" customHeight="1" thickBot="1" x14ac:dyDescent="0.35">
      <c r="B10" s="98"/>
      <c r="C10" s="12" t="s">
        <v>17</v>
      </c>
      <c r="D10" s="13">
        <f>D7/((1+(D3/D6))^2)</f>
        <v>25.224913494809687</v>
      </c>
      <c r="E10" s="14"/>
    </row>
    <row r="11" spans="2:5" ht="30" customHeight="1" thickBot="1" x14ac:dyDescent="0.35">
      <c r="B11" s="98"/>
      <c r="C11" s="103" t="s">
        <v>18</v>
      </c>
      <c r="D11" s="104"/>
      <c r="E11" s="105"/>
    </row>
    <row r="12" spans="2:5" ht="19.95" customHeight="1" x14ac:dyDescent="0.3">
      <c r="B12" s="98"/>
      <c r="C12" s="15" t="s">
        <v>19</v>
      </c>
      <c r="D12" s="16">
        <f>(D6-D4-D5)*2</f>
        <v>4.3E-11</v>
      </c>
      <c r="E12" s="4"/>
    </row>
    <row r="13" spans="2:5" x14ac:dyDescent="0.3">
      <c r="B13" s="98"/>
      <c r="C13" s="8" t="s">
        <v>20</v>
      </c>
      <c r="D13" s="17">
        <v>2.7E-11</v>
      </c>
      <c r="E13" s="7" t="s">
        <v>21</v>
      </c>
    </row>
    <row r="14" spans="2:5" ht="29.4" thickBot="1" x14ac:dyDescent="0.35">
      <c r="B14" s="99"/>
      <c r="C14" s="18" t="s">
        <v>22</v>
      </c>
      <c r="D14" s="19">
        <f>(D13+D4+D5)/2</f>
        <v>1.6250000000000002E-11</v>
      </c>
      <c r="E14" s="20" t="s">
        <v>23</v>
      </c>
    </row>
    <row r="15" spans="2:5" ht="15" thickBot="1" x14ac:dyDescent="0.35">
      <c r="B15" s="97" t="s">
        <v>24</v>
      </c>
      <c r="C15" s="106" t="s">
        <v>25</v>
      </c>
      <c r="D15" s="107"/>
      <c r="E15" s="108"/>
    </row>
    <row r="16" spans="2:5" ht="30.6" customHeight="1" x14ac:dyDescent="0.3">
      <c r="B16" s="98"/>
      <c r="C16" s="21" t="s">
        <v>26</v>
      </c>
      <c r="D16" s="22">
        <v>1.1319999999999999</v>
      </c>
      <c r="E16" s="23" t="s">
        <v>27</v>
      </c>
    </row>
    <row r="17" spans="1:7" ht="30" customHeight="1" x14ac:dyDescent="0.3">
      <c r="B17" s="98"/>
      <c r="C17" s="24" t="s">
        <v>28</v>
      </c>
      <c r="D17" s="25" t="s">
        <v>29</v>
      </c>
      <c r="E17" s="26" t="s">
        <v>30</v>
      </c>
    </row>
    <row r="18" spans="1:7" ht="28.8" x14ac:dyDescent="0.3">
      <c r="B18" s="98"/>
      <c r="C18" s="27" t="s">
        <v>31</v>
      </c>
      <c r="D18" s="28">
        <v>9E-13</v>
      </c>
      <c r="E18" s="29"/>
    </row>
    <row r="19" spans="1:7" ht="18" customHeight="1" x14ac:dyDescent="0.35">
      <c r="B19" s="98"/>
      <c r="C19" s="27" t="s">
        <v>32</v>
      </c>
      <c r="D19" s="28">
        <v>1.1000000000000001E-11</v>
      </c>
      <c r="E19" s="109" t="s">
        <v>33</v>
      </c>
      <c r="G19" s="30" t="s">
        <v>34</v>
      </c>
    </row>
    <row r="20" spans="1:7" ht="14.4" customHeight="1" x14ac:dyDescent="0.3">
      <c r="B20" s="98"/>
      <c r="C20" s="27" t="s">
        <v>35</v>
      </c>
      <c r="D20" s="28">
        <v>10000000</v>
      </c>
      <c r="E20" s="110"/>
    </row>
    <row r="21" spans="1:7" ht="28.8" x14ac:dyDescent="0.3">
      <c r="B21" s="98"/>
      <c r="C21" s="27" t="s">
        <v>36</v>
      </c>
      <c r="D21" s="28">
        <v>1.5000000000000001E-12</v>
      </c>
      <c r="E21" s="29"/>
    </row>
    <row r="22" spans="1:7" ht="43.2" x14ac:dyDescent="0.3">
      <c r="B22" s="98"/>
      <c r="C22" s="27" t="s">
        <v>37</v>
      </c>
      <c r="D22" s="31">
        <f>IF(D17="Active (Lo-Cap)",1,(((1/((1/D20)+2*PI()*D8*D19))/(((1/((1/D20)+2*PI()*D8*D19))+(1/(2*PI()*D8*D21)))))))</f>
        <v>1</v>
      </c>
      <c r="E22" s="32" t="s">
        <v>38</v>
      </c>
    </row>
    <row r="23" spans="1:7" ht="28.8" x14ac:dyDescent="0.3">
      <c r="B23" s="98"/>
      <c r="C23" s="33" t="s">
        <v>39</v>
      </c>
      <c r="D23" s="34">
        <f>(D16/(2*SQRT(2)))/D22</f>
        <v>0.40022243815158581</v>
      </c>
      <c r="E23" s="35" t="s">
        <v>40</v>
      </c>
    </row>
    <row r="24" spans="1:7" ht="19.95" customHeight="1" x14ac:dyDescent="0.3">
      <c r="B24" s="98"/>
      <c r="C24" s="33" t="s">
        <v>41</v>
      </c>
      <c r="D24" s="36">
        <f>IF(D17="Active (Lo-Cap)",D13+((D4+D5)/2)+D18,D13+((D4+D5)/2)+((D19*D21)/(D19+D21)))</f>
        <v>3.0649999999999999E-11</v>
      </c>
      <c r="E24" s="7" t="s">
        <v>42</v>
      </c>
    </row>
    <row r="25" spans="1:7" ht="19.95" customHeight="1" x14ac:dyDescent="0.35">
      <c r="B25" s="98"/>
      <c r="C25" s="33" t="s">
        <v>43</v>
      </c>
      <c r="D25" s="36">
        <f>2*PI()*D8*D23*D24</f>
        <v>1.9268672230719373E-3</v>
      </c>
      <c r="E25" s="7" t="s">
        <v>44</v>
      </c>
      <c r="G25" s="30" t="s">
        <v>45</v>
      </c>
    </row>
    <row r="26" spans="1:7" ht="30" customHeight="1" x14ac:dyDescent="0.3">
      <c r="B26" s="98"/>
      <c r="C26" s="33" t="s">
        <v>46</v>
      </c>
      <c r="D26" s="37">
        <f>IF(D14&lt;D6,(D10*(1+(D3/D6))^2),(D10*(1+(D3/D14))^2))</f>
        <v>40</v>
      </c>
      <c r="E26" s="38" t="s">
        <v>47</v>
      </c>
    </row>
    <row r="27" spans="1:7" x14ac:dyDescent="0.3">
      <c r="B27" s="98"/>
      <c r="C27" s="33" t="s">
        <v>48</v>
      </c>
      <c r="D27" s="36">
        <f>(D25^2)*D26</f>
        <v>1.4851269181395836E-4</v>
      </c>
      <c r="E27" s="7" t="s">
        <v>49</v>
      </c>
    </row>
    <row r="28" spans="1:7" ht="29.4" thickBot="1" x14ac:dyDescent="0.35">
      <c r="B28" s="98"/>
      <c r="C28" s="18" t="s">
        <v>50</v>
      </c>
      <c r="D28" s="39">
        <f>D27/D9</f>
        <v>1.4851269181395836</v>
      </c>
      <c r="E28" s="20" t="s">
        <v>51</v>
      </c>
    </row>
    <row r="29" spans="1:7" ht="30" customHeight="1" thickBot="1" x14ac:dyDescent="0.35">
      <c r="A29" s="40"/>
      <c r="B29" s="98"/>
      <c r="C29" s="111" t="s">
        <v>52</v>
      </c>
      <c r="D29" s="107"/>
      <c r="E29" s="108"/>
    </row>
    <row r="30" spans="1:7" ht="19.95" customHeight="1" x14ac:dyDescent="0.3">
      <c r="B30" s="98"/>
      <c r="C30" s="41" t="s">
        <v>53</v>
      </c>
      <c r="D30" s="42">
        <f>1/(2*PI()*D8*D13)</f>
        <v>235.78510087688201</v>
      </c>
      <c r="E30" s="43" t="s">
        <v>54</v>
      </c>
    </row>
    <row r="31" spans="1:7" ht="16.2" thickBot="1" x14ac:dyDescent="0.35">
      <c r="A31" s="40"/>
      <c r="B31" s="98"/>
      <c r="C31" s="44" t="s">
        <v>55</v>
      </c>
      <c r="D31" s="45">
        <v>0</v>
      </c>
      <c r="E31" s="46" t="s">
        <v>56</v>
      </c>
    </row>
    <row r="32" spans="1:7" ht="19.95" customHeight="1" thickBot="1" x14ac:dyDescent="0.35">
      <c r="B32" s="98"/>
      <c r="C32" s="106" t="s">
        <v>57</v>
      </c>
      <c r="D32" s="107"/>
      <c r="E32" s="108"/>
    </row>
    <row r="33" spans="2:5" ht="30" customHeight="1" x14ac:dyDescent="0.3">
      <c r="B33" s="98"/>
      <c r="C33" s="47" t="s">
        <v>58</v>
      </c>
      <c r="D33" s="48">
        <v>9.6999999999999993</v>
      </c>
      <c r="E33" s="49" t="s">
        <v>59</v>
      </c>
    </row>
    <row r="34" spans="2:5" ht="19.95" customHeight="1" x14ac:dyDescent="0.3">
      <c r="B34" s="98"/>
      <c r="C34" s="33" t="s">
        <v>60</v>
      </c>
      <c r="D34" s="36">
        <f>(4*(D26+D31)*((2*PI()*D8)^2)*(D3+D14)^2)*1000</f>
        <v>2.1340552116255469</v>
      </c>
      <c r="E34" s="7" t="s">
        <v>61</v>
      </c>
    </row>
    <row r="35" spans="2:5" ht="15" thickBot="1" x14ac:dyDescent="0.35">
      <c r="B35" s="99"/>
      <c r="C35" s="12" t="s">
        <v>57</v>
      </c>
      <c r="D35" s="50">
        <f>D33/D34</f>
        <v>4.5453369468409122</v>
      </c>
      <c r="E35" s="51" t="s">
        <v>62</v>
      </c>
    </row>
    <row r="36" spans="2:5" x14ac:dyDescent="0.3">
      <c r="C36" s="52"/>
      <c r="E36" s="53"/>
    </row>
    <row r="37" spans="2:5" x14ac:dyDescent="0.3">
      <c r="C37" s="54" t="s">
        <v>63</v>
      </c>
    </row>
    <row r="38" spans="2:5" x14ac:dyDescent="0.3">
      <c r="C38" s="55" t="s">
        <v>64</v>
      </c>
    </row>
    <row r="39" spans="2:5" x14ac:dyDescent="0.3">
      <c r="C39" s="56" t="s">
        <v>65</v>
      </c>
    </row>
    <row r="40" spans="2:5" x14ac:dyDescent="0.3">
      <c r="C40" s="57" t="s">
        <v>66</v>
      </c>
    </row>
    <row r="41" spans="2:5" ht="18" x14ac:dyDescent="0.35">
      <c r="C41" s="30"/>
    </row>
    <row r="42" spans="2:5" ht="79.95" customHeight="1" x14ac:dyDescent="0.3">
      <c r="C42" s="88" t="s">
        <v>67</v>
      </c>
      <c r="D42" s="88"/>
      <c r="E42" s="88"/>
    </row>
    <row r="62" spans="1:2" ht="15.6" x14ac:dyDescent="0.3">
      <c r="A62" s="40"/>
      <c r="B62" s="58"/>
    </row>
    <row r="154" spans="1:2" ht="15.6" x14ac:dyDescent="0.3">
      <c r="A154" s="93"/>
      <c r="B154" s="93"/>
    </row>
  </sheetData>
  <mergeCells count="11">
    <mergeCell ref="C42:E42"/>
    <mergeCell ref="A154:B154"/>
    <mergeCell ref="C1:E1"/>
    <mergeCell ref="B2:B14"/>
    <mergeCell ref="C2:E2"/>
    <mergeCell ref="C11:E11"/>
    <mergeCell ref="B15:B35"/>
    <mergeCell ref="C15:E15"/>
    <mergeCell ref="E19:E20"/>
    <mergeCell ref="C29:E29"/>
    <mergeCell ref="C32:E32"/>
  </mergeCells>
  <conditionalFormatting sqref="D14">
    <cfRule type="cellIs" dxfId="2" priority="1" operator="greaterThan">
      <formula>$D$6</formula>
    </cfRule>
  </conditionalFormatting>
  <conditionalFormatting sqref="D28">
    <cfRule type="cellIs" dxfId="1" priority="3" operator="greaterThan">
      <formula>0.8</formula>
    </cfRule>
  </conditionalFormatting>
  <conditionalFormatting sqref="D35">
    <cfRule type="cellIs" dxfId="0" priority="2" operator="lessThan">
      <formula>5</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B16AC637-272D-4FC3-8026-EF672E91AB10}">
          <x14:formula1>
            <xm:f>Foglio2!$B$2:$B$3</xm:f>
          </x14:formula1>
          <xm:sqref>D17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3E0F1-708E-4C27-9DD6-EAB6AA4324D2}">
  <dimension ref="B1:B3"/>
  <sheetViews>
    <sheetView workbookViewId="0">
      <selection activeCell="E14" sqref="E14"/>
    </sheetView>
  </sheetViews>
  <sheetFormatPr defaultRowHeight="14.4" x14ac:dyDescent="0.3"/>
  <cols>
    <col min="2" max="2" width="14.21875" bestFit="1" customWidth="1"/>
  </cols>
  <sheetData>
    <row r="1" spans="2:2" x14ac:dyDescent="0.3">
      <c r="B1" s="59" t="s">
        <v>68</v>
      </c>
    </row>
    <row r="2" spans="2:2" x14ac:dyDescent="0.3">
      <c r="B2" s="59" t="s">
        <v>29</v>
      </c>
    </row>
    <row r="3" spans="2:2" x14ac:dyDescent="0.3">
      <c r="B3" s="59" t="s">
        <v>69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Cover</vt:lpstr>
      <vt:lpstr>Foglio1</vt:lpstr>
      <vt:lpstr>Foglio2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Michele Tiriduzzi - ART S.p.A.</dc:creator>
  <cp:lastModifiedBy>Samuele Lorenzoni - ART S.p.A.</cp:lastModifiedBy>
  <dcterms:created xsi:type="dcterms:W3CDTF">2015-06-05T18:19:34Z</dcterms:created>
  <dcterms:modified xsi:type="dcterms:W3CDTF">2025-10-03T14:25:46Z</dcterms:modified>
</cp:coreProperties>
</file>