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anal\"/>
    </mc:Choice>
  </mc:AlternateContent>
  <xr:revisionPtr revIDLastSave="0" documentId="13_ncr:1_{A49835E7-2464-4649-B710-303B453FE6AB}" xr6:coauthVersionLast="47" xr6:coauthVersionMax="47" xr10:uidLastSave="{00000000-0000-0000-0000-000000000000}"/>
  <bookViews>
    <workbookView xWindow="28680" yWindow="-4920" windowWidth="29040" windowHeight="15840" tabRatio="835" xr2:uid="{00000000-000D-0000-FFFF-FFFF00000000}"/>
  </bookViews>
  <sheets>
    <sheet name="COMECE AQUI!" sheetId="21" r:id="rId1"/>
    <sheet name="Atributos" sheetId="1" r:id="rId2"/>
    <sheet name="Atributos Combinados" sheetId="20" r:id="rId3"/>
    <sheet name="Bolas Paradas" sheetId="18" r:id="rId4"/>
    <sheet name="Características (radar)" sheetId="19" r:id="rId5"/>
    <sheet name="Posições e Funções" sheetId="2" r:id="rId6"/>
    <sheet name="Comparação" sheetId="22" r:id="rId7"/>
  </sheets>
  <definedNames>
    <definedName name="Aceleracao">Atributos!$B$33</definedName>
    <definedName name="Agilidade">Atributos!$B$34</definedName>
    <definedName name="Agressividade">Atributos!$B$18</definedName>
    <definedName name="Alcance_Aereo">Atributos!$B$44</definedName>
    <definedName name="Antecipacao">Atributos!$B$19</definedName>
    <definedName name="Aptidao_Fisica">Atributos!$B$35</definedName>
    <definedName name="Bravura">Atributos!$B$20</definedName>
    <definedName name="Cabeceamento">Atributos!$B$3</definedName>
    <definedName name="Cantos">Atributos!$B$4</definedName>
    <definedName name="Comando_de_Area">Atributos!$B$45</definedName>
    <definedName name="Compostura">Atributos!$B$21</definedName>
    <definedName name="Comunicacao">Atributos!$B$46</definedName>
    <definedName name="Concentracao">Atributos!$B$22</definedName>
    <definedName name="Cruzamentos">Atributos!$B$5</definedName>
    <definedName name="Decisoes">Atributos!$B$23</definedName>
    <definedName name="Desarme">Atributos!$B$6</definedName>
    <definedName name="Determinacao">Atributos!$B$24</definedName>
    <definedName name="Equilibrio">Atributos!$B$36</definedName>
    <definedName name="Excentricidade">Atributos!$B$47</definedName>
    <definedName name="Finalizacao">Atributos!$B$7</definedName>
    <definedName name="Finta">Atributos!$B$8</definedName>
    <definedName name="Forca">Atributos!$B$37</definedName>
    <definedName name="Imprevisibilidade">Atributos!$B$25</definedName>
    <definedName name="Impulsao">Atributos!$B$38</definedName>
    <definedName name="Indice_de_Trabalho">Atributos!$B$26</definedName>
    <definedName name="Jogo_de_Maos">Atributos!$B$48</definedName>
    <definedName name="Lancamento">Atributos!$B$49</definedName>
    <definedName name="Lancamentos_Longos">Atributos!$B$9</definedName>
    <definedName name="Lideranca">Atributos!$B$27</definedName>
    <definedName name="Livres">Atributos!$B$10</definedName>
    <definedName name="Marcacao">Atributos!$B$11</definedName>
    <definedName name="Passe">Atributos!$B$13</definedName>
    <definedName name="Passe_Goleiro">Atributos!$B$50</definedName>
    <definedName name="Penaltis">Atributos!$B$12</definedName>
    <definedName name="Pontape">Atributos!$B$51</definedName>
    <definedName name="Posicionamento">Atributos!$B$28</definedName>
    <definedName name="Primeiro_Toque">Atributos!$B$14</definedName>
    <definedName name="Primeiro_Toque_Goleiro">Atributos!$B$52</definedName>
    <definedName name="Reflexos">Atributos!$B$53</definedName>
    <definedName name="Remates_de_Longe">Atributos!$B$15</definedName>
    <definedName name="Resistencia">Atributos!$B$39</definedName>
    <definedName name="Saidas_da_Baliza">Atributos!$B$42</definedName>
    <definedName name="Sem_Bola">Atributos!$B$29</definedName>
    <definedName name="Socar">Atributos!$B$43</definedName>
    <definedName name="Tecnica">Atributos!$B$16</definedName>
    <definedName name="Trabalho_de_Equipe">Atributos!$B$30</definedName>
    <definedName name="Um_Para_Um">Atributos!$B$54</definedName>
    <definedName name="Velocidade">Atributos!$B$40</definedName>
    <definedName name="Visao_de_Jogo">Atributos!$B$31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1" i="2" l="1"/>
  <c r="B140" i="2"/>
  <c r="B34" i="19"/>
  <c r="B32" i="19"/>
  <c r="B30" i="19"/>
  <c r="B28" i="19"/>
  <c r="B26" i="19"/>
  <c r="B24" i="19"/>
  <c r="B22" i="19"/>
  <c r="B20" i="19"/>
  <c r="B16" i="19"/>
  <c r="B14" i="19"/>
  <c r="B12" i="19"/>
  <c r="B10" i="19"/>
  <c r="B8" i="19"/>
  <c r="B6" i="19"/>
  <c r="B4" i="19"/>
  <c r="B2" i="19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0" i="22"/>
  <c r="C39" i="22"/>
  <c r="C38" i="22"/>
  <c r="C37" i="22"/>
  <c r="C36" i="22"/>
  <c r="C35" i="22"/>
  <c r="C34" i="22"/>
  <c r="C33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6" i="22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B6" i="20"/>
  <c r="B10" i="2"/>
  <c r="B3" i="20"/>
  <c r="B4" i="20"/>
  <c r="B5" i="20"/>
  <c r="B7" i="20"/>
  <c r="B8" i="20"/>
  <c r="B9" i="20"/>
  <c r="B10" i="20"/>
  <c r="B11" i="20"/>
  <c r="B12" i="20"/>
  <c r="B13" i="20"/>
  <c r="B14" i="20"/>
  <c r="B15" i="20"/>
  <c r="B16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3" i="20"/>
  <c r="B34" i="20"/>
  <c r="B35" i="20"/>
  <c r="B36" i="20"/>
  <c r="B37" i="20"/>
  <c r="B38" i="20"/>
  <c r="B39" i="20"/>
  <c r="B40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169" i="2"/>
  <c r="B149" i="2"/>
  <c r="B144" i="2"/>
  <c r="B143" i="2"/>
  <c r="B147" i="2"/>
  <c r="B146" i="2"/>
  <c r="B101" i="2"/>
  <c r="B87" i="2"/>
  <c r="B86" i="2"/>
  <c r="B96" i="2"/>
  <c r="B95" i="2"/>
  <c r="B14" i="2"/>
  <c r="B12" i="2"/>
  <c r="B11" i="2"/>
  <c r="B173" i="2" l="1"/>
  <c r="B171" i="2"/>
  <c r="B167" i="2"/>
  <c r="B165" i="2"/>
  <c r="B164" i="2"/>
  <c r="B163" i="2"/>
  <c r="B161" i="2"/>
  <c r="B160" i="2"/>
  <c r="B158" i="2"/>
  <c r="B157" i="2"/>
  <c r="B155" i="2"/>
  <c r="B154" i="2"/>
  <c r="B151" i="2"/>
  <c r="B138" i="2"/>
  <c r="B137" i="2"/>
  <c r="B135" i="2"/>
  <c r="B134" i="2"/>
  <c r="B131" i="2"/>
  <c r="B129" i="2"/>
  <c r="B127" i="2"/>
  <c r="B126" i="2"/>
  <c r="B124" i="2"/>
  <c r="B123" i="2"/>
  <c r="B121" i="2"/>
  <c r="B118" i="2"/>
  <c r="B117" i="2"/>
  <c r="B115" i="2"/>
  <c r="B114" i="2"/>
  <c r="B113" i="2"/>
  <c r="B111" i="2"/>
  <c r="B110" i="2"/>
  <c r="B108" i="2"/>
  <c r="B107" i="2"/>
  <c r="B105" i="2"/>
  <c r="B104" i="2"/>
  <c r="B99" i="2"/>
  <c r="B98" i="2"/>
  <c r="B93" i="2"/>
  <c r="B92" i="2"/>
  <c r="B91" i="2"/>
  <c r="B89" i="2"/>
  <c r="B84" i="2"/>
  <c r="B83" i="2"/>
  <c r="B81" i="2"/>
  <c r="B78" i="2"/>
  <c r="B77" i="2"/>
  <c r="B76" i="2"/>
  <c r="B74" i="2"/>
  <c r="B73" i="2"/>
  <c r="B71" i="2"/>
  <c r="B70" i="2"/>
  <c r="B69" i="2"/>
  <c r="B66" i="2"/>
  <c r="B64" i="2"/>
  <c r="B63" i="2"/>
  <c r="B61" i="2"/>
  <c r="B59" i="2"/>
  <c r="B57" i="2"/>
  <c r="B56" i="2"/>
  <c r="B54" i="2"/>
  <c r="B53" i="2"/>
  <c r="B51" i="2"/>
  <c r="B49" i="2"/>
  <c r="B48" i="2"/>
  <c r="B45" i="2"/>
  <c r="B43" i="2"/>
  <c r="B42" i="2"/>
  <c r="B41" i="2"/>
  <c r="B39" i="2"/>
  <c r="B38" i="2"/>
  <c r="B37" i="2"/>
  <c r="B35" i="2"/>
  <c r="B34" i="2"/>
  <c r="B32" i="2"/>
  <c r="B31" i="2"/>
  <c r="B30" i="2"/>
  <c r="B27" i="2"/>
  <c r="B26" i="2"/>
  <c r="B24" i="2"/>
  <c r="B23" i="2"/>
  <c r="B22" i="2"/>
  <c r="B20" i="2"/>
  <c r="B19" i="2"/>
  <c r="B18" i="2"/>
  <c r="B16" i="2"/>
  <c r="B15" i="2"/>
  <c r="B3" i="2"/>
  <c r="B38" i="22"/>
  <c r="D38" i="22" s="1"/>
  <c r="B3" i="22"/>
  <c r="D3" i="22" s="1"/>
  <c r="C3" i="20"/>
  <c r="B4" i="22"/>
  <c r="D4" i="22" s="1"/>
  <c r="B2" i="18"/>
  <c r="C4" i="20"/>
  <c r="B5" i="22"/>
  <c r="C5" i="20"/>
  <c r="B18" i="22"/>
  <c r="D18" i="22" s="1"/>
  <c r="B11" i="22"/>
  <c r="B6" i="22"/>
  <c r="C6" i="20"/>
  <c r="B15" i="22"/>
  <c r="D15" i="22" s="1"/>
  <c r="B12" i="22"/>
  <c r="D12" i="22" s="1"/>
  <c r="B7" i="22"/>
  <c r="C7" i="20"/>
  <c r="B8" i="22"/>
  <c r="C8" i="20"/>
  <c r="B9" i="22"/>
  <c r="C9" i="20"/>
  <c r="B10" i="22"/>
  <c r="B7" i="18"/>
  <c r="B4" i="18"/>
  <c r="C10" i="20"/>
  <c r="C11" i="20"/>
  <c r="C12" i="20"/>
  <c r="B13" i="22"/>
  <c r="D13" i="22" s="1"/>
  <c r="C13" i="20"/>
  <c r="B6" i="18"/>
  <c r="B14" i="22"/>
  <c r="D14" i="22" s="1"/>
  <c r="C14" i="20"/>
  <c r="C15" i="20"/>
  <c r="B31" i="22"/>
  <c r="D31" i="22" s="1"/>
  <c r="B25" i="22"/>
  <c r="D25" i="22" s="1"/>
  <c r="B16" i="22"/>
  <c r="D16" i="22" s="1"/>
  <c r="C16" i="20"/>
  <c r="B24" i="22"/>
  <c r="D24" i="22" s="1"/>
  <c r="C18" i="20"/>
  <c r="B7" i="2"/>
  <c r="B6" i="2"/>
  <c r="B5" i="2"/>
  <c r="B54" i="22"/>
  <c r="D54" i="22" s="1"/>
  <c r="B53" i="22"/>
  <c r="D53" i="22" s="1"/>
  <c r="B52" i="22"/>
  <c r="D52" i="22" s="1"/>
  <c r="B50" i="22"/>
  <c r="D50" i="22" s="1"/>
  <c r="B45" i="22"/>
  <c r="D45" i="22" s="1"/>
  <c r="B42" i="22"/>
  <c r="D42" i="22" s="1"/>
  <c r="B30" i="22"/>
  <c r="D30" i="22" s="1"/>
  <c r="B29" i="22"/>
  <c r="D29" i="22" s="1"/>
  <c r="B28" i="22"/>
  <c r="D28" i="22" s="1"/>
  <c r="B23" i="22"/>
  <c r="D23" i="22" s="1"/>
  <c r="B19" i="22"/>
  <c r="D19" i="22" s="1"/>
  <c r="C19" i="20"/>
  <c r="B44" i="22"/>
  <c r="D44" i="22" s="1"/>
  <c r="B20" i="22"/>
  <c r="D20" i="22" s="1"/>
  <c r="C20" i="20"/>
  <c r="B21" i="22"/>
  <c r="D21" i="22" s="1"/>
  <c r="C21" i="20"/>
  <c r="B22" i="22"/>
  <c r="D22" i="22" s="1"/>
  <c r="C22" i="20"/>
  <c r="B51" i="22"/>
  <c r="D51" i="22" s="1"/>
  <c r="B49" i="22"/>
  <c r="D49" i="22" s="1"/>
  <c r="C23" i="20"/>
  <c r="B27" i="22"/>
  <c r="D27" i="22" s="1"/>
  <c r="B26" i="22"/>
  <c r="C24" i="20"/>
  <c r="C25" i="20"/>
  <c r="B39" i="22"/>
  <c r="D39" i="22" s="1"/>
  <c r="C26" i="20"/>
  <c r="C27" i="20"/>
  <c r="C28" i="20"/>
  <c r="C29" i="20"/>
  <c r="C30" i="20"/>
  <c r="C31" i="20"/>
  <c r="B40" i="22"/>
  <c r="D40" i="22" s="1"/>
  <c r="B34" i="22"/>
  <c r="D34" i="22" s="1"/>
  <c r="B33" i="22"/>
  <c r="D33" i="22" s="1"/>
  <c r="C33" i="20"/>
  <c r="B36" i="22"/>
  <c r="D36" i="22" s="1"/>
  <c r="C34" i="20"/>
  <c r="B37" i="22"/>
  <c r="D37" i="22" s="1"/>
  <c r="B35" i="22"/>
  <c r="D35" i="22" s="1"/>
  <c r="C35" i="20"/>
  <c r="C36" i="20"/>
  <c r="C37" i="20"/>
  <c r="C38" i="20"/>
  <c r="C39" i="20"/>
  <c r="C40" i="20"/>
  <c r="C42" i="20"/>
  <c r="B43" i="22"/>
  <c r="C43" i="20"/>
  <c r="C44" i="20"/>
  <c r="C45" i="20"/>
  <c r="B46" i="22"/>
  <c r="C46" i="20"/>
  <c r="B47" i="22"/>
  <c r="C47" i="20"/>
  <c r="B48" i="22"/>
  <c r="D48" i="22" s="1"/>
  <c r="C48" i="20"/>
  <c r="C49" i="20"/>
  <c r="C50" i="20"/>
  <c r="C51" i="20"/>
  <c r="C52" i="20"/>
  <c r="C53" i="20"/>
  <c r="C54" i="20"/>
  <c r="D46" i="22"/>
  <c r="D47" i="22"/>
  <c r="D43" i="22"/>
  <c r="D26" i="22"/>
  <c r="B5" i="18" l="1"/>
  <c r="D5" i="22"/>
  <c r="D6" i="22"/>
  <c r="D7" i="22"/>
  <c r="D8" i="22"/>
  <c r="D9" i="22"/>
  <c r="D10" i="22"/>
  <c r="D11" i="22"/>
</calcChain>
</file>

<file path=xl/sharedStrings.xml><?xml version="1.0" encoding="utf-8"?>
<sst xmlns="http://schemas.openxmlformats.org/spreadsheetml/2006/main" count="381" uniqueCount="147">
  <si>
    <t>Técnicos</t>
  </si>
  <si>
    <t>Mentais</t>
  </si>
  <si>
    <t>Físicos</t>
  </si>
  <si>
    <t>Cabeceamento</t>
  </si>
  <si>
    <t>Cruzamentos</t>
  </si>
  <si>
    <t>Desarme</t>
  </si>
  <si>
    <t>Finalização</t>
  </si>
  <si>
    <t>Finta</t>
  </si>
  <si>
    <t>Lançamentos longos</t>
  </si>
  <si>
    <t>Livres</t>
  </si>
  <si>
    <t>Marcação</t>
  </si>
  <si>
    <t>Marcação de Penáltis</t>
  </si>
  <si>
    <t>Passe</t>
  </si>
  <si>
    <t>Primeiro Toque</t>
  </si>
  <si>
    <t>Remates de Longe</t>
  </si>
  <si>
    <t>Técnica</t>
  </si>
  <si>
    <t>Agressividade</t>
  </si>
  <si>
    <t>Antecipação</t>
  </si>
  <si>
    <t>Bravura</t>
  </si>
  <si>
    <t>Compostura</t>
  </si>
  <si>
    <t>Concentração</t>
  </si>
  <si>
    <t>Decisões</t>
  </si>
  <si>
    <t>Determinação</t>
  </si>
  <si>
    <t>Imporevisibilidade</t>
  </si>
  <si>
    <t>Índice de Trabalho</t>
  </si>
  <si>
    <t>Liderança</t>
  </si>
  <si>
    <t>Posicionamento</t>
  </si>
  <si>
    <t>Sem Bola</t>
  </si>
  <si>
    <t>Trabalho de Equipe</t>
  </si>
  <si>
    <t>Visão de Jogo</t>
  </si>
  <si>
    <t>Aceleração</t>
  </si>
  <si>
    <t>Equilíbrio</t>
  </si>
  <si>
    <t>Força</t>
  </si>
  <si>
    <t>Impulsão</t>
  </si>
  <si>
    <t>Resistência</t>
  </si>
  <si>
    <t>Velocidade</t>
  </si>
  <si>
    <t>Aptidão Física</t>
  </si>
  <si>
    <t>Agilidade</t>
  </si>
  <si>
    <t>(Tendência) Para Saídas da Baliza</t>
  </si>
  <si>
    <t>(Tendência) Para Socar</t>
  </si>
  <si>
    <t>Alcance Aéreo</t>
  </si>
  <si>
    <t>Comando de Área</t>
  </si>
  <si>
    <t>Comunicação</t>
  </si>
  <si>
    <t>Excentricidade</t>
  </si>
  <si>
    <t>Jogo de Mãos</t>
  </si>
  <si>
    <t>Lançamento</t>
  </si>
  <si>
    <t>Pontapé</t>
  </si>
  <si>
    <t>Reflexos</t>
  </si>
  <si>
    <t>Um Para Um</t>
  </si>
  <si>
    <t>Guarda-Redes</t>
  </si>
  <si>
    <t>Guarda-Redes Líbero</t>
  </si>
  <si>
    <t>Atacar</t>
  </si>
  <si>
    <t>Defender</t>
  </si>
  <si>
    <t>Apoiar</t>
  </si>
  <si>
    <t>Defesa Central Eficiente</t>
  </si>
  <si>
    <t>Cobrir</t>
  </si>
  <si>
    <t>Defesa Central</t>
  </si>
  <si>
    <t>Defesa com Bola</t>
  </si>
  <si>
    <t>Central Descaído</t>
  </si>
  <si>
    <t>Líbero Avançado</t>
  </si>
  <si>
    <t>Lateral Descomplicado</t>
  </si>
  <si>
    <t>Ala</t>
  </si>
  <si>
    <t>Defesa Lateral</t>
  </si>
  <si>
    <t>Ala Completo</t>
  </si>
  <si>
    <t>Defesa Ala Invertido</t>
  </si>
  <si>
    <t>Contrutor de Jogo Recuado</t>
  </si>
  <si>
    <t>Médio Recuperador de Bolas</t>
  </si>
  <si>
    <t>Médio Defensivo</t>
  </si>
  <si>
    <t>Pivô Defensivo</t>
  </si>
  <si>
    <t>Trinco</t>
  </si>
  <si>
    <t>Segundo Volante</t>
  </si>
  <si>
    <t>Organizador Móvel</t>
  </si>
  <si>
    <t>Médio Criativo</t>
  </si>
  <si>
    <t>Médio Área-a-Área</t>
  </si>
  <si>
    <t>Médio Centro</t>
  </si>
  <si>
    <t>Carrilero</t>
  </si>
  <si>
    <t>Mezzala</t>
  </si>
  <si>
    <t>Construtor de Jogo Recuado</t>
  </si>
  <si>
    <t>Construtor de Jogo Avançado</t>
  </si>
  <si>
    <t>Extremo</t>
  </si>
  <si>
    <t>Extremo Defensivo</t>
  </si>
  <si>
    <t>Extremo Invertido</t>
  </si>
  <si>
    <t>Organizador Aberto</t>
  </si>
  <si>
    <t>Médio Ala</t>
  </si>
  <si>
    <t>Avançado Sombra</t>
  </si>
  <si>
    <t>Médio Ofensivo</t>
  </si>
  <si>
    <t>Pivô Ofensivo</t>
  </si>
  <si>
    <t>Número 10</t>
  </si>
  <si>
    <t>Avançado Interior</t>
  </si>
  <si>
    <t>Avançado de Referência Aberto</t>
  </si>
  <si>
    <t>Ponta de Lança Aberto</t>
  </si>
  <si>
    <t>Ponta-de-Lança</t>
  </si>
  <si>
    <t>Falso Nove</t>
  </si>
  <si>
    <t>Avançado Recuado</t>
  </si>
  <si>
    <t>Avançado Trabalhador</t>
  </si>
  <si>
    <t>Ponta-de-Lança Fixo</t>
  </si>
  <si>
    <t>Avançado de Referência</t>
  </si>
  <si>
    <t>Avançado Completo</t>
  </si>
  <si>
    <t>Cantos</t>
  </si>
  <si>
    <t>CANTOS</t>
  </si>
  <si>
    <t>LIVRES</t>
  </si>
  <si>
    <t>Directo</t>
  </si>
  <si>
    <t>Directo (Pequena hipótese de remate)</t>
  </si>
  <si>
    <t>Indirecto (Largo)</t>
  </si>
  <si>
    <t>Indirecto (Longo)</t>
  </si>
  <si>
    <t>Bloquear</t>
  </si>
  <si>
    <t>Imprevisibilidade</t>
  </si>
  <si>
    <t>Defesa</t>
  </si>
  <si>
    <t>Físico</t>
  </si>
  <si>
    <t>Mental</t>
  </si>
  <si>
    <t>Desarme (50%) + Marcação (25%) + Posicionamento (25%)</t>
  </si>
  <si>
    <t>Força (25%) + Resistência (25%) + Equilíbrio (25%) + Agilidade (25%)</t>
  </si>
  <si>
    <t>Aceleração (50%) + Velocidade (50%)</t>
  </si>
  <si>
    <t>Visão de Jogo (33%) + Imprevisibilidade (33%) + Passe (34%)</t>
  </si>
  <si>
    <t>Técnica (34%) + Primeiro Toque (33%) + Finta (33%)</t>
  </si>
  <si>
    <t>Determinação (16,6%) + Decisões (16,6%) + Antecipação (16,6%) + Trabalho de Equipe (16,6%) + Bravura (16,6%) + Concentração 16,6%)</t>
  </si>
  <si>
    <t>Jogo Aéreo</t>
  </si>
  <si>
    <t>JOGADORES DE LINHA</t>
  </si>
  <si>
    <t>GOLEIROS</t>
  </si>
  <si>
    <t>Defesa de Remates</t>
  </si>
  <si>
    <t>Distribuição</t>
  </si>
  <si>
    <t>Reflexos (50%) + Um para Um (50%)</t>
  </si>
  <si>
    <t>Equilíbrio (25%) + Agilidade (25%) + Força (25%) + Resistência (25%)</t>
  </si>
  <si>
    <t>Antecipação (16,67%) + Bravura (16,67%) + Concentração (16,67%) + Decisões (16,67%) + Determinação (16,67%) + Trabalho de Equipe (16,67%)</t>
  </si>
  <si>
    <t>Comunicação (50%) + Comando de Área (50%)</t>
  </si>
  <si>
    <t>Excentricidade (100%)</t>
  </si>
  <si>
    <t>Jogo de Mãos (50%) + (Alcance Aéreo (50%)</t>
  </si>
  <si>
    <t>Lançamento (50%) + Pontapé (50%)</t>
  </si>
  <si>
    <t>Finalização (34%) + Sem Bola (33%) + Compostura (33%)</t>
  </si>
  <si>
    <t>Cabeceamento (50%) + Implulsão (50%)</t>
  </si>
  <si>
    <t>DEFINIÇÃO DOS ATRIBUTOS</t>
  </si>
  <si>
    <t>Cole nessa coluna os atributos</t>
  </si>
  <si>
    <t>ATRIBUTOS COMBINADOS (consolidados)</t>
  </si>
  <si>
    <t>Originais</t>
  </si>
  <si>
    <t>Atual</t>
  </si>
  <si>
    <t>Resultado</t>
  </si>
  <si>
    <t>Outro (Cole aqui)</t>
  </si>
  <si>
    <t>GUARDA-REDES</t>
  </si>
  <si>
    <t>DEFESA CENTRAL (C)</t>
  </si>
  <si>
    <t>DEFESA LATERAL (DE)</t>
  </si>
  <si>
    <t>DEFESA ALA (DE)</t>
  </si>
  <si>
    <t>MÉDIO DEFENSIVO (C)</t>
  </si>
  <si>
    <t>MÉDIO CENTRO (C)</t>
  </si>
  <si>
    <t>MÉDIO ALA (DE)</t>
  </si>
  <si>
    <t>MÉDIO OFENSIVO (C)</t>
  </si>
  <si>
    <t>PONTA DE LANÇA (C)</t>
  </si>
  <si>
    <t>MÉDIO OFENSIVO EXTREMO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</si>
</sst>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2" fontId="0" fillId="3" borderId="0" xfId="0" applyNumberForma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1" fontId="1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6" borderId="0" xfId="0" applyFont="1" applyFill="1" applyAlignment="1" applyProtection="1">
      <alignment horizontal="center"/>
      <protection locked="0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10" fillId="5" borderId="0" xfId="0" applyFont="1" applyFill="1"/>
    <xf numFmtId="2" fontId="10" fillId="5" borderId="0" xfId="0" applyNumberFormat="1" applyFont="1" applyFill="1" applyAlignment="1">
      <alignment horizontal="center"/>
    </xf>
    <xf numFmtId="0" fontId="4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</cellXfs>
  <cellStyles count="2">
    <cellStyle name="Hiperlink" xfId="1" builtinId="8"/>
    <cellStyle name="Normal" xfId="0" builtinId="0"/>
  </cellStyles>
  <dxfs count="29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E28E-5DAC-453F-819D-FBE0C385F6E4}">
  <dimension ref="A1:C50"/>
  <sheetViews>
    <sheetView tabSelected="1" workbookViewId="0"/>
  </sheetViews>
  <sheetFormatPr defaultRowHeight="15" x14ac:dyDescent="0.25"/>
  <cols>
    <col min="1" max="16384" width="9.140625" style="34"/>
  </cols>
  <sheetData>
    <row r="1" spans="1:3" x14ac:dyDescent="0.25">
      <c r="A1" s="33"/>
      <c r="B1" s="33"/>
      <c r="C1" s="33"/>
    </row>
    <row r="2" spans="1:3" x14ac:dyDescent="0.25">
      <c r="A2" s="35"/>
      <c r="B2" s="35"/>
      <c r="C2" s="35"/>
    </row>
    <row r="3" spans="1:3" x14ac:dyDescent="0.25">
      <c r="A3" s="35"/>
      <c r="B3" s="35"/>
      <c r="C3" s="35"/>
    </row>
    <row r="4" spans="1:3" x14ac:dyDescent="0.25">
      <c r="A4" s="35"/>
      <c r="B4" s="35"/>
      <c r="C4" s="35"/>
    </row>
    <row r="5" spans="1:3" x14ac:dyDescent="0.25">
      <c r="A5" s="35"/>
      <c r="B5" s="35"/>
      <c r="C5" s="35"/>
    </row>
    <row r="6" spans="1:3" x14ac:dyDescent="0.25">
      <c r="A6" s="35"/>
      <c r="B6" s="35"/>
      <c r="C6" s="35"/>
    </row>
    <row r="7" spans="1:3" x14ac:dyDescent="0.25">
      <c r="A7" s="35"/>
      <c r="B7" s="35"/>
      <c r="C7" s="35"/>
    </row>
    <row r="8" spans="1:3" x14ac:dyDescent="0.25">
      <c r="A8" s="35"/>
      <c r="B8" s="35"/>
      <c r="C8" s="35"/>
    </row>
    <row r="9" spans="1:3" x14ac:dyDescent="0.25">
      <c r="A9" s="35"/>
      <c r="B9" s="35"/>
      <c r="C9" s="35"/>
    </row>
    <row r="10" spans="1:3" x14ac:dyDescent="0.25">
      <c r="A10" s="35"/>
      <c r="B10" s="35"/>
      <c r="C10" s="35"/>
    </row>
    <row r="11" spans="1:3" x14ac:dyDescent="0.25">
      <c r="A11" s="35"/>
      <c r="B11" s="35"/>
      <c r="C11" s="35"/>
    </row>
    <row r="12" spans="1:3" x14ac:dyDescent="0.25">
      <c r="A12" s="35"/>
      <c r="B12" s="35"/>
      <c r="C12" s="35"/>
    </row>
    <row r="13" spans="1:3" x14ac:dyDescent="0.25">
      <c r="A13" s="35"/>
      <c r="B13" s="35"/>
      <c r="C13" s="35"/>
    </row>
    <row r="14" spans="1:3" x14ac:dyDescent="0.25">
      <c r="A14" s="35"/>
      <c r="B14" s="35"/>
      <c r="C14" s="35"/>
    </row>
    <row r="15" spans="1:3" x14ac:dyDescent="0.25">
      <c r="A15" s="35"/>
      <c r="B15" s="35"/>
      <c r="C15" s="35"/>
    </row>
    <row r="16" spans="1:3" x14ac:dyDescent="0.25">
      <c r="A16" s="36"/>
    </row>
    <row r="17" spans="1:3" x14ac:dyDescent="0.25">
      <c r="A17" s="36"/>
    </row>
    <row r="18" spans="1:3" x14ac:dyDescent="0.25">
      <c r="A18" s="33"/>
      <c r="B18" s="33"/>
      <c r="C18" s="33"/>
    </row>
    <row r="19" spans="1:3" x14ac:dyDescent="0.25">
      <c r="A19" s="35"/>
      <c r="B19" s="35"/>
      <c r="C19" s="35"/>
    </row>
    <row r="20" spans="1:3" x14ac:dyDescent="0.25">
      <c r="A20" s="35"/>
      <c r="B20" s="35"/>
      <c r="C20" s="35"/>
    </row>
    <row r="21" spans="1:3" x14ac:dyDescent="0.25">
      <c r="A21" s="35"/>
      <c r="B21" s="35"/>
      <c r="C21" s="35"/>
    </row>
    <row r="22" spans="1:3" x14ac:dyDescent="0.25">
      <c r="A22" s="35"/>
      <c r="B22" s="35"/>
      <c r="C22" s="35"/>
    </row>
    <row r="23" spans="1:3" x14ac:dyDescent="0.25">
      <c r="A23" s="35"/>
      <c r="B23" s="35"/>
      <c r="C23" s="35"/>
    </row>
    <row r="24" spans="1:3" x14ac:dyDescent="0.25">
      <c r="A24" s="35"/>
      <c r="B24" s="35"/>
      <c r="C24" s="35"/>
    </row>
    <row r="25" spans="1:3" x14ac:dyDescent="0.25">
      <c r="A25" s="35"/>
      <c r="B25" s="35"/>
      <c r="C25" s="35"/>
    </row>
    <row r="26" spans="1:3" x14ac:dyDescent="0.25">
      <c r="A26" s="35"/>
      <c r="B26" s="35"/>
      <c r="C26" s="35"/>
    </row>
    <row r="27" spans="1:3" x14ac:dyDescent="0.25">
      <c r="A27" s="35"/>
      <c r="B27" s="35"/>
      <c r="C27" s="35"/>
    </row>
    <row r="28" spans="1:3" x14ac:dyDescent="0.25">
      <c r="A28" s="35"/>
      <c r="B28" s="35"/>
      <c r="C28" s="35"/>
    </row>
    <row r="29" spans="1:3" x14ac:dyDescent="0.25">
      <c r="A29" s="35"/>
      <c r="B29" s="35"/>
      <c r="C29" s="35"/>
    </row>
    <row r="30" spans="1:3" x14ac:dyDescent="0.25">
      <c r="A30" s="35"/>
      <c r="B30" s="35"/>
      <c r="C30" s="35"/>
    </row>
    <row r="31" spans="1:3" x14ac:dyDescent="0.25">
      <c r="A31" s="35"/>
      <c r="B31" s="35"/>
      <c r="C31" s="35"/>
    </row>
    <row r="32" spans="1:3" x14ac:dyDescent="0.25">
      <c r="A32" s="35"/>
      <c r="B32" s="35"/>
      <c r="C32" s="35"/>
    </row>
    <row r="33" spans="1:3" x14ac:dyDescent="0.25">
      <c r="A33" s="36"/>
    </row>
    <row r="34" spans="1:3" x14ac:dyDescent="0.25">
      <c r="A34" s="36"/>
    </row>
    <row r="35" spans="1:3" x14ac:dyDescent="0.25">
      <c r="A35" s="33"/>
      <c r="B35" s="33"/>
      <c r="C35" s="33"/>
    </row>
    <row r="36" spans="1:3" x14ac:dyDescent="0.25">
      <c r="A36" s="35"/>
      <c r="B36" s="35"/>
      <c r="C36" s="35"/>
    </row>
    <row r="37" spans="1:3" x14ac:dyDescent="0.25">
      <c r="A37" s="35"/>
      <c r="B37" s="35"/>
      <c r="C37" s="35"/>
    </row>
    <row r="38" spans="1:3" x14ac:dyDescent="0.25">
      <c r="A38" s="35"/>
      <c r="B38" s="35"/>
      <c r="C38" s="35"/>
    </row>
    <row r="39" spans="1:3" x14ac:dyDescent="0.25">
      <c r="A39" s="35"/>
      <c r="B39" s="35"/>
      <c r="C39" s="35"/>
    </row>
    <row r="40" spans="1:3" x14ac:dyDescent="0.25">
      <c r="A40" s="35"/>
      <c r="B40" s="35"/>
      <c r="C40" s="35"/>
    </row>
    <row r="41" spans="1:3" x14ac:dyDescent="0.25">
      <c r="A41" s="35"/>
      <c r="B41" s="35"/>
      <c r="C41" s="35"/>
    </row>
    <row r="42" spans="1:3" x14ac:dyDescent="0.25">
      <c r="A42" s="35"/>
      <c r="B42" s="35"/>
      <c r="C42" s="35"/>
    </row>
    <row r="43" spans="1:3" x14ac:dyDescent="0.25">
      <c r="A43" s="35"/>
      <c r="B43" s="35"/>
      <c r="C43" s="35"/>
    </row>
    <row r="44" spans="1:3" x14ac:dyDescent="0.25">
      <c r="A44" s="36"/>
    </row>
    <row r="45" spans="1:3" x14ac:dyDescent="0.25">
      <c r="A45" s="36"/>
    </row>
    <row r="46" spans="1:3" x14ac:dyDescent="0.25">
      <c r="A46" s="33"/>
      <c r="B46" s="33"/>
    </row>
    <row r="47" spans="1:3" x14ac:dyDescent="0.25">
      <c r="A47" s="35"/>
      <c r="B47" s="35"/>
    </row>
    <row r="48" spans="1:3" x14ac:dyDescent="0.25">
      <c r="A48" s="35"/>
      <c r="B48" s="35"/>
    </row>
    <row r="50" spans="1:1" x14ac:dyDescent="0.25">
      <c r="A50" s="32"/>
    </row>
  </sheetData>
  <sheetProtection algorithmName="SHA-512" hashValue="61Qod8ZiWmULNJ+jF4ohIjX7LIlTnOwb5GWAtHS4+JRvj3Rp3NiLF6qVnm737jo75SDElT7f7rWTr7aXQK1x8A==" saltValue="6qDsNZiEdwRee/iK2xqqng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zoomScaleNormal="100" workbookViewId="0"/>
  </sheetViews>
  <sheetFormatPr defaultRowHeight="15" x14ac:dyDescent="0.25"/>
  <cols>
    <col min="1" max="1" width="30.5703125" bestFit="1" customWidth="1"/>
    <col min="2" max="2" width="9" style="6" bestFit="1" customWidth="1"/>
  </cols>
  <sheetData>
    <row r="1" spans="1:2" s="1" customFormat="1" x14ac:dyDescent="0.25">
      <c r="A1" s="1" t="s">
        <v>130</v>
      </c>
      <c r="B1" s="4"/>
    </row>
    <row r="2" spans="1:2" s="2" customFormat="1" x14ac:dyDescent="0.25">
      <c r="A2" s="2" t="s">
        <v>0</v>
      </c>
      <c r="B2" s="18" t="s">
        <v>131</v>
      </c>
    </row>
    <row r="3" spans="1:2" s="10" customFormat="1" x14ac:dyDescent="0.25">
      <c r="A3" s="10" t="s">
        <v>3</v>
      </c>
      <c r="B3" s="27"/>
    </row>
    <row r="4" spans="1:2" s="10" customFormat="1" x14ac:dyDescent="0.25">
      <c r="A4" s="10" t="s">
        <v>98</v>
      </c>
      <c r="B4" s="27"/>
    </row>
    <row r="5" spans="1:2" s="10" customFormat="1" x14ac:dyDescent="0.25">
      <c r="A5" s="10" t="s">
        <v>4</v>
      </c>
      <c r="B5" s="27"/>
    </row>
    <row r="6" spans="1:2" s="10" customFormat="1" x14ac:dyDescent="0.25">
      <c r="A6" s="10" t="s">
        <v>5</v>
      </c>
      <c r="B6" s="27"/>
    </row>
    <row r="7" spans="1:2" s="10" customFormat="1" x14ac:dyDescent="0.25">
      <c r="A7" s="10" t="s">
        <v>6</v>
      </c>
      <c r="B7" s="27"/>
    </row>
    <row r="8" spans="1:2" s="10" customFormat="1" x14ac:dyDescent="0.25">
      <c r="A8" s="10" t="s">
        <v>7</v>
      </c>
      <c r="B8" s="27"/>
    </row>
    <row r="9" spans="1:2" s="10" customFormat="1" x14ac:dyDescent="0.25">
      <c r="A9" s="10" t="s">
        <v>8</v>
      </c>
      <c r="B9" s="27"/>
    </row>
    <row r="10" spans="1:2" s="10" customFormat="1" x14ac:dyDescent="0.25">
      <c r="A10" s="10" t="s">
        <v>9</v>
      </c>
      <c r="B10" s="27"/>
    </row>
    <row r="11" spans="1:2" s="10" customFormat="1" x14ac:dyDescent="0.25">
      <c r="A11" s="10" t="s">
        <v>10</v>
      </c>
      <c r="B11" s="27"/>
    </row>
    <row r="12" spans="1:2" s="10" customFormat="1" x14ac:dyDescent="0.25">
      <c r="A12" s="10" t="s">
        <v>11</v>
      </c>
      <c r="B12" s="27"/>
    </row>
    <row r="13" spans="1:2" s="10" customFormat="1" x14ac:dyDescent="0.25">
      <c r="A13" s="10" t="s">
        <v>12</v>
      </c>
      <c r="B13" s="27"/>
    </row>
    <row r="14" spans="1:2" s="10" customFormat="1" x14ac:dyDescent="0.25">
      <c r="A14" s="10" t="s">
        <v>13</v>
      </c>
      <c r="B14" s="27"/>
    </row>
    <row r="15" spans="1:2" s="10" customFormat="1" x14ac:dyDescent="0.25">
      <c r="A15" s="10" t="s">
        <v>14</v>
      </c>
      <c r="B15" s="27"/>
    </row>
    <row r="16" spans="1:2" s="10" customFormat="1" x14ac:dyDescent="0.25">
      <c r="A16" s="10" t="s">
        <v>15</v>
      </c>
      <c r="B16" s="27"/>
    </row>
    <row r="17" spans="1:2" s="2" customFormat="1" x14ac:dyDescent="0.25">
      <c r="A17" s="2" t="s">
        <v>1</v>
      </c>
      <c r="B17" s="5"/>
    </row>
    <row r="18" spans="1:2" s="10" customFormat="1" x14ac:dyDescent="0.25">
      <c r="A18" s="10" t="s">
        <v>16</v>
      </c>
      <c r="B18" s="27"/>
    </row>
    <row r="19" spans="1:2" s="10" customFormat="1" x14ac:dyDescent="0.25">
      <c r="A19" s="10" t="s">
        <v>17</v>
      </c>
      <c r="B19" s="27"/>
    </row>
    <row r="20" spans="1:2" s="10" customFormat="1" x14ac:dyDescent="0.25">
      <c r="A20" s="10" t="s">
        <v>18</v>
      </c>
      <c r="B20" s="27"/>
    </row>
    <row r="21" spans="1:2" s="10" customFormat="1" x14ac:dyDescent="0.25">
      <c r="A21" s="10" t="s">
        <v>19</v>
      </c>
      <c r="B21" s="27"/>
    </row>
    <row r="22" spans="1:2" s="10" customFormat="1" x14ac:dyDescent="0.25">
      <c r="A22" s="10" t="s">
        <v>20</v>
      </c>
      <c r="B22" s="27"/>
    </row>
    <row r="23" spans="1:2" s="10" customFormat="1" x14ac:dyDescent="0.25">
      <c r="A23" s="10" t="s">
        <v>21</v>
      </c>
      <c r="B23" s="27"/>
    </row>
    <row r="24" spans="1:2" s="10" customFormat="1" x14ac:dyDescent="0.25">
      <c r="A24" s="10" t="s">
        <v>22</v>
      </c>
      <c r="B24" s="27"/>
    </row>
    <row r="25" spans="1:2" s="10" customFormat="1" x14ac:dyDescent="0.25">
      <c r="A25" s="10" t="s">
        <v>106</v>
      </c>
      <c r="B25" s="27"/>
    </row>
    <row r="26" spans="1:2" s="10" customFormat="1" x14ac:dyDescent="0.25">
      <c r="A26" s="10" t="s">
        <v>24</v>
      </c>
      <c r="B26" s="27"/>
    </row>
    <row r="27" spans="1:2" s="10" customFormat="1" x14ac:dyDescent="0.25">
      <c r="A27" s="10" t="s">
        <v>25</v>
      </c>
      <c r="B27" s="27"/>
    </row>
    <row r="28" spans="1:2" s="10" customFormat="1" x14ac:dyDescent="0.25">
      <c r="A28" s="10" t="s">
        <v>26</v>
      </c>
      <c r="B28" s="27"/>
    </row>
    <row r="29" spans="1:2" s="10" customFormat="1" x14ac:dyDescent="0.25">
      <c r="A29" s="10" t="s">
        <v>27</v>
      </c>
      <c r="B29" s="27"/>
    </row>
    <row r="30" spans="1:2" s="10" customFormat="1" x14ac:dyDescent="0.25">
      <c r="A30" s="10" t="s">
        <v>28</v>
      </c>
      <c r="B30" s="27"/>
    </row>
    <row r="31" spans="1:2" s="10" customFormat="1" x14ac:dyDescent="0.25">
      <c r="A31" s="10" t="s">
        <v>29</v>
      </c>
      <c r="B31" s="27"/>
    </row>
    <row r="32" spans="1:2" s="2" customFormat="1" x14ac:dyDescent="0.25">
      <c r="A32" s="2" t="s">
        <v>2</v>
      </c>
      <c r="B32" s="5"/>
    </row>
    <row r="33" spans="1:2" s="10" customFormat="1" x14ac:dyDescent="0.25">
      <c r="A33" s="10" t="s">
        <v>30</v>
      </c>
      <c r="B33" s="27"/>
    </row>
    <row r="34" spans="1:2" s="10" customFormat="1" x14ac:dyDescent="0.25">
      <c r="A34" s="10" t="s">
        <v>37</v>
      </c>
      <c r="B34" s="27"/>
    </row>
    <row r="35" spans="1:2" s="10" customFormat="1" x14ac:dyDescent="0.25">
      <c r="A35" s="10" t="s">
        <v>36</v>
      </c>
      <c r="B35" s="27"/>
    </row>
    <row r="36" spans="1:2" s="10" customFormat="1" x14ac:dyDescent="0.25">
      <c r="A36" s="10" t="s">
        <v>31</v>
      </c>
      <c r="B36" s="27"/>
    </row>
    <row r="37" spans="1:2" s="10" customFormat="1" x14ac:dyDescent="0.25">
      <c r="A37" s="10" t="s">
        <v>32</v>
      </c>
      <c r="B37" s="27"/>
    </row>
    <row r="38" spans="1:2" s="10" customFormat="1" x14ac:dyDescent="0.25">
      <c r="A38" s="10" t="s">
        <v>33</v>
      </c>
      <c r="B38" s="27"/>
    </row>
    <row r="39" spans="1:2" s="10" customFormat="1" x14ac:dyDescent="0.25">
      <c r="A39" s="10" t="s">
        <v>34</v>
      </c>
      <c r="B39" s="27"/>
    </row>
    <row r="40" spans="1:2" s="10" customFormat="1" x14ac:dyDescent="0.25">
      <c r="A40" s="10" t="s">
        <v>35</v>
      </c>
      <c r="B40" s="27"/>
    </row>
    <row r="41" spans="1:2" s="2" customFormat="1" x14ac:dyDescent="0.25">
      <c r="A41" s="2" t="s">
        <v>49</v>
      </c>
      <c r="B41" s="5"/>
    </row>
    <row r="42" spans="1:2" s="10" customFormat="1" x14ac:dyDescent="0.25">
      <c r="A42" s="10" t="s">
        <v>38</v>
      </c>
      <c r="B42" s="27">
        <v>0</v>
      </c>
    </row>
    <row r="43" spans="1:2" s="10" customFormat="1" x14ac:dyDescent="0.25">
      <c r="A43" s="10" t="s">
        <v>39</v>
      </c>
      <c r="B43" s="27">
        <v>0</v>
      </c>
    </row>
    <row r="44" spans="1:2" s="10" customFormat="1" x14ac:dyDescent="0.25">
      <c r="A44" s="10" t="s">
        <v>40</v>
      </c>
      <c r="B44" s="27">
        <v>0</v>
      </c>
    </row>
    <row r="45" spans="1:2" s="10" customFormat="1" x14ac:dyDescent="0.25">
      <c r="A45" s="10" t="s">
        <v>41</v>
      </c>
      <c r="B45" s="27">
        <v>0</v>
      </c>
    </row>
    <row r="46" spans="1:2" s="10" customFormat="1" x14ac:dyDescent="0.25">
      <c r="A46" s="10" t="s">
        <v>42</v>
      </c>
      <c r="B46" s="27">
        <v>0</v>
      </c>
    </row>
    <row r="47" spans="1:2" s="10" customFormat="1" x14ac:dyDescent="0.25">
      <c r="A47" s="10" t="s">
        <v>43</v>
      </c>
      <c r="B47" s="27">
        <v>0</v>
      </c>
    </row>
    <row r="48" spans="1:2" s="10" customFormat="1" x14ac:dyDescent="0.25">
      <c r="A48" s="10" t="s">
        <v>44</v>
      </c>
      <c r="B48" s="27">
        <v>0</v>
      </c>
    </row>
    <row r="49" spans="1:2" s="10" customFormat="1" x14ac:dyDescent="0.25">
      <c r="A49" s="10" t="s">
        <v>45</v>
      </c>
      <c r="B49" s="27">
        <v>0</v>
      </c>
    </row>
    <row r="50" spans="1:2" s="10" customFormat="1" x14ac:dyDescent="0.25">
      <c r="A50" s="10" t="s">
        <v>12</v>
      </c>
      <c r="B50" s="27">
        <v>0</v>
      </c>
    </row>
    <row r="51" spans="1:2" s="10" customFormat="1" x14ac:dyDescent="0.25">
      <c r="A51" s="10" t="s">
        <v>46</v>
      </c>
      <c r="B51" s="27">
        <v>0</v>
      </c>
    </row>
    <row r="52" spans="1:2" s="10" customFormat="1" x14ac:dyDescent="0.25">
      <c r="A52" s="10" t="s">
        <v>13</v>
      </c>
      <c r="B52" s="27">
        <v>0</v>
      </c>
    </row>
    <row r="53" spans="1:2" s="10" customFormat="1" x14ac:dyDescent="0.25">
      <c r="A53" s="10" t="s">
        <v>47</v>
      </c>
      <c r="B53" s="27">
        <v>0</v>
      </c>
    </row>
    <row r="54" spans="1:2" s="10" customFormat="1" x14ac:dyDescent="0.25">
      <c r="A54" s="10" t="s">
        <v>48</v>
      </c>
      <c r="B54" s="27">
        <v>0</v>
      </c>
    </row>
  </sheetData>
  <sheetProtection algorithmName="SHA-512" hashValue="md4LbdH72uNSI+5Tq9YmtQZqtMreQlY9fUQZqR4kJK9N9sLR7fj+JW74Frl2rFs+jmrvnGmHBD7P5sPMPnU4RA==" saltValue="my26WAiHGgUOe8HaaZTvaA==" spinCount="100000" sheet="1" objects="1" scenarios="1"/>
  <conditionalFormatting sqref="B1:B1048576">
    <cfRule type="cellIs" dxfId="28" priority="1" operator="between">
      <formula>16</formula>
      <formula>21</formula>
    </cfRule>
    <cfRule type="cellIs" dxfId="27" priority="2" operator="between">
      <formula>10</formula>
      <formula>15.999999999</formula>
    </cfRule>
    <cfRule type="cellIs" dxfId="26" priority="3" operator="between">
      <formula>1</formula>
      <formula>9.9999999999</formula>
    </cfRule>
  </conditionalFormatting>
  <dataValidations count="1">
    <dataValidation type="whole" allowBlank="1" showInputMessage="1" showErrorMessage="1" errorTitle="Valor incorreto" error="Atributo deve ser entre 1 e 20" sqref="B3:B41" xr:uid="{C1C0659C-3495-4E73-8E59-A2A512BA8EFD}">
      <formula1>1</formula1>
      <formula2>20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9361-828F-4211-AA23-7F26F726B13B}">
  <dimension ref="A1:C54"/>
  <sheetViews>
    <sheetView workbookViewId="0"/>
  </sheetViews>
  <sheetFormatPr defaultRowHeight="15" x14ac:dyDescent="0.25"/>
  <cols>
    <col min="1" max="1" width="30.5703125" bestFit="1" customWidth="1"/>
    <col min="2" max="2" width="9.140625" style="17"/>
    <col min="3" max="3" width="9.140625" style="26"/>
  </cols>
  <sheetData>
    <row r="1" spans="1:3" s="1" customFormat="1" x14ac:dyDescent="0.25">
      <c r="A1" s="1" t="s">
        <v>132</v>
      </c>
      <c r="B1" s="22"/>
      <c r="C1" s="23"/>
    </row>
    <row r="2" spans="1:3" s="2" customFormat="1" x14ac:dyDescent="0.25">
      <c r="A2" s="2" t="s">
        <v>0</v>
      </c>
      <c r="B2" s="16"/>
      <c r="C2" s="24" t="s">
        <v>133</v>
      </c>
    </row>
    <row r="3" spans="1:3" s="10" customFormat="1" x14ac:dyDescent="0.25">
      <c r="A3" s="10" t="s">
        <v>3</v>
      </c>
      <c r="B3" s="19">
        <f>(Cabeceamento*0.75)+(Antecipacao*0.03125)+(Bravura*0.03125)+(Decisoes*0.03125)+(Posicionamento*0.03125)+(Impulsao*0.03125)+(Forca*0.03125)+(Sem_Bola*0.03125)+(Agilidade*0.03125)</f>
        <v>0</v>
      </c>
      <c r="C3" s="25">
        <f>Cabeceamento</f>
        <v>0</v>
      </c>
    </row>
    <row r="4" spans="1:3" s="10" customFormat="1" x14ac:dyDescent="0.25">
      <c r="A4" s="10" t="s">
        <v>98</v>
      </c>
      <c r="B4" s="19">
        <f>(Cantos*0.75)+(Cruzamentos*0.05)+(Tecnica*0.05)+(Compostura*0.05)+(Visao_de_Jogo*0.05)+(Decisoes*0.05)</f>
        <v>0</v>
      </c>
      <c r="C4" s="25">
        <f>Cantos</f>
        <v>0</v>
      </c>
    </row>
    <row r="5" spans="1:3" s="10" customFormat="1" x14ac:dyDescent="0.25">
      <c r="A5" s="10" t="s">
        <v>4</v>
      </c>
      <c r="B5" s="19">
        <f>(Cruzamentos*0.75)+(Antecipacao*0.05)+(Tecnica*0.05)+(Compostura*0.05)+(Visao_de_Jogo*0.05)+(Decisoes*0.05)</f>
        <v>0</v>
      </c>
      <c r="C5" s="25">
        <f>Cruzamentos</f>
        <v>0</v>
      </c>
    </row>
    <row r="6" spans="1:3" s="10" customFormat="1" x14ac:dyDescent="0.25">
      <c r="A6" s="10" t="s">
        <v>5</v>
      </c>
      <c r="B6" s="19">
        <f>(Desarme*0.75)+(Marcacao*0.0625)+(Agressividade*0.0625)+(Antecipacao*0.0625)+(Bravura*0.0625)</f>
        <v>0</v>
      </c>
      <c r="C6" s="25">
        <f>Desarme</f>
        <v>0</v>
      </c>
    </row>
    <row r="7" spans="1:3" s="10" customFormat="1" x14ac:dyDescent="0.25">
      <c r="A7" s="10" t="s">
        <v>6</v>
      </c>
      <c r="B7" s="19">
        <f>(Finalizacao*0.75)+(Tecnica*0.0625)+(Antecipacao*0.0625)+(Compostura*0.0625)+(Decisoes*0.0625)</f>
        <v>0</v>
      </c>
      <c r="C7" s="25">
        <f>Finalizacao</f>
        <v>0</v>
      </c>
    </row>
    <row r="8" spans="1:3" s="10" customFormat="1" x14ac:dyDescent="0.25">
      <c r="A8" s="10" t="s">
        <v>7</v>
      </c>
      <c r="B8" s="19">
        <f>(Finta*0.75)+(Tecnica*0.025)+(Antecipacao*0.025)+(Compostura*0.025)+(Visao_de_Jogo*0.025)+(Decisoes*0.025)+(Imprevisibilidade*0.025)+(Aceleracao*0.025)+(Agilidade*0.025)+(Equilibrio*0.025)+(Velocidade*0.025)</f>
        <v>0</v>
      </c>
      <c r="C8" s="25">
        <f>Finta</f>
        <v>0</v>
      </c>
    </row>
    <row r="9" spans="1:3" s="10" customFormat="1" x14ac:dyDescent="0.25">
      <c r="A9" s="10" t="s">
        <v>8</v>
      </c>
      <c r="B9" s="19">
        <f>Lancamentos_Longos</f>
        <v>0</v>
      </c>
      <c r="C9" s="25">
        <f>Lancamentos_Longos</f>
        <v>0</v>
      </c>
    </row>
    <row r="10" spans="1:3" s="10" customFormat="1" x14ac:dyDescent="0.25">
      <c r="A10" s="10" t="s">
        <v>9</v>
      </c>
      <c r="B10" s="19">
        <f>Livres</f>
        <v>0</v>
      </c>
      <c r="C10" s="25">
        <f>Livres</f>
        <v>0</v>
      </c>
    </row>
    <row r="11" spans="1:3" s="10" customFormat="1" x14ac:dyDescent="0.25">
      <c r="A11" s="10" t="s">
        <v>10</v>
      </c>
      <c r="B11" s="19">
        <f>(Marcacao*0.75)+(Desarme*0.05)+(Antecipacao*0.05)+(Compostura*0.05)+(Concentracao*0.05)+(Posicionamento*0.05)</f>
        <v>0</v>
      </c>
      <c r="C11" s="25">
        <f>Marcacao</f>
        <v>0</v>
      </c>
    </row>
    <row r="12" spans="1:3" s="10" customFormat="1" x14ac:dyDescent="0.25">
      <c r="A12" s="10" t="s">
        <v>11</v>
      </c>
      <c r="B12" s="19">
        <f>(Penaltis*0.75)+(Finalizacao*0.0625)+(Compostura*0.0625)+(Concentracao*0.0625)+(Decisoes*0.0625)</f>
        <v>0</v>
      </c>
      <c r="C12" s="25">
        <f>Penaltis</f>
        <v>0</v>
      </c>
    </row>
    <row r="13" spans="1:3" s="10" customFormat="1" x14ac:dyDescent="0.25">
      <c r="A13" s="10" t="s">
        <v>12</v>
      </c>
      <c r="B13" s="19">
        <f>(Passe*0.75)+(Antecipacao*0.05)+(Tecnica*0.05)+(Visao_de_Jogo*0.05)+(Decisoes*0.05)+(Imprevisibilidade*0.05)</f>
        <v>0</v>
      </c>
      <c r="C13" s="25">
        <f>Passe</f>
        <v>0</v>
      </c>
    </row>
    <row r="14" spans="1:3" s="10" customFormat="1" x14ac:dyDescent="0.25">
      <c r="A14" s="10" t="s">
        <v>13</v>
      </c>
      <c r="B14" s="19">
        <f>(Primeiro_Toque*0.75)+(Tecnica*0.0625)+(Antecipacao*0.0625)+(Compostura*0.0625)+(Decisoes*0.0625)</f>
        <v>0</v>
      </c>
      <c r="C14" s="25">
        <f>Primeiro_Toque</f>
        <v>0</v>
      </c>
    </row>
    <row r="15" spans="1:3" s="10" customFormat="1" x14ac:dyDescent="0.25">
      <c r="A15" s="10" t="s">
        <v>14</v>
      </c>
      <c r="B15" s="19">
        <f>(Remates_de_Longe*0.75)+(Tecnica*0.0833)+(Decisoes*0.0833)+(Finalizacao*0.0834)</f>
        <v>0</v>
      </c>
      <c r="C15" s="25">
        <f>Remates_de_Longe</f>
        <v>0</v>
      </c>
    </row>
    <row r="16" spans="1:3" s="10" customFormat="1" x14ac:dyDescent="0.25">
      <c r="A16" s="10" t="s">
        <v>15</v>
      </c>
      <c r="B16" s="19">
        <f>Tecnica</f>
        <v>0</v>
      </c>
      <c r="C16" s="25">
        <f>Tecnica</f>
        <v>0</v>
      </c>
    </row>
    <row r="17" spans="1:3" s="2" customFormat="1" x14ac:dyDescent="0.25">
      <c r="A17" s="2" t="s">
        <v>1</v>
      </c>
      <c r="B17" s="16"/>
      <c r="C17" s="24"/>
    </row>
    <row r="18" spans="1:3" s="10" customFormat="1" x14ac:dyDescent="0.25">
      <c r="A18" s="10" t="s">
        <v>16</v>
      </c>
      <c r="B18" s="19">
        <f>(Agressividade*0.75)+(Desarme*0.125)+(Decisoes*0.125)</f>
        <v>0</v>
      </c>
      <c r="C18" s="25">
        <f>Agressividade</f>
        <v>0</v>
      </c>
    </row>
    <row r="19" spans="1:3" s="10" customFormat="1" x14ac:dyDescent="0.25">
      <c r="A19" s="10" t="s">
        <v>17</v>
      </c>
      <c r="B19" s="19">
        <f>(Antecipacao*0.75)+(Sem_Bola*0.0833)+(Posicionamento*0.0833)+(Agilidade*0.0834)</f>
        <v>0</v>
      </c>
      <c r="C19" s="25">
        <f>Antecipacao</f>
        <v>0</v>
      </c>
    </row>
    <row r="20" spans="1:3" s="10" customFormat="1" x14ac:dyDescent="0.25">
      <c r="A20" s="10" t="s">
        <v>18</v>
      </c>
      <c r="B20" s="19">
        <f>Bravura</f>
        <v>0</v>
      </c>
      <c r="C20" s="25">
        <f>Bravura</f>
        <v>0</v>
      </c>
    </row>
    <row r="21" spans="1:3" s="10" customFormat="1" x14ac:dyDescent="0.25">
      <c r="A21" s="10" t="s">
        <v>19</v>
      </c>
      <c r="B21" s="19">
        <f>Compostura</f>
        <v>0</v>
      </c>
      <c r="C21" s="25">
        <f>Compostura</f>
        <v>0</v>
      </c>
    </row>
    <row r="22" spans="1:3" s="10" customFormat="1" x14ac:dyDescent="0.25">
      <c r="A22" s="10" t="s">
        <v>20</v>
      </c>
      <c r="B22" s="19">
        <f>Concentracao</f>
        <v>0</v>
      </c>
      <c r="C22" s="25">
        <f>Concentracao</f>
        <v>0</v>
      </c>
    </row>
    <row r="23" spans="1:3" s="10" customFormat="1" x14ac:dyDescent="0.25">
      <c r="A23" s="10" t="s">
        <v>21</v>
      </c>
      <c r="B23" s="19">
        <f>(Decisoes*0.75)+(Antecipacao*0.0625)+(Compostura*0.0625)+(Imprevisibilidade*0.0625)+(Visao_de_Jogo*0.0625)</f>
        <v>0</v>
      </c>
      <c r="C23" s="25">
        <f>Decisoes</f>
        <v>0</v>
      </c>
    </row>
    <row r="24" spans="1:3" s="10" customFormat="1" x14ac:dyDescent="0.25">
      <c r="A24" s="10" t="s">
        <v>22</v>
      </c>
      <c r="B24" s="19">
        <f>(Determinacao*0.75)+(Agressividade*0.0833)+(Bravura*0.0833)+(Indice_de_Trabalho*0.0834)</f>
        <v>0</v>
      </c>
      <c r="C24" s="25">
        <f>Determinacao</f>
        <v>0</v>
      </c>
    </row>
    <row r="25" spans="1:3" s="10" customFormat="1" x14ac:dyDescent="0.25">
      <c r="A25" s="10" t="s">
        <v>106</v>
      </c>
      <c r="B25" s="19">
        <f>(Imprevisibilidade*0.75)+(Tecnica*0.05)+(Antecipacao*0.05)+(Compostura*0.05)+(Visao_de_Jogo*0.05)+(Decisoes*0.05)</f>
        <v>0</v>
      </c>
      <c r="C25" s="25">
        <f>Imprevisibilidade</f>
        <v>0</v>
      </c>
    </row>
    <row r="26" spans="1:3" s="10" customFormat="1" x14ac:dyDescent="0.25">
      <c r="A26" s="10" t="s">
        <v>24</v>
      </c>
      <c r="B26" s="19">
        <f>(Indice_de_Trabalho*0.75)+(Determinacao*0.25)</f>
        <v>0</v>
      </c>
      <c r="C26" s="25">
        <f>Indice_de_Trabalho</f>
        <v>0</v>
      </c>
    </row>
    <row r="27" spans="1:3" s="10" customFormat="1" x14ac:dyDescent="0.25">
      <c r="A27" s="10" t="s">
        <v>25</v>
      </c>
      <c r="B27" s="19">
        <f>(Lideranca*0.75)+(Trabalho_de_Equipe*0.125)+(Determinacao*0.125)</f>
        <v>0</v>
      </c>
      <c r="C27" s="25">
        <f>Lideranca</f>
        <v>0</v>
      </c>
    </row>
    <row r="28" spans="1:3" s="10" customFormat="1" x14ac:dyDescent="0.25">
      <c r="A28" s="10" t="s">
        <v>26</v>
      </c>
      <c r="B28" s="19">
        <f>(Posicionamento*0.75)+(Antecipacao*0.125)+(Decisoes*0.125)</f>
        <v>0</v>
      </c>
      <c r="C28" s="25">
        <f>Posicionamento</f>
        <v>0</v>
      </c>
    </row>
    <row r="29" spans="1:3" s="10" customFormat="1" x14ac:dyDescent="0.25">
      <c r="A29" s="10" t="s">
        <v>27</v>
      </c>
      <c r="B29" s="19">
        <f>(Sem_Bola*0.75)+(Antecipacao*0.125)+(Decisoes*0.125)</f>
        <v>0</v>
      </c>
      <c r="C29" s="25">
        <f>Sem_Bola</f>
        <v>0</v>
      </c>
    </row>
    <row r="30" spans="1:3" s="10" customFormat="1" x14ac:dyDescent="0.25">
      <c r="A30" s="10" t="s">
        <v>28</v>
      </c>
      <c r="B30" s="19">
        <f>(Trabalho_de_Equipe*0.75)+(Antecipacao*0.0625)+(Visao_de_Jogo*0.0625)+(Compostura*0.0625)+(Concentracao*0.0625)</f>
        <v>0</v>
      </c>
      <c r="C30" s="25">
        <f>Trabalho_de_Equipe</f>
        <v>0</v>
      </c>
    </row>
    <row r="31" spans="1:3" s="10" customFormat="1" x14ac:dyDescent="0.25">
      <c r="A31" s="10" t="s">
        <v>29</v>
      </c>
      <c r="B31" s="19">
        <f>(Visao_de_Jogo*0.75)+(Tecnica*0.05)+(Antecipacao*0.05)+(Compostura*0.05)+(Decisoes*0.05)+(Imprevisibilidade*0.05)</f>
        <v>0</v>
      </c>
      <c r="C31" s="25">
        <f>Visao_de_Jogo</f>
        <v>0</v>
      </c>
    </row>
    <row r="32" spans="1:3" s="2" customFormat="1" x14ac:dyDescent="0.25">
      <c r="A32" s="2" t="s">
        <v>2</v>
      </c>
      <c r="B32" s="16"/>
      <c r="C32" s="24"/>
    </row>
    <row r="33" spans="1:3" s="10" customFormat="1" x14ac:dyDescent="0.25">
      <c r="A33" s="10" t="s">
        <v>30</v>
      </c>
      <c r="B33" s="19">
        <f>(Aceleracao*0.75)+(Agilidade*0.0834)+(Equilibrio*0.0833)+(Velocidade*0.0833)</f>
        <v>0</v>
      </c>
      <c r="C33" s="25">
        <f>Aceleracao</f>
        <v>0</v>
      </c>
    </row>
    <row r="34" spans="1:3" s="10" customFormat="1" x14ac:dyDescent="0.25">
      <c r="A34" s="10" t="s">
        <v>37</v>
      </c>
      <c r="B34" s="19">
        <f>(Agilidade*0.75)+(Aceleracao*0.125)+(Equilibrio*0.125)</f>
        <v>0</v>
      </c>
      <c r="C34" s="25">
        <f>Agilidade</f>
        <v>0</v>
      </c>
    </row>
    <row r="35" spans="1:3" s="10" customFormat="1" x14ac:dyDescent="0.25">
      <c r="A35" s="10" t="s">
        <v>36</v>
      </c>
      <c r="B35" s="19">
        <f>(Aptidao_Fisica*0.75)+(Resistencia*0.25)</f>
        <v>0</v>
      </c>
      <c r="C35" s="25">
        <f>Aptidao_Fisica</f>
        <v>0</v>
      </c>
    </row>
    <row r="36" spans="1:3" s="10" customFormat="1" x14ac:dyDescent="0.25">
      <c r="A36" s="10" t="s">
        <v>31</v>
      </c>
      <c r="B36" s="19">
        <f>(Equilibrio*0.75)+(Agilidade*0.125)+(Forca*0.125)</f>
        <v>0</v>
      </c>
      <c r="C36" s="25">
        <f>Equilibrio</f>
        <v>0</v>
      </c>
    </row>
    <row r="37" spans="1:3" s="10" customFormat="1" x14ac:dyDescent="0.25">
      <c r="A37" s="10" t="s">
        <v>32</v>
      </c>
      <c r="B37" s="19">
        <f>(Forca*0.75)+(Resistencia*0.125)+(Aptidao_Fisica*0.125)</f>
        <v>0</v>
      </c>
      <c r="C37" s="25">
        <f>Forca</f>
        <v>0</v>
      </c>
    </row>
    <row r="38" spans="1:3" s="10" customFormat="1" x14ac:dyDescent="0.25">
      <c r="A38" s="10" t="s">
        <v>33</v>
      </c>
      <c r="B38" s="19">
        <f>(Impulsao*0.75)+(Cabeceamento*0.0834)+(Bravura*0.0833)+(Equilibrio*0.0833)</f>
        <v>0</v>
      </c>
      <c r="C38" s="25">
        <f>Impulsao</f>
        <v>0</v>
      </c>
    </row>
    <row r="39" spans="1:3" s="10" customFormat="1" x14ac:dyDescent="0.25">
      <c r="A39" s="10" t="s">
        <v>34</v>
      </c>
      <c r="B39" s="19">
        <f>(Resistencia*0.75)+(Indice_de_Trabalho*0.125)+(Aptidao_Fisica*0.125)</f>
        <v>0</v>
      </c>
      <c r="C39" s="25">
        <f>Resistencia</f>
        <v>0</v>
      </c>
    </row>
    <row r="40" spans="1:3" s="10" customFormat="1" x14ac:dyDescent="0.25">
      <c r="A40" s="10" t="s">
        <v>35</v>
      </c>
      <c r="B40" s="19">
        <f>(Velocidade*0.75)+(Aceleracao*0.0625)+(Agilidade*0.0625)+(Equilibrio*0.0625)+(Resistencia*0.0625)</f>
        <v>0</v>
      </c>
      <c r="C40" s="25">
        <f>Velocidade</f>
        <v>0</v>
      </c>
    </row>
    <row r="41" spans="1:3" s="2" customFormat="1" x14ac:dyDescent="0.25">
      <c r="A41" s="2" t="s">
        <v>49</v>
      </c>
      <c r="B41" s="16"/>
      <c r="C41" s="24"/>
    </row>
    <row r="42" spans="1:3" s="10" customFormat="1" x14ac:dyDescent="0.25">
      <c r="A42" s="10" t="s">
        <v>38</v>
      </c>
      <c r="B42" s="19">
        <f>(Saidas_da_Baliza*0.75)+(Um_Para_Um*0.025)+(Reflexos*0.025)+(Antecipacao*0.025)+(Bravura*0.025)+(Decisoes*0.025)+(Aceleracao*0.025)+(Agilidade*0.025)+(Equilibrio*0.025)+(Velocidade*0.025)+(Compostura*0.025)</f>
        <v>0</v>
      </c>
      <c r="C42" s="25">
        <f>Saidas_da_Baliza</f>
        <v>0</v>
      </c>
    </row>
    <row r="43" spans="1:3" s="10" customFormat="1" x14ac:dyDescent="0.25">
      <c r="A43" s="10" t="s">
        <v>39</v>
      </c>
      <c r="B43" s="19">
        <f>Socar</f>
        <v>0</v>
      </c>
      <c r="C43" s="25">
        <f>Socar</f>
        <v>0</v>
      </c>
    </row>
    <row r="44" spans="1:3" s="10" customFormat="1" x14ac:dyDescent="0.25">
      <c r="A44" s="10" t="s">
        <v>40</v>
      </c>
      <c r="B44" s="19">
        <f>(Alcance_Aereo*0.75)+(Jogo_de_Maos*0.05)+(Comando_de_Area*0.05)+(Bravura*0.05)+(Posicionamento*0.05)+(Impulsao*0.05)</f>
        <v>0</v>
      </c>
      <c r="C44" s="25">
        <f>Alcance_Aereo</f>
        <v>0</v>
      </c>
    </row>
    <row r="45" spans="1:3" s="10" customFormat="1" x14ac:dyDescent="0.25">
      <c r="A45" s="10" t="s">
        <v>41</v>
      </c>
      <c r="B45" s="19">
        <f>(Comando_de_Area*0.75)+(Alcance_Aereo*0.025)+(Jogo_de_Maos*0.025)+(Antecipacao*0.025)+(Bravura*0.025)+(Concentracao*0.025)+(Decisoes*0.025)+(Posicionamento*0.025)+(Agilidade*0.025)+(Equilibrio*0.025)+(Forca*0.025)</f>
        <v>0</v>
      </c>
      <c r="C45" s="25">
        <f>Comando_de_Area</f>
        <v>0</v>
      </c>
    </row>
    <row r="46" spans="1:3" s="10" customFormat="1" x14ac:dyDescent="0.25">
      <c r="A46" s="10" t="s">
        <v>42</v>
      </c>
      <c r="B46" s="19">
        <f>Comunicacao</f>
        <v>0</v>
      </c>
      <c r="C46" s="25">
        <f>Comunicacao</f>
        <v>0</v>
      </c>
    </row>
    <row r="47" spans="1:3" s="10" customFormat="1" x14ac:dyDescent="0.25">
      <c r="A47" s="10" t="s">
        <v>43</v>
      </c>
      <c r="B47" s="19">
        <f>Excentricidade</f>
        <v>0</v>
      </c>
      <c r="C47" s="25">
        <f>Excentricidade</f>
        <v>0</v>
      </c>
    </row>
    <row r="48" spans="1:3" s="10" customFormat="1" x14ac:dyDescent="0.25">
      <c r="A48" s="10" t="s">
        <v>44</v>
      </c>
      <c r="B48" s="19">
        <f>Jogo_de_Maos</f>
        <v>0</v>
      </c>
      <c r="C48" s="25">
        <f>Jogo_de_Maos</f>
        <v>0</v>
      </c>
    </row>
    <row r="49" spans="1:3" s="10" customFormat="1" x14ac:dyDescent="0.25">
      <c r="A49" s="10" t="s">
        <v>45</v>
      </c>
      <c r="B49" s="19">
        <f>(Lancamento*0.75)+(Decisoes*0.125)+(Forca*0.125)</f>
        <v>0</v>
      </c>
      <c r="C49" s="25">
        <f>Lancamento</f>
        <v>0</v>
      </c>
    </row>
    <row r="50" spans="1:3" s="10" customFormat="1" x14ac:dyDescent="0.25">
      <c r="A50" s="10" t="s">
        <v>12</v>
      </c>
      <c r="B50" s="19">
        <f>(Passe_Goleiro*0.75)+(Antecipacao*0.05)+(Compostura*0.05)+(Visao_de_Jogo*0.05)+(Decisoes*0.05)+(Imprevisibilidade*0.05)</f>
        <v>0</v>
      </c>
      <c r="C50" s="25">
        <f>Passe_Goleiro</f>
        <v>0</v>
      </c>
    </row>
    <row r="51" spans="1:3" s="10" customFormat="1" x14ac:dyDescent="0.25">
      <c r="A51" s="10" t="s">
        <v>46</v>
      </c>
      <c r="B51" s="19">
        <f>(Lancamento*0.75)+(Visao_de_Jogo*0.0833)+(Decisoes*0.0833)+(Passe_Goleiro*0.0834)</f>
        <v>0</v>
      </c>
      <c r="C51" s="25">
        <f>Pontape</f>
        <v>0</v>
      </c>
    </row>
    <row r="52" spans="1:3" s="10" customFormat="1" x14ac:dyDescent="0.25">
      <c r="A52" s="10" t="s">
        <v>13</v>
      </c>
      <c r="B52" s="19">
        <f>(Primeiro_Toque_Goleiro*0.75)+(Decisoes*0.0834)+(Antecipacao*0.0833)+(Compostura*0.0833)</f>
        <v>0</v>
      </c>
      <c r="C52" s="25">
        <f>Primeiro_Toque_Goleiro</f>
        <v>0</v>
      </c>
    </row>
    <row r="53" spans="1:3" s="10" customFormat="1" x14ac:dyDescent="0.25">
      <c r="A53" s="10" t="s">
        <v>47</v>
      </c>
      <c r="B53" s="19">
        <f>(Reflexos*0.75)+(Antecipacao*0.0833)+(Agilidade*0.0834)+(Compostura*0.0833)</f>
        <v>0</v>
      </c>
      <c r="C53" s="25">
        <f>Reflexos</f>
        <v>0</v>
      </c>
    </row>
    <row r="54" spans="1:3" s="10" customFormat="1" x14ac:dyDescent="0.25">
      <c r="A54" s="10" t="s">
        <v>48</v>
      </c>
      <c r="B54" s="19">
        <f>(Um_Para_Um*0.75)+(Reflexos*0.025)+(Saidas_da_Baliza*0.025)+(Antecipacao*0.025)+(Bravura*0.025)+(Decisoes*0.025)+(Aceleracao*0.025)+(Agilidade*0.025)+(Equilibrio*0.025)+(Velocidade*0.025)+(Compostura*0.025)</f>
        <v>0</v>
      </c>
      <c r="C54" s="25">
        <f>Um_Para_Um</f>
        <v>0</v>
      </c>
    </row>
  </sheetData>
  <conditionalFormatting sqref="B1:B1048576">
    <cfRule type="cellIs" dxfId="25" priority="1" operator="between">
      <formula>16</formula>
      <formula>20</formula>
    </cfRule>
    <cfRule type="cellIs" dxfId="24" priority="2" operator="between">
      <formula>10</formula>
      <formula>15.999999999</formula>
    </cfRule>
    <cfRule type="cellIs" dxfId="23" priority="3" operator="between">
      <formula>1</formula>
      <formula>9.9999999</formula>
    </cfRule>
  </conditionalFormatting>
  <dataValidations count="1">
    <dataValidation type="decimal" allowBlank="1" showInputMessage="1" showErrorMessage="1" errorTitle="Valor incorreto" error="Atributo deve ser entre 1 e 20" sqref="B1:B1048576" xr:uid="{F99B565A-9677-45F4-A2AD-FCD9BA295FE8}">
      <formula1>1</formula1>
      <formula2>20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FFF1-C05C-43A1-B143-3B7B7146D890}">
  <dimension ref="A1:B7"/>
  <sheetViews>
    <sheetView zoomScale="190" zoomScaleNormal="190" workbookViewId="0"/>
  </sheetViews>
  <sheetFormatPr defaultRowHeight="15" x14ac:dyDescent="0.25"/>
  <cols>
    <col min="1" max="1" width="35.85546875" bestFit="1" customWidth="1"/>
    <col min="2" max="2" width="9.140625" style="6"/>
  </cols>
  <sheetData>
    <row r="1" spans="1:2" s="2" customFormat="1" x14ac:dyDescent="0.25">
      <c r="A1" s="2" t="s">
        <v>99</v>
      </c>
      <c r="B1" s="16"/>
    </row>
    <row r="2" spans="1:2" s="10" customFormat="1" x14ac:dyDescent="0.25">
      <c r="A2" s="10" t="s">
        <v>98</v>
      </c>
      <c r="B2" s="20">
        <f>(Cantos*0.75)+(Cruzamentos*0.05)+(Tecnica*0.05)+(Compostura*0.05)+(Visao_de_Jogo*0.05)+(Decisoes*0.05)</f>
        <v>0</v>
      </c>
    </row>
    <row r="3" spans="1:2" s="2" customFormat="1" x14ac:dyDescent="0.25">
      <c r="A3" s="2" t="s">
        <v>100</v>
      </c>
      <c r="B3" s="16"/>
    </row>
    <row r="4" spans="1:2" s="10" customFormat="1" x14ac:dyDescent="0.25">
      <c r="A4" s="10" t="s">
        <v>101</v>
      </c>
      <c r="B4" s="20">
        <f>(Livres*0.75)+(Tecnica*0.125)+(Remates_de_Longe*0.125)</f>
        <v>0</v>
      </c>
    </row>
    <row r="5" spans="1:2" s="10" customFormat="1" x14ac:dyDescent="0.25">
      <c r="A5" s="10" t="s">
        <v>102</v>
      </c>
      <c r="B5" s="20">
        <f>(Livres*0.75)+('Atributos Combinados'!B13*0.05)+(Antecipacao*0.05)+(Visao_de_Jogo*0.05)+(Decisoes*0.05)+(Remates_de_Longe*0.05)</f>
        <v>0</v>
      </c>
    </row>
    <row r="6" spans="1:2" s="10" customFormat="1" x14ac:dyDescent="0.25">
      <c r="A6" s="10" t="s">
        <v>103</v>
      </c>
      <c r="B6" s="20">
        <f>(Livres*0.75)+('Atributos Combinados'!B13*0.05)+(Antecipacao*0.05)+(Visao_de_Jogo*0.05)+(Decisoes*0.05)+(Cruzamentos*0.05)</f>
        <v>0</v>
      </c>
    </row>
    <row r="7" spans="1:2" s="10" customFormat="1" x14ac:dyDescent="0.25">
      <c r="A7" s="10" t="s">
        <v>104</v>
      </c>
      <c r="B7" s="20">
        <f>(Livres*0.75)+(Antecipacao*0.05)+(Visao_de_Jogo*0.05)+(Decisoes*0.05)+(Passe*0.05)+(Tecnica*0.05)</f>
        <v>0</v>
      </c>
    </row>
  </sheetData>
  <conditionalFormatting sqref="B1">
    <cfRule type="cellIs" dxfId="22" priority="7" operator="between">
      <formula>16</formula>
      <formula>20</formula>
    </cfRule>
    <cfRule type="cellIs" dxfId="21" priority="8" operator="between">
      <formula>10</formula>
      <formula>15.9999999</formula>
    </cfRule>
    <cfRule type="cellIs" dxfId="20" priority="9" operator="between">
      <formula>1</formula>
      <formula>9.999999999</formula>
    </cfRule>
  </conditionalFormatting>
  <conditionalFormatting sqref="B3">
    <cfRule type="cellIs" dxfId="19" priority="4" operator="between">
      <formula>16</formula>
      <formula>20</formula>
    </cfRule>
    <cfRule type="cellIs" dxfId="18" priority="5" operator="between">
      <formula>10</formula>
      <formula>15.9999999</formula>
    </cfRule>
    <cfRule type="cellIs" dxfId="17" priority="6" operator="between">
      <formula>1</formula>
      <formula>9.999999</formula>
    </cfRule>
  </conditionalFormatting>
  <conditionalFormatting sqref="B1:B1048576">
    <cfRule type="cellIs" dxfId="16" priority="1" operator="between">
      <formula>16</formula>
      <formula>20</formula>
    </cfRule>
    <cfRule type="cellIs" dxfId="15" priority="2" operator="between">
      <formula>10</formula>
      <formula>15.999999999</formula>
    </cfRule>
    <cfRule type="cellIs" dxfId="14" priority="3" operator="between">
      <formula>1</formula>
      <formula>9.9999999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1CC6-00DF-44CD-8F85-ECA9603B6A3F}">
  <dimension ref="A1:B35"/>
  <sheetViews>
    <sheetView zoomScale="115" zoomScaleNormal="115" workbookViewId="0"/>
  </sheetViews>
  <sheetFormatPr defaultRowHeight="15" x14ac:dyDescent="0.25"/>
  <cols>
    <col min="1" max="1" width="20.42578125" customWidth="1"/>
    <col min="2" max="2" width="9.140625" style="7"/>
  </cols>
  <sheetData>
    <row r="1" spans="1:2" s="14" customFormat="1" x14ac:dyDescent="0.25">
      <c r="A1" s="14" t="s">
        <v>117</v>
      </c>
      <c r="B1" s="13"/>
    </row>
    <row r="2" spans="1:2" s="2" customFormat="1" x14ac:dyDescent="0.25">
      <c r="A2" s="2" t="s">
        <v>107</v>
      </c>
      <c r="B2" s="15">
        <f>('Atributos Combinados'!B3*0.5)+('Atributos Combinados'!B11*0.25)+('Atributos Combinados'!B28*0.25)</f>
        <v>0</v>
      </c>
    </row>
    <row r="3" spans="1:2" s="28" customFormat="1" ht="11.25" x14ac:dyDescent="0.2">
      <c r="A3" s="28" t="s">
        <v>110</v>
      </c>
      <c r="B3" s="29"/>
    </row>
    <row r="4" spans="1:2" s="2" customFormat="1" x14ac:dyDescent="0.25">
      <c r="A4" s="2" t="s">
        <v>108</v>
      </c>
      <c r="B4" s="15">
        <f>('Atributos Combinados'!B37*0.25)+('Atributos Combinados'!B39*0.25)+('Atributos Combinados'!B36*0.25)+('Atributos Combinados'!B34*0.25)</f>
        <v>0</v>
      </c>
    </row>
    <row r="5" spans="1:2" s="28" customFormat="1" ht="11.25" x14ac:dyDescent="0.2">
      <c r="A5" s="28" t="s">
        <v>111</v>
      </c>
      <c r="B5" s="29"/>
    </row>
    <row r="6" spans="1:2" s="2" customFormat="1" x14ac:dyDescent="0.25">
      <c r="A6" s="2" t="s">
        <v>30</v>
      </c>
      <c r="B6" s="15">
        <f>('Atributos Combinados'!B33*0.5)+('Atributos Combinados'!B40*0.5)</f>
        <v>0</v>
      </c>
    </row>
    <row r="7" spans="1:2" s="28" customFormat="1" ht="11.25" x14ac:dyDescent="0.2">
      <c r="A7" s="28" t="s">
        <v>112</v>
      </c>
      <c r="B7" s="29"/>
    </row>
    <row r="8" spans="1:2" s="2" customFormat="1" x14ac:dyDescent="0.25">
      <c r="A8" s="2" t="s">
        <v>29</v>
      </c>
      <c r="B8" s="15">
        <f>('Atributos Combinados'!B31*0.33)+('Atributos Combinados'!B25*0.33)+('Atributos Combinados'!B13*0.34)</f>
        <v>0</v>
      </c>
    </row>
    <row r="9" spans="1:2" s="28" customFormat="1" ht="11.25" x14ac:dyDescent="0.2">
      <c r="A9" s="28" t="s">
        <v>113</v>
      </c>
      <c r="B9" s="29"/>
    </row>
    <row r="10" spans="1:2" s="2" customFormat="1" x14ac:dyDescent="0.25">
      <c r="A10" s="2" t="s">
        <v>51</v>
      </c>
      <c r="B10" s="15">
        <f>('Atributos Combinados'!B7*0.34)+('Atributos Combinados'!B29*0.33)+('Atributos Combinados'!B21*0.33)</f>
        <v>0</v>
      </c>
    </row>
    <row r="11" spans="1:2" s="28" customFormat="1" ht="11.25" x14ac:dyDescent="0.2">
      <c r="A11" s="28" t="s">
        <v>128</v>
      </c>
      <c r="B11" s="29"/>
    </row>
    <row r="12" spans="1:2" s="2" customFormat="1" x14ac:dyDescent="0.25">
      <c r="A12" s="2" t="s">
        <v>15</v>
      </c>
      <c r="B12" s="15">
        <f>('Atributos Combinados'!B16*0.34)+('Atributos Combinados'!B15*0.33)+('Atributos Combinados'!B8*0.33)</f>
        <v>0</v>
      </c>
    </row>
    <row r="13" spans="1:2" s="28" customFormat="1" ht="11.25" x14ac:dyDescent="0.2">
      <c r="A13" s="28" t="s">
        <v>114</v>
      </c>
      <c r="B13" s="29"/>
    </row>
    <row r="14" spans="1:2" s="2" customFormat="1" x14ac:dyDescent="0.25">
      <c r="A14" s="2" t="s">
        <v>116</v>
      </c>
      <c r="B14" s="15">
        <f>('Atributos Combinados'!B3*0.5)+('Atributos Combinados'!B38*0.5)</f>
        <v>0</v>
      </c>
    </row>
    <row r="15" spans="1:2" s="28" customFormat="1" ht="11.25" x14ac:dyDescent="0.2">
      <c r="A15" s="28" t="s">
        <v>129</v>
      </c>
      <c r="B15" s="29"/>
    </row>
    <row r="16" spans="1:2" s="2" customFormat="1" x14ac:dyDescent="0.25">
      <c r="A16" s="2" t="s">
        <v>109</v>
      </c>
      <c r="B16" s="15">
        <f>('Atributos Combinados'!B24*0.166)+('Atributos Combinados'!B23*0.166) + ('Atributos Combinados'!B19*0.166)+('Atributos Combinados'!B30*0.166)+('Atributos Combinados'!B20*0.166)+('Atributos Combinados'!B22*0.166)</f>
        <v>0</v>
      </c>
    </row>
    <row r="17" spans="1:2" s="28" customFormat="1" ht="11.25" x14ac:dyDescent="0.2">
      <c r="A17" s="28" t="s">
        <v>115</v>
      </c>
      <c r="B17" s="29"/>
    </row>
    <row r="19" spans="1:2" s="14" customFormat="1" x14ac:dyDescent="0.25">
      <c r="A19" s="14" t="s">
        <v>118</v>
      </c>
      <c r="B19" s="13"/>
    </row>
    <row r="20" spans="1:2" s="2" customFormat="1" x14ac:dyDescent="0.25">
      <c r="A20" s="2" t="s">
        <v>119</v>
      </c>
      <c r="B20" s="15">
        <f>('Atributos Combinados'!B53*0.5)+('Atributos Combinados'!B54*0.5)</f>
        <v>0</v>
      </c>
    </row>
    <row r="21" spans="1:2" s="28" customFormat="1" ht="11.25" x14ac:dyDescent="0.2">
      <c r="A21" s="28" t="s">
        <v>121</v>
      </c>
      <c r="B21" s="29"/>
    </row>
    <row r="22" spans="1:2" s="2" customFormat="1" x14ac:dyDescent="0.25">
      <c r="A22" s="2" t="s">
        <v>108</v>
      </c>
      <c r="B22" s="5">
        <f>('Atributos Combinados'!B36*0.25)+('Atributos Combinados'!B34*0.25)+('Atributos Combinados'!B37*0.25)+('Atributos Combinados'!B39*0.25)</f>
        <v>0</v>
      </c>
    </row>
    <row r="23" spans="1:2" s="28" customFormat="1" ht="11.25" x14ac:dyDescent="0.2">
      <c r="A23" s="28" t="s">
        <v>122</v>
      </c>
      <c r="B23" s="29"/>
    </row>
    <row r="24" spans="1:2" s="2" customFormat="1" x14ac:dyDescent="0.25">
      <c r="A24" s="2" t="s">
        <v>30</v>
      </c>
      <c r="B24" s="15">
        <f>('Atributos Combinados'!B33*0.5)+('Atributos Combinados'!B40*0.5)</f>
        <v>0</v>
      </c>
    </row>
    <row r="25" spans="1:2" s="28" customFormat="1" ht="11.25" x14ac:dyDescent="0.2">
      <c r="A25" s="28" t="s">
        <v>112</v>
      </c>
      <c r="B25" s="29"/>
    </row>
    <row r="26" spans="1:2" s="2" customFormat="1" x14ac:dyDescent="0.25">
      <c r="A26" s="2" t="s">
        <v>109</v>
      </c>
      <c r="B26" s="15">
        <f>('Atributos Combinados'!B19*0.1667)+('Atributos Combinados'!B20*0.1667)+('Atributos Combinados'!B23*0.1667)+('Atributos Combinados'!B22*0.1667)+('Atributos Combinados'!B24*0.1667)+('Atributos Combinados'!B30*0.1667)</f>
        <v>0</v>
      </c>
    </row>
    <row r="27" spans="1:2" s="28" customFormat="1" ht="11.25" x14ac:dyDescent="0.2">
      <c r="A27" s="28" t="s">
        <v>123</v>
      </c>
      <c r="B27" s="29"/>
    </row>
    <row r="28" spans="1:2" s="2" customFormat="1" x14ac:dyDescent="0.25">
      <c r="A28" s="2" t="s">
        <v>42</v>
      </c>
      <c r="B28" s="15">
        <f>('Atributos Combinados'!B46*0.5)+('Atributos Combinados'!B45*0.5)</f>
        <v>0</v>
      </c>
    </row>
    <row r="29" spans="1:2" s="28" customFormat="1" ht="11.25" x14ac:dyDescent="0.2">
      <c r="A29" s="28" t="s">
        <v>124</v>
      </c>
      <c r="B29" s="29"/>
    </row>
    <row r="30" spans="1:2" s="2" customFormat="1" x14ac:dyDescent="0.25">
      <c r="A30" s="2" t="s">
        <v>43</v>
      </c>
      <c r="B30" s="15">
        <f>'Atributos Combinados'!B47</f>
        <v>0</v>
      </c>
    </row>
    <row r="31" spans="1:2" s="28" customFormat="1" ht="11.25" x14ac:dyDescent="0.2">
      <c r="A31" s="28" t="s">
        <v>125</v>
      </c>
      <c r="B31" s="29"/>
    </row>
    <row r="32" spans="1:2" s="2" customFormat="1" x14ac:dyDescent="0.25">
      <c r="A32" s="2" t="s">
        <v>116</v>
      </c>
      <c r="B32" s="15">
        <f>('Atributos Combinados'!B48*0.5)+('Atributos Combinados'!B44*0.5)</f>
        <v>0</v>
      </c>
    </row>
    <row r="33" spans="1:2" s="28" customFormat="1" ht="11.25" x14ac:dyDescent="0.2">
      <c r="A33" s="28" t="s">
        <v>126</v>
      </c>
      <c r="B33" s="29"/>
    </row>
    <row r="34" spans="1:2" s="2" customFormat="1" x14ac:dyDescent="0.25">
      <c r="A34" s="2" t="s">
        <v>120</v>
      </c>
      <c r="B34" s="15">
        <f>('Atributos Combinados'!B49*0.5)+('Atributos Combinados'!B51*0.5)</f>
        <v>0</v>
      </c>
    </row>
    <row r="35" spans="1:2" s="28" customFormat="1" ht="11.25" x14ac:dyDescent="0.2">
      <c r="A35" s="28" t="s">
        <v>127</v>
      </c>
      <c r="B35" s="2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22CE-0C05-4186-84A1-23E81463B05C}">
  <dimension ref="A1:B173"/>
  <sheetViews>
    <sheetView zoomScaleNormal="100" workbookViewId="0"/>
  </sheetViews>
  <sheetFormatPr defaultRowHeight="15" x14ac:dyDescent="0.25"/>
  <cols>
    <col min="1" max="1" width="23.28515625" customWidth="1"/>
    <col min="2" max="2" width="10.85546875" style="8" bestFit="1" customWidth="1"/>
  </cols>
  <sheetData>
    <row r="1" spans="1:2" s="30" customFormat="1" ht="18.75" x14ac:dyDescent="0.3">
      <c r="A1" s="30" t="s">
        <v>137</v>
      </c>
      <c r="B1" s="31"/>
    </row>
    <row r="2" spans="1:2" s="2" customFormat="1" x14ac:dyDescent="0.25">
      <c r="A2" s="2" t="s">
        <v>49</v>
      </c>
      <c r="B2" s="12"/>
    </row>
    <row r="3" spans="1:2" s="10" customFormat="1" x14ac:dyDescent="0.25">
      <c r="A3" s="10" t="s">
        <v>52</v>
      </c>
      <c r="B3" s="21">
        <f>((AVERAGE(Alcance_Aereo,Comando_de_Area,Comunicacao,Jogo_de_Maos,Pontape,Reflexos,Concentracao,Posicionamento,Agilidade))*0.65)+((AVERAGE(Lancamento,Um_Para_Um,Antecipacao,Decisoes)*0.35))</f>
        <v>0</v>
      </c>
    </row>
    <row r="4" spans="1:2" s="2" customFormat="1" x14ac:dyDescent="0.25">
      <c r="A4" s="2" t="s">
        <v>50</v>
      </c>
      <c r="B4" s="12"/>
    </row>
    <row r="5" spans="1:2" s="10" customFormat="1" x14ac:dyDescent="0.25">
      <c r="A5" s="10" t="s">
        <v>52</v>
      </c>
      <c r="B5" s="21">
        <f>((AVERAGE(Comando_de_Area,Pontape,Reflexos,Um_Para_Um,Antecipacao,Concentracao,Posicionamento,Agilidade))*0.65)+((AVERAGE(Saidas_da_Baliza,Alcance_Aereo,Comunicacao,Jogo_de_Maos,Lancamento,Passe_Goleiro,Primeiro_Toque_Goleiro,Compostura,Decisoes,Visao_de_Jogo,Aceleracao))*0.35)</f>
        <v>0</v>
      </c>
    </row>
    <row r="6" spans="1:2" s="10" customFormat="1" x14ac:dyDescent="0.25">
      <c r="A6" s="10" t="s">
        <v>53</v>
      </c>
      <c r="B6" s="21">
        <f>((AVERAGE(Comando_de_Area,Pontape,Reflexos,Um_Para_Um,Antecipacao,Concentracao,Compostura,Posicionamento,Agilidade,Saidas_da_Baliza))*0.65)+((AVERAGE(Alcance_Aereo,Comunicacao,Jogo_de_Maos,Lancamento,Passe_Goleiro,Primeiro_Toque_Goleiro,Decisoes,Visao_de_Jogo,Aceleracao))*0.35)</f>
        <v>0</v>
      </c>
    </row>
    <row r="7" spans="1:2" s="10" customFormat="1" x14ac:dyDescent="0.25">
      <c r="A7" s="10" t="s">
        <v>51</v>
      </c>
      <c r="B7" s="21">
        <f>((AVERAGE(Comando_de_Area,Pontape,Reflexos,Um_Para_Um,Antecipacao,Concentracao,Posicionamento,Agilidade))*0.65)+((AVERAGE(Excentricidade,Saidas_da_Baliza,Alcance_Aereo,Comunicacao,Jogo_de_Maos,Lancamento,Passe_Goleiro,Primeiro_Toque_Goleiro,Compostura,Decisoes,Visao_de_Jogo,Aceleracao))*0.35)</f>
        <v>0</v>
      </c>
    </row>
    <row r="8" spans="1:2" s="30" customFormat="1" ht="18.75" x14ac:dyDescent="0.3">
      <c r="A8" s="30" t="s">
        <v>138</v>
      </c>
      <c r="B8" s="31"/>
    </row>
    <row r="9" spans="1:2" s="3" customFormat="1" x14ac:dyDescent="0.25">
      <c r="A9" s="2" t="s">
        <v>58</v>
      </c>
      <c r="B9" s="9"/>
    </row>
    <row r="10" spans="1:2" s="10" customFormat="1" x14ac:dyDescent="0.25">
      <c r="A10" s="10" t="s">
        <v>52</v>
      </c>
      <c r="B10" s="21" t="e">
        <f>(AVERAGE(Cabeceamento,Cruzamentos,Desarme,Marcacao,Posicionamento,Forca,Impulsao,Resistencia)*0.65)+((AVERAGE(Finta,Agressividade,Antecipacao,Bravura,Compostura,Concentracao,Decisoes,Indice_de_Trabalho,Velocidade)*0.35))</f>
        <v>#DIV/0!</v>
      </c>
    </row>
    <row r="11" spans="1:2" s="10" customFormat="1" x14ac:dyDescent="0.25">
      <c r="A11" s="10" t="s">
        <v>53</v>
      </c>
      <c r="B11" s="21" t="e">
        <f>(AVERAGE(Finta,Cabeceamento,Cruzamentos,Desarme,Marcacao,Posicionamento,Forca,Impulsao,Resistencia,Velocidade)*0.65)+((AVERAGE(Agressividade,Antecipacao,Bravura,Compostura,Concentracao,Decisoes,Indice_de_Trabalho,Sem_Bola)*0.35))</f>
        <v>#DIV/0!</v>
      </c>
    </row>
    <row r="12" spans="1:2" s="10" customFormat="1" x14ac:dyDescent="0.25">
      <c r="A12" s="10" t="s">
        <v>51</v>
      </c>
      <c r="B12" s="21" t="e">
        <f>(AVERAGE(Finta,Cabeceamento,Cruzamentos,Desarme,Marcacao,Forca,Impulsao,Resistencia,Velocidade,Sem_Bola)*0.65)+((AVERAGE(Agressividade,Antecipacao,Bravura,Compostura,Concentracao,Decisoes,Indice_de_Trabalho,Posicionamento)*0.35))</f>
        <v>#DIV/0!</v>
      </c>
    </row>
    <row r="13" spans="1:2" s="3" customFormat="1" x14ac:dyDescent="0.25">
      <c r="A13" s="2" t="s">
        <v>56</v>
      </c>
      <c r="B13" s="9"/>
    </row>
    <row r="14" spans="1:2" s="10" customFormat="1" x14ac:dyDescent="0.25">
      <c r="A14" s="10" t="s">
        <v>52</v>
      </c>
      <c r="B14" s="21" t="e">
        <f>(AVERAGE(Cabeceamento,Desarme,Marcacao,Posicionamento,Forca,Impulsao)*0.65)+(AVERAGE(Agressividade,Antecipacao,Bravura,Compostura,Concentracao,Decisoes,Velocidade)*0.35)</f>
        <v>#DIV/0!</v>
      </c>
    </row>
    <row r="15" spans="1:2" s="10" customFormat="1" x14ac:dyDescent="0.25">
      <c r="A15" s="10" t="s">
        <v>105</v>
      </c>
      <c r="B15" s="21" t="e">
        <f>(AVERAGE(Cabeceamento,Desarme,Agressividade,Bravura,Decisoes,Posicionamento,Forca,Impulsao)*0.65)+(AVERAGE(Antecipacao,Compostura,Concentracao,Marcacao)*0.35)</f>
        <v>#DIV/0!</v>
      </c>
    </row>
    <row r="16" spans="1:2" s="10" customFormat="1" x14ac:dyDescent="0.25">
      <c r="A16" s="10" t="s">
        <v>55</v>
      </c>
      <c r="B16" s="21" t="e">
        <f>(AVERAGE(Desarme,Marcacao,Antecipacao,Concentracao,Decisoes,Posicionamento,Velocidade)*0.65)+(AVERAGE(Cabeceamento,Bravura,Compostura,Forca,Impulsao)*0.35)</f>
        <v>#DIV/0!</v>
      </c>
    </row>
    <row r="17" spans="1:2" s="2" customFormat="1" x14ac:dyDescent="0.25">
      <c r="A17" s="2" t="s">
        <v>54</v>
      </c>
      <c r="B17" s="5"/>
    </row>
    <row r="18" spans="1:2" s="10" customFormat="1" x14ac:dyDescent="0.25">
      <c r="A18" s="10" t="s">
        <v>52</v>
      </c>
      <c r="B18" s="21" t="e">
        <f>(AVERAGE(Cabeceamento,Desarme,Marcacao,Posicionamento,Forca,Impulsao)*0.65)+(AVERAGE(Agressividade,Antecipacao,Bravura,Velocidade)*0.35)</f>
        <v>#DIV/0!</v>
      </c>
    </row>
    <row r="19" spans="1:2" s="10" customFormat="1" x14ac:dyDescent="0.25">
      <c r="A19" s="10" t="s">
        <v>105</v>
      </c>
      <c r="B19" s="21" t="e">
        <f>(AVERAGE(Cabeceamento,Desarme,Agressividade,Bravura,Posicionamento,Forca,Impulsao)*0.65)+(AVERAGE(Marcacao,Antecipacao,Concentracao)*0.35)</f>
        <v>#DIV/0!</v>
      </c>
    </row>
    <row r="20" spans="1:2" s="10" customFormat="1" x14ac:dyDescent="0.25">
      <c r="A20" s="10" t="s">
        <v>55</v>
      </c>
      <c r="B20" s="21" t="e">
        <f>(AVERAGE(Desarme,Marcacao,Antecipacao,Concentracao,Posicionamento,Velocidade)*0.65)+(AVERAGE(Cabeceamento,Bravura,Forca,Impulsao)*0.35)</f>
        <v>#DIV/0!</v>
      </c>
    </row>
    <row r="21" spans="1:2" s="2" customFormat="1" x14ac:dyDescent="0.25">
      <c r="A21" s="2" t="s">
        <v>57</v>
      </c>
      <c r="B21" s="5"/>
    </row>
    <row r="22" spans="1:2" s="10" customFormat="1" x14ac:dyDescent="0.25">
      <c r="A22" s="10" t="s">
        <v>52</v>
      </c>
      <c r="B22" s="21" t="e">
        <f>(AVERAGE(Cabeceamento,Desarme,Marcacao,Passe,Compostura,Posicionamento,Forca,Impulsao)*0.65)+(AVERAGE(Primeiro_Toque,Tecnica,Agressividade,Antecipacao,Bravura,Concentracao,Decisoes,Visao_de_Jogo,Velocidade)*0.35)</f>
        <v>#DIV/0!</v>
      </c>
    </row>
    <row r="23" spans="1:2" s="10" customFormat="1" x14ac:dyDescent="0.25">
      <c r="A23" s="10" t="s">
        <v>105</v>
      </c>
      <c r="B23" s="21" t="e">
        <f>(AVERAGE(Cabeceamento,Desarme,Passe,Agressividade,Bravura,Compostura,Decisoes,Posicionamento,Forca,Impulsao)*0.65)+(AVERAGE(Marcacao,Primeiro_Toque,Tecnica,Antecipacao,Concentracao,Visao_de_Jogo)*0.35)</f>
        <v>#DIV/0!</v>
      </c>
    </row>
    <row r="24" spans="1:2" s="10" customFormat="1" x14ac:dyDescent="0.25">
      <c r="A24" s="10" t="s">
        <v>55</v>
      </c>
      <c r="B24" s="21" t="e">
        <f>(AVERAGE(Desarme,Marcacao,Passe,Antecipacao,Compostura,Concentracao,Decisoes,Posicionamento,Velocidade)*0.65)+(AVERAGE(Cabeceamento,Primeiro_Toque,Tecnica,Bravura,Visao_de_Jogo,Forca,Impulsao)*0.35)</f>
        <v>#DIV/0!</v>
      </c>
    </row>
    <row r="25" spans="1:2" s="2" customFormat="1" x14ac:dyDescent="0.25">
      <c r="A25" s="2" t="s">
        <v>59</v>
      </c>
      <c r="B25" s="5"/>
    </row>
    <row r="26" spans="1:2" s="10" customFormat="1" x14ac:dyDescent="0.25">
      <c r="A26" s="10" t="s">
        <v>53</v>
      </c>
      <c r="B26" s="21" t="e">
        <f>(AVERAGE(Desarme,Marcacao,Passe,Primeiro_Toque,Antecipacao,Compostura,Concentracao,Decisoes,Posicionamento,Trabalho_de_Equipe,Visao_de_Jogo,Velocidade)*0.65)+(AVERAGE(Cabeceamento,Finta,Tecnica,Bravura,Imprevisibilidade,Agilidade,Equilibrio,Forca,Impulsao,Resistencia)*0.35)</f>
        <v>#DIV/0!</v>
      </c>
    </row>
    <row r="27" spans="1:2" s="10" customFormat="1" x14ac:dyDescent="0.25">
      <c r="A27" s="10" t="s">
        <v>51</v>
      </c>
      <c r="B27" s="21" t="e">
        <f>(AVERAGE(Desarme,Finta,Marcacao,Passe,Primeiro_Toque,Antecipacao,Compostura,Concentracao,Decisoes,Imprevisibilidade,Posicionamento,Trabalho_de_Equipe,Visao_de_Jogo,Velocidade)*0.65)+(AVERAGE(Cabeceamento,Remates_de_Longe,Tecnica,Bravura,Aceleracao,Agilidade,Equilibrio,Forca,Impulsao,Resistencia)*0.35)</f>
        <v>#DIV/0!</v>
      </c>
    </row>
    <row r="28" spans="1:2" s="30" customFormat="1" ht="18.75" x14ac:dyDescent="0.3">
      <c r="A28" s="30" t="s">
        <v>139</v>
      </c>
      <c r="B28" s="31"/>
    </row>
    <row r="29" spans="1:2" s="2" customFormat="1" x14ac:dyDescent="0.25">
      <c r="A29" s="2" t="s">
        <v>61</v>
      </c>
      <c r="B29" s="3"/>
    </row>
    <row r="30" spans="1:2" s="10" customFormat="1" x14ac:dyDescent="0.25">
      <c r="A30" s="10" t="s">
        <v>52</v>
      </c>
      <c r="B30" s="21" t="e">
        <f>(AVERAGE(Desarme,Marcacao,Antecipacao,Indice_de_Trabalho,Posicionamento,Trabalho_de_Equipe,Aceleracao,Resistencia)*0.65)+(AVERAGE(Cruzamentos,Finta,Passe,Primeiro_Toque,Tecnica,Concentracao,Decisoes,Sem_Bola,Agilidade,Velocidade)*0.35)</f>
        <v>#DIV/0!</v>
      </c>
    </row>
    <row r="31" spans="1:2" s="11" customFormat="1" x14ac:dyDescent="0.25">
      <c r="A31" s="10" t="s">
        <v>53</v>
      </c>
      <c r="B31" s="21" t="e">
        <f>(AVERAGE(Cruzamentos,Desarme,Finta,Marcacao,Indice_de_Trabalho,Sem_Bola,Trabalho_de_Equipe,Aceleracao,Resistencia)*0.65)+(AVERAGE(Passe,Primeiro_Toque,Tecnica,Antecipacao,Concentracao,Decisoes,Posicionamento,Agilidade,Velocidade)*0.35)</f>
        <v>#DIV/0!</v>
      </c>
    </row>
    <row r="32" spans="1:2" s="10" customFormat="1" x14ac:dyDescent="0.25">
      <c r="A32" s="10" t="s">
        <v>51</v>
      </c>
      <c r="B32" s="21" t="e">
        <f>(AVERAGE(Cruzamentos,Desarme,Finta,Tecnica,Indice_de_Trabalho,Sem_Bola,Trabalho_de_Equipe,Aceleracao,Resistencia,Velocidade)*0.65)+(AVERAGE(Marcacao,Passe,Primeiro_Toque,Antecipacao,Concentracao,Decisoes,Imprevisibilidade,Posicionamento,Agilidade)*0.35)</f>
        <v>#DIV/0!</v>
      </c>
    </row>
    <row r="33" spans="1:2" s="3" customFormat="1" x14ac:dyDescent="0.25">
      <c r="A33" s="2" t="s">
        <v>63</v>
      </c>
    </row>
    <row r="34" spans="1:2" s="10" customFormat="1" x14ac:dyDescent="0.25">
      <c r="A34" s="10" t="s">
        <v>53</v>
      </c>
      <c r="B34" s="21" t="e">
        <f>(AVERAGE(Cruzamentos,Finta,Passe,Primeiro_Toque,Tecnica,Decisoes,Indice_de_Trabalho,Sem_Bola,Trabalho_de_Equipe,Aceleracao,Resistencia,Velocidade)*0.65)+(AVERAGE(Desarme,Antecipacao,Compostura,Imprevisibilidade,Agilidade,Equilibrio)*0.35)</f>
        <v>#DIV/0!</v>
      </c>
    </row>
    <row r="35" spans="1:2" s="11" customFormat="1" x14ac:dyDescent="0.25">
      <c r="A35" s="10" t="s">
        <v>51</v>
      </c>
      <c r="B35" s="21" t="e">
        <f>(AVERAGE(Cruzamentos,Finta,Passe,Primeiro_Toque,Tecnica,Decisoes,Indice_de_Trabalho,Sem_Bola,Imprevisibilidade,Trabalho_de_Equipe,Aceleracao,Resistencia,Velocidade)*0.65)+(AVERAGE(Desarme,Antecipacao,Compostura,Agilidade,Equilibrio)*0.35)</f>
        <v>#DIV/0!</v>
      </c>
    </row>
    <row r="36" spans="1:2" s="3" customFormat="1" x14ac:dyDescent="0.25">
      <c r="A36" s="2" t="s">
        <v>64</v>
      </c>
    </row>
    <row r="37" spans="1:2" s="10" customFormat="1" x14ac:dyDescent="0.25">
      <c r="A37" s="10" t="s">
        <v>52</v>
      </c>
      <c r="B37" s="21" t="e">
        <f>(AVERAGE(Desarme,Marcacao,Passe,Antecipacao,Decisoes,Indice_de_Trabalho,Posicionamento,Trabalho_de_Equipe)*0.65)+(AVERAGE(Finta,Primeiro_Toque,Tecnica,Concentracao,Sem_Bola,Aceleracao,Agilidade,Resistencia)*0.35)</f>
        <v>#DIV/0!</v>
      </c>
    </row>
    <row r="38" spans="1:2" s="10" customFormat="1" x14ac:dyDescent="0.25">
      <c r="A38" s="10" t="s">
        <v>53</v>
      </c>
      <c r="B38" s="21" t="e">
        <f>(AVERAGE(Desarme,Marcacao,Passe,Decisoes,Indice_de_Trabalho,Sem_Bola,Trabalho_de_Equipe,Resistencia)*0.65)+(AVERAGE(Finta,Primeiro_Toque,Tecnica,Antecipacao,Compostura,Concentracao,Posicionamento,Aceleracao,Agilidade)*0.35)</f>
        <v>#DIV/0!</v>
      </c>
    </row>
    <row r="39" spans="1:2" s="11" customFormat="1" x14ac:dyDescent="0.25">
      <c r="A39" s="10" t="s">
        <v>51</v>
      </c>
      <c r="B39" s="21" t="e">
        <f>(AVERAGE(Desarme,Finta,Marcacao,Passe,Tecnica,Decisoes,Indice_de_Trabalho,Sem_Bola,Trabalho_de_Equipe,Aceleracao,Resistencia)*0.65)+(AVERAGE(Primeiro_Toque,Remates_de_Longe,Antecipacao,Compostura,Concentracao,Imprevisibilidade,Posicionamento,Velocidade)*0.35)</f>
        <v>#DIV/0!</v>
      </c>
    </row>
    <row r="40" spans="1:2" s="3" customFormat="1" x14ac:dyDescent="0.25">
      <c r="A40" s="2" t="s">
        <v>62</v>
      </c>
    </row>
    <row r="41" spans="1:2" s="10" customFormat="1" x14ac:dyDescent="0.25">
      <c r="A41" s="10" t="s">
        <v>52</v>
      </c>
      <c r="B41" s="21" t="e">
        <f>(AVERAGE(Desarme,Marcacao,Antecipacao,Concentracao,Posicionamento)*0.65)+(AVERAGE(Cruzamentos,Passe,Compostura,Decisoes,Trabalho_de_Equipe,Resistencia,Velocidade)*0.35)</f>
        <v>#DIV/0!</v>
      </c>
    </row>
    <row r="42" spans="1:2" s="11" customFormat="1" x14ac:dyDescent="0.25">
      <c r="A42" s="10" t="s">
        <v>53</v>
      </c>
      <c r="B42" s="21" t="e">
        <f>(AVERAGE(Desarme,Marcacao,Antecipacao,Concentracao,Indice_de_Trabalho,Posicionamento,Trabalho_de_Equipe)*0.65)+(AVERAGE(Cruzamentos,Finta,Passe,Tecnica,Compostura,Decisoes,Resistencia,Velocidade)*0.35)</f>
        <v>#DIV/0!</v>
      </c>
    </row>
    <row r="43" spans="1:2" s="10" customFormat="1" x14ac:dyDescent="0.25">
      <c r="A43" s="10" t="s">
        <v>51</v>
      </c>
      <c r="B43" s="21" t="e">
        <f>(AVERAGE(Cruzamentos,Desarme,Antecipacao,Indice_de_Trabalho,Posicionamento,Trabalho_de_Equipe,Resistencia,Velocidade)*0.65)+(AVERAGE(Finta,Marcacao,Passe,Primeiro_Toque,Tecnica,Compostura,Concentracao,Decisoes,Sem_Bola,Aceleracao,Agilidade)*0.35)</f>
        <v>#DIV/0!</v>
      </c>
    </row>
    <row r="44" spans="1:2" s="3" customFormat="1" x14ac:dyDescent="0.25">
      <c r="A44" s="2" t="s">
        <v>60</v>
      </c>
    </row>
    <row r="45" spans="1:2" s="10" customFormat="1" x14ac:dyDescent="0.25">
      <c r="A45" s="10" t="s">
        <v>52</v>
      </c>
      <c r="B45" s="21" t="e">
        <f>(AVERAGE(Desarme,Marcacao,Antecipacao,Posicionamento,Forca)*0.65)+(AVERAGE(Cabeceamento,Agressividade,Bravura,Concentracao,Trabalho_de_Equipe)*0.35)</f>
        <v>#DIV/0!</v>
      </c>
    </row>
    <row r="46" spans="1:2" s="30" customFormat="1" ht="18.75" x14ac:dyDescent="0.3">
      <c r="A46" s="30" t="s">
        <v>141</v>
      </c>
      <c r="B46" s="31"/>
    </row>
    <row r="47" spans="1:2" s="3" customFormat="1" x14ac:dyDescent="0.25">
      <c r="A47" s="2" t="s">
        <v>65</v>
      </c>
    </row>
    <row r="48" spans="1:2" s="10" customFormat="1" x14ac:dyDescent="0.25">
      <c r="A48" s="10" t="s">
        <v>52</v>
      </c>
      <c r="B48" s="21" t="e">
        <f>(AVERAGE(Passe,Primeiro_Toque,Tecnica,Compostura,Decisoes,Trabalho_de_Equipe,Visao_de_Jogo)*0.65)+(AVERAGE(Desarme,Antecipacao,Posicionamento,Equilibrio)*0.35)</f>
        <v>#DIV/0!</v>
      </c>
    </row>
    <row r="49" spans="1:2" s="10" customFormat="1" x14ac:dyDescent="0.25">
      <c r="A49" s="10" t="s">
        <v>53</v>
      </c>
      <c r="B49" s="21" t="e">
        <f>(AVERAGE(Passe,Primeiro_Toque,Tecnica,Compostura,Decisoes,Trabalho_de_Equipe,Visao_de_Jogo)*0.65)+(AVERAGE(Sem_Bola,Antecipacao,Posicionamento,Equilibrio)*0.35)</f>
        <v>#DIV/0!</v>
      </c>
    </row>
    <row r="50" spans="1:2" s="3" customFormat="1" x14ac:dyDescent="0.25">
      <c r="A50" s="2" t="s">
        <v>72</v>
      </c>
    </row>
    <row r="51" spans="1:2" s="10" customFormat="1" x14ac:dyDescent="0.25">
      <c r="A51" s="10" t="s">
        <v>53</v>
      </c>
      <c r="B51" s="21" t="e">
        <f>(AVERAGE(Passe,Primeiro_Toque,Tecnica,Compostura,Decisoes,Imprevisibilidade,Sem_Bola,Trabalho_de_Equipe,Visao_de_Jogo)*0.65)+(AVERAGE(Finta,Remates_de_Longe,Antecipacao,Equilibrio)*0.35)</f>
        <v>#DIV/0!</v>
      </c>
    </row>
    <row r="52" spans="1:2" s="3" customFormat="1" x14ac:dyDescent="0.25">
      <c r="A52" s="2" t="s">
        <v>67</v>
      </c>
    </row>
    <row r="53" spans="1:2" s="10" customFormat="1" x14ac:dyDescent="0.25">
      <c r="A53" s="10" t="s">
        <v>52</v>
      </c>
      <c r="B53" s="21" t="e">
        <f>(AVERAGE(Desarme,Antecipacao,Concentracao,Posicionamento,Trabalho_de_Equipe)*0.65)+(AVERAGE(Marcacao,Passe,Agressividade,Compostura,Decisoes,Indice_de_Trabalho,Forca,Resistencia)*0.35)</f>
        <v>#DIV/0!</v>
      </c>
    </row>
    <row r="54" spans="1:2" s="10" customFormat="1" x14ac:dyDescent="0.25">
      <c r="A54" s="10" t="s">
        <v>53</v>
      </c>
      <c r="B54" s="21" t="e">
        <f>(AVERAGE(Desarme,Antecipacao,Concentracao,Posicionamento,Trabalho_de_Equipe)*0.65)+(AVERAGE(Marcacao,Passe,Agressividade,Compostura,Decisoes,Indice_de_Trabalho,Forca,Resistencia,Primeiro_Toque)*0.35)</f>
        <v>#DIV/0!</v>
      </c>
    </row>
    <row r="55" spans="1:2" s="3" customFormat="1" x14ac:dyDescent="0.25">
      <c r="A55" s="2" t="s">
        <v>66</v>
      </c>
    </row>
    <row r="56" spans="1:2" s="10" customFormat="1" x14ac:dyDescent="0.25">
      <c r="A56" s="10" t="s">
        <v>52</v>
      </c>
      <c r="B56" s="21" t="e">
        <f>(AVERAGE(Desarme,Agressividade,Antecipacao,Indice_de_Trabalho,Trabalho_de_Equipe,Resistencia)*0.65)+(AVERAGE(Marcacao,Bravura,Concentracao,Posicionamento,Agilidade,Forca,Velocidade)*0.35)</f>
        <v>#DIV/0!</v>
      </c>
    </row>
    <row r="57" spans="1:2" s="10" customFormat="1" x14ac:dyDescent="0.25">
      <c r="A57" s="10" t="s">
        <v>53</v>
      </c>
      <c r="B57" s="21" t="e">
        <f>(AVERAGE(Desarme,Agressividade,Antecipacao,Indice_de_Trabalho,Trabalho_de_Equipe,Resistencia)*0.65)+(AVERAGE(Marcacao,Bravura,Concentracao,Passe,Agilidade,Forca,Velocidade)*0.35)</f>
        <v>#DIV/0!</v>
      </c>
    </row>
    <row r="58" spans="1:2" s="3" customFormat="1" x14ac:dyDescent="0.25">
      <c r="A58" s="2" t="s">
        <v>71</v>
      </c>
    </row>
    <row r="59" spans="1:2" s="10" customFormat="1" x14ac:dyDescent="0.25">
      <c r="A59" s="10" t="s">
        <v>53</v>
      </c>
      <c r="B59" s="21" t="e">
        <f>(AVERAGE(Passe,Primeiro_Toque,Tecnica,Antecipacao,Compostura,Decisoes,Indice_de_Trabalho,Sem_Bola,Trabalho_de_Equipe,Visao_de_Jogo,Aceleracao,Resistencia)*0.65)+(AVERAGE(Finta,Remates_de_Longe,Concentracao,Posicionamento,Agilidade,Equilibrio,Velocidade)*0.35)</f>
        <v>#DIV/0!</v>
      </c>
    </row>
    <row r="60" spans="1:2" s="3" customFormat="1" x14ac:dyDescent="0.25">
      <c r="A60" s="2" t="s">
        <v>68</v>
      </c>
    </row>
    <row r="61" spans="1:2" s="10" customFormat="1" x14ac:dyDescent="0.25">
      <c r="A61" s="10" t="s">
        <v>52</v>
      </c>
      <c r="B61" s="21" t="e">
        <f>(AVERAGE(Desarme,Marcacao,Antecipacao,Compostura,Concentracao,Decisoes,Posicionamento,Trabalho_de_Equipe)*0.65)+(AVERAGE(Passe,Agressividade,Bravura,Indice_de_Trabalho,Forca,Impulsao,Resistencia)*0.35)</f>
        <v>#DIV/0!</v>
      </c>
    </row>
    <row r="62" spans="1:2" s="3" customFormat="1" x14ac:dyDescent="0.25">
      <c r="A62" s="2" t="s">
        <v>70</v>
      </c>
    </row>
    <row r="63" spans="1:2" s="10" customFormat="1" x14ac:dyDescent="0.25">
      <c r="A63" s="10" t="s">
        <v>53</v>
      </c>
      <c r="B63" s="21" t="e">
        <f>(AVERAGE(Desarme,Marcacao,Passe,Indice_de_Trabalho,Posicionamento,Sem_Bola,Resistencia,Velocidade)*0.65)+(AVERAGE(Finalizacao,Primeiro_Toque,Remates_de_Longe,Antecipacao,Compostura,Concentracao,Decisoes,Aceleracao,Equilibrio,Forca)*0.35)</f>
        <v>#DIV/0!</v>
      </c>
    </row>
    <row r="64" spans="1:2" s="10" customFormat="1" x14ac:dyDescent="0.25">
      <c r="A64" s="10" t="s">
        <v>51</v>
      </c>
      <c r="B64" s="21" t="e">
        <f>(AVERAGE(Desarme,Finalizacao,Passe,Remates_de_Longe,Antecipacao,Indice_de_Trabalho,Posicionamento,Sem_Bola,Resistencia,Velocidade)*0.65)+(AVERAGE(Marcacao,Primeiro_Toque,Compostura,Concentracao,Decisoes,Aceleracao,Equilibrio,Forca)*0.35)</f>
        <v>#DIV/0!</v>
      </c>
    </row>
    <row r="65" spans="1:2" s="3" customFormat="1" x14ac:dyDescent="0.25">
      <c r="A65" s="2" t="s">
        <v>69</v>
      </c>
    </row>
    <row r="66" spans="1:2" s="10" customFormat="1" x14ac:dyDescent="0.25">
      <c r="A66" s="10" t="s">
        <v>52</v>
      </c>
      <c r="B66" s="21" t="e">
        <f>(AVERAGE(Desarme,Marcacao,Antecipacao,Concentracao,Decisoes,Posicionamento)*0.65)+(AVERAGE(Compostura,Trabalho_de_Equipe,Forca)*0.35)</f>
        <v>#DIV/0!</v>
      </c>
    </row>
    <row r="67" spans="1:2" s="30" customFormat="1" ht="18.75" x14ac:dyDescent="0.3">
      <c r="A67" s="30" t="s">
        <v>140</v>
      </c>
      <c r="B67" s="31"/>
    </row>
    <row r="68" spans="1:2" s="2" customFormat="1" x14ac:dyDescent="0.25">
      <c r="A68" s="2" t="s">
        <v>61</v>
      </c>
    </row>
    <row r="69" spans="1:2" s="10" customFormat="1" x14ac:dyDescent="0.25">
      <c r="A69" s="10" t="s">
        <v>52</v>
      </c>
      <c r="B69" s="21" t="e">
        <f>(AVERAGE(Desarme,Marcacao,Antecipacao,Indice_de_Trabalho,Posicionamento,Trabalho_de_Equipe,Aceleracao,Resistencia)*0.65)+(AVERAGE(Cruzamentos,Finta,Passe,Primeiro_Toque,Tecnica,Concentracao,Decisoes,Sem_Bola,Agilidade,Velocidade)*0.35)</f>
        <v>#DIV/0!</v>
      </c>
    </row>
    <row r="70" spans="1:2" s="10" customFormat="1" x14ac:dyDescent="0.25">
      <c r="A70" s="10" t="s">
        <v>53</v>
      </c>
      <c r="B70" s="21" t="e">
        <f>(AVERAGE(Cruzamentos,Desarme,Finta,Marcacao,Indice_de_Trabalho,Sem_Bola,Trabalho_de_Equipe,Aceleracao,Resistencia)*0.65)+(AVERAGE(Passe,Primeiro_Toque,Tecnica,Antecipacao,Concentracao,Decisoes,Posicionamento,Agilidade,Velocidade)*0.35)</f>
        <v>#DIV/0!</v>
      </c>
    </row>
    <row r="71" spans="1:2" s="10" customFormat="1" x14ac:dyDescent="0.25">
      <c r="A71" s="10" t="s">
        <v>51</v>
      </c>
      <c r="B71" s="21" t="e">
        <f>(AVERAGE(Cruzamentos,Desarme,Finta,Tecnica,Indice_de_Trabalho,Sem_Bola,Trabalho_de_Equipe,Aceleracao,Resistencia,Velocidade)*0.65)+(AVERAGE(Marcacao,Passe,Primeiro_Toque,Antecipacao,Concentracao,Decisoes,Imprevisibilidade,Posicionamento,Agilidade)*0.35)</f>
        <v>#DIV/0!</v>
      </c>
    </row>
    <row r="72" spans="1:2" s="2" customFormat="1" x14ac:dyDescent="0.25">
      <c r="A72" s="2" t="s">
        <v>63</v>
      </c>
      <c r="B72" s="3"/>
    </row>
    <row r="73" spans="1:2" s="10" customFormat="1" x14ac:dyDescent="0.25">
      <c r="A73" s="10" t="s">
        <v>53</v>
      </c>
      <c r="B73" s="21" t="e">
        <f>(AVERAGE(Cruzamentos,Finta,Passe,Primeiro_Toque,Tecnica,Decisoes,Indice_de_Trabalho,Sem_Bola,Trabalho_de_Equipe,Aceleracao,Resistencia,Velocidade)*0.65)+(AVERAGE(Desarme,Antecipacao,Compostura,Imprevisibilidade,Agilidade,Equilibrio)*0.35)</f>
        <v>#DIV/0!</v>
      </c>
    </row>
    <row r="74" spans="1:2" s="10" customFormat="1" x14ac:dyDescent="0.25">
      <c r="A74" s="10" t="s">
        <v>51</v>
      </c>
      <c r="B74" s="21" t="e">
        <f>(AVERAGE(Cruzamentos,Finta,Passe,Primeiro_Toque,Tecnica,Decisoes,Indice_de_Trabalho,Sem_Bola,Imprevisibilidade,Trabalho_de_Equipe,Aceleracao,Resistencia,Velocidade)*0.65)+(AVERAGE(Desarme,Antecipacao,Compostura,Agilidade,Equilibrio)*0.35)</f>
        <v>#DIV/0!</v>
      </c>
    </row>
    <row r="75" spans="1:2" s="2" customFormat="1" x14ac:dyDescent="0.25">
      <c r="A75" s="2" t="s">
        <v>64</v>
      </c>
      <c r="B75" s="3"/>
    </row>
    <row r="76" spans="1:2" s="10" customFormat="1" x14ac:dyDescent="0.25">
      <c r="A76" s="10" t="s">
        <v>52</v>
      </c>
      <c r="B76" s="21" t="e">
        <f>(AVERAGE(Desarme,Marcacao,Passe,Antecipacao,Decisoes,Indice_de_Trabalho,Posicionamento,Trabalho_de_Equipe)*0.65)+(AVERAGE(Finta,Primeiro_Toque,Tecnica,Concentracao,Sem_Bola,Aceleracao,Agilidade,Resistencia)*0.35)</f>
        <v>#DIV/0!</v>
      </c>
    </row>
    <row r="77" spans="1:2" s="10" customFormat="1" x14ac:dyDescent="0.25">
      <c r="A77" s="10" t="s">
        <v>53</v>
      </c>
      <c r="B77" s="21" t="e">
        <f>(AVERAGE(Desarme,Marcacao,Passe,Decisoes,Indice_de_Trabalho,Sem_Bola,Trabalho_de_Equipe,Resistencia)*0.65)+(AVERAGE(Finta,Primeiro_Toque,Tecnica,Antecipacao,Compostura,Concentracao,Posicionamento,Aceleracao,Agilidade)*0.35)</f>
        <v>#DIV/0!</v>
      </c>
    </row>
    <row r="78" spans="1:2" s="10" customFormat="1" x14ac:dyDescent="0.25">
      <c r="A78" s="10" t="s">
        <v>51</v>
      </c>
      <c r="B78" s="21" t="e">
        <f>(AVERAGE(Desarme,Finta,Marcacao,Passe,Tecnica,Decisoes,Indice_de_Trabalho,Sem_Bola,Trabalho_de_Equipe,Aceleracao,Resistencia)*0.65)+(AVERAGE(Primeiro_Toque,Remates_de_Longe,Antecipacao,Compostura,Concentracao,Imprevisibilidade,Posicionamento,Velocidade)*0.35)</f>
        <v>#DIV/0!</v>
      </c>
    </row>
    <row r="79" spans="1:2" s="30" customFormat="1" ht="18.75" x14ac:dyDescent="0.3">
      <c r="A79" s="30" t="s">
        <v>142</v>
      </c>
      <c r="B79" s="31"/>
    </row>
    <row r="80" spans="1:2" s="2" customFormat="1" x14ac:dyDescent="0.25">
      <c r="A80" s="2" t="s">
        <v>75</v>
      </c>
    </row>
    <row r="81" spans="1:2" s="10" customFormat="1" x14ac:dyDescent="0.25">
      <c r="A81" s="10" t="s">
        <v>53</v>
      </c>
      <c r="B81" s="21" t="e">
        <f>(AVERAGE(Desarme,Passe,Primeiro_Toque,Decisoes,Posicionamento,Trabalho_de_Equipe,Resistencia)*0.65)+(AVERAGE(Tecnica,Antecipacao,Compostura,Concentracao,Indice_de_Trabalho,Sem_Bola,Visao_de_Jogo)*0.35)</f>
        <v>#DIV/0!</v>
      </c>
    </row>
    <row r="82" spans="1:2" s="2" customFormat="1" x14ac:dyDescent="0.25">
      <c r="A82" s="2" t="s">
        <v>78</v>
      </c>
    </row>
    <row r="83" spans="1:2" s="10" customFormat="1" x14ac:dyDescent="0.25">
      <c r="A83" s="10" t="s">
        <v>53</v>
      </c>
      <c r="B83" s="21" t="e">
        <f>(AVERAGE(Passe,Primeiro_Toque,Tecnica,Compostura,Decisoes,Sem_Bola,Trabalho_de_Equipe,Visao_de_Jogo)*0.65)+(AVERAGE(Finta,Antecipacao,Imprevisibilidade,Agilidade)*0.35)</f>
        <v>#DIV/0!</v>
      </c>
    </row>
    <row r="84" spans="1:2" s="10" customFormat="1" x14ac:dyDescent="0.25">
      <c r="A84" s="10" t="s">
        <v>51</v>
      </c>
      <c r="B84" s="21" t="e">
        <f>(AVERAGE(Passe,Primeiro_Toque,Tecnica,Compostura,Decisoes,Sem_Bola,Trabalho_de_Equipe,Visao_de_Jogo,Finta)*0.65)+(AVERAGE(Aceleracao,Antecipacao,Imprevisibilidade,Agilidade)*0.35)</f>
        <v>#DIV/0!</v>
      </c>
    </row>
    <row r="85" spans="1:2" s="2" customFormat="1" x14ac:dyDescent="0.25">
      <c r="A85" s="2" t="s">
        <v>77</v>
      </c>
    </row>
    <row r="86" spans="1:2" s="10" customFormat="1" x14ac:dyDescent="0.25">
      <c r="A86" s="10" t="s">
        <v>52</v>
      </c>
      <c r="B86" s="21" t="e">
        <f>(AVERAGE(Passe,Primeiro_Toque,Tecnica,Compostura,Decisoes,Trabalho_de_Equipe,Visao_de_Jogo)*0.65)+(AVERAGE(Desarme,Antecipacao,Posicionamento,Equilibrio)*0.35)</f>
        <v>#DIV/0!</v>
      </c>
    </row>
    <row r="87" spans="1:2" s="10" customFormat="1" x14ac:dyDescent="0.25">
      <c r="A87" s="10" t="s">
        <v>53</v>
      </c>
      <c r="B87" s="21" t="e">
        <f>(AVERAGE(Passe,Primeiro_Toque,Tecnica,Compostura,Decisoes,Trabalho_de_Equipe,Visao_de_Jogo)*0.65)+(AVERAGE(Sem_Bola,Antecipacao,Posicionamento,Equilibrio)*0.35)</f>
        <v>#DIV/0!</v>
      </c>
    </row>
    <row r="88" spans="1:2" s="2" customFormat="1" x14ac:dyDescent="0.25">
      <c r="A88" s="2" t="s">
        <v>73</v>
      </c>
    </row>
    <row r="89" spans="1:2" s="10" customFormat="1" x14ac:dyDescent="0.25">
      <c r="A89" s="10" t="s">
        <v>53</v>
      </c>
      <c r="B89" s="21" t="e">
        <f>(AVERAGE(Desarme,Passe,Indice_de_Trabalho,Sem_Bola,Trabalho_de_Equipe,Resistencia)*0.65)+(AVERAGE(Finalizacao,Finta,Primeiro_Toque,Remates_de_Longe,Tecnica,Agressividade,Antecipacao,Compostura,Decisoes,Posicionamento,Aceleracao,Equilibrio,Forca,Velocidade)*0.35)</f>
        <v>#DIV/0!</v>
      </c>
    </row>
    <row r="90" spans="1:2" s="2" customFormat="1" x14ac:dyDescent="0.25">
      <c r="A90" s="2" t="s">
        <v>74</v>
      </c>
    </row>
    <row r="91" spans="1:2" s="10" customFormat="1" x14ac:dyDescent="0.25">
      <c r="A91" s="10" t="s">
        <v>52</v>
      </c>
      <c r="B91" s="21" t="e">
        <f>(AVERAGE(Desarme,Concentracao,Decisoes,Posicionamento,Trabalho_de_Equipe)*0.65)+(AVERAGE(Marcacao,Passe,Primeiro_Toque,Tecnica,Agressividade,Antecipacao,Compostura,Indice_de_Trabalho,Resistencia)*0.35)</f>
        <v>#DIV/0!</v>
      </c>
    </row>
    <row r="92" spans="1:2" s="10" customFormat="1" x14ac:dyDescent="0.25">
      <c r="A92" s="10" t="s">
        <v>53</v>
      </c>
      <c r="B92" s="21" t="e">
        <f>(AVERAGE(Desarme,Passe,Primeiro_Toque,Decisoes,Trabalho_de_Equipe)*0.65)+(AVERAGE(Tecnica,Antecipacao,Compostura,Concentracao,Indice_de_Trabalho,Sem_Bola,Visao_de_Jogo,Resistencia)*0.35)</f>
        <v>#DIV/0!</v>
      </c>
    </row>
    <row r="93" spans="1:2" s="10" customFormat="1" x14ac:dyDescent="0.25">
      <c r="A93" s="10" t="s">
        <v>51</v>
      </c>
      <c r="B93" s="21" t="e">
        <f>(AVERAGE(Passe,Primeiro_Toque,Decisoes,Sem_Bola)*0.65)+(AVERAGE(Desarme,Remates_de_Longe,Tecnica,Antecipacao,Compostura,Indice_de_Trabalho,Trabalho_de_Equipe,Visao_de_Jogo,Aceleracao,Resistencia)*0.35)</f>
        <v>#DIV/0!</v>
      </c>
    </row>
    <row r="94" spans="1:2" s="2" customFormat="1" x14ac:dyDescent="0.25">
      <c r="A94" s="2" t="s">
        <v>66</v>
      </c>
    </row>
    <row r="95" spans="1:2" s="10" customFormat="1" x14ac:dyDescent="0.25">
      <c r="A95" s="10" t="s">
        <v>52</v>
      </c>
      <c r="B95" s="21" t="e">
        <f>(AVERAGE(Desarme,Agressividade,Antecipacao,Indice_de_Trabalho,Trabalho_de_Equipe,Resistencia)*0.65)+(AVERAGE(Marcacao,Bravura,Concentracao,Posicionamento,Agilidade,Forca,Velocidade)*0.35)</f>
        <v>#DIV/0!</v>
      </c>
    </row>
    <row r="96" spans="1:2" s="10" customFormat="1" x14ac:dyDescent="0.25">
      <c r="A96" s="10" t="s">
        <v>53</v>
      </c>
      <c r="B96" s="21" t="e">
        <f>(AVERAGE(Desarme,Agressividade,Antecipacao,Indice_de_Trabalho,Trabalho_de_Equipe,Resistencia)*0.65)+(AVERAGE(Marcacao,Bravura,Concentracao,Passe,Agilidade,Forca,Velocidade)*0.35)</f>
        <v>#DIV/0!</v>
      </c>
    </row>
    <row r="97" spans="1:2" s="2" customFormat="1" x14ac:dyDescent="0.25">
      <c r="A97" s="2" t="s">
        <v>76</v>
      </c>
    </row>
    <row r="98" spans="1:2" s="10" customFormat="1" x14ac:dyDescent="0.25">
      <c r="A98" s="10" t="s">
        <v>53</v>
      </c>
      <c r="B98" s="21" t="e">
        <f>(AVERAGE(Passe,Tecnica,Decisoes,Indice_de_Trabalho,Sem_Bola,Aceleracao)*0.65)+(AVERAGE(Desarme,Finta,Primeiro_Toque,Remates_de_Longe,Antecipacao,Compostura,Visao_de_Jogo,Equilibrio,Resistencia)*0.35)</f>
        <v>#DIV/0!</v>
      </c>
    </row>
    <row r="99" spans="1:2" s="10" customFormat="1" x14ac:dyDescent="0.25">
      <c r="A99" s="10" t="s">
        <v>51</v>
      </c>
      <c r="B99" s="21" t="e">
        <f>(AVERAGE(Finta,Passe,Tecnica,Decisoes,Indice_de_Trabalho,Sem_Bola,Visao_de_Jogo,Aceleracao)*0.65)+(AVERAGE(Finalizacao,Primeiro_Toque,Remates_de_Longe,Antecipacao,Compostura,Imprevisibilidade,Equilibrio,Resistencia)*0.35)</f>
        <v>#DIV/0!</v>
      </c>
    </row>
    <row r="100" spans="1:2" s="2" customFormat="1" x14ac:dyDescent="0.25">
      <c r="A100" s="2" t="s">
        <v>71</v>
      </c>
    </row>
    <row r="101" spans="1:2" s="10" customFormat="1" x14ac:dyDescent="0.25">
      <c r="A101" s="10" t="s">
        <v>53</v>
      </c>
      <c r="B101" s="21" t="e">
        <f>(AVERAGE(Passe,Primeiro_Toque,Tecnica,Antecipacao,Compostura,Decisoes,Indice_de_Trabalho,Sem_Bola,Trabalho_de_Equipe,Visao_de_Jogo,Aceleracao,Resistencia)*0.65)+(AVERAGE(Finta,Remates_de_Longe,Concentracao,Posicionamento,Agilidade,Equilibrio,Velocidade)*0.35)</f>
        <v>#DIV/0!</v>
      </c>
    </row>
    <row r="102" spans="1:2" s="30" customFormat="1" ht="18.75" x14ac:dyDescent="0.3">
      <c r="A102" s="30" t="s">
        <v>143</v>
      </c>
      <c r="B102" s="31"/>
    </row>
    <row r="103" spans="1:2" s="2" customFormat="1" x14ac:dyDescent="0.25">
      <c r="A103" s="2" t="s">
        <v>79</v>
      </c>
    </row>
    <row r="104" spans="1:2" s="10" customFormat="1" x14ac:dyDescent="0.25">
      <c r="A104" s="10" t="s">
        <v>53</v>
      </c>
      <c r="B104" s="21" t="e">
        <f>(AVERAGE(Cruzamentos,Finta,Tecnica,Sem_Bola,Aceleracao,Velocidade)*0.65)+(AVERAGE(Passe,Primeiro_Toque,Indice_de_Trabalho,Agilidade,Resistencia)*0.35)</f>
        <v>#DIV/0!</v>
      </c>
    </row>
    <row r="105" spans="1:2" s="10" customFormat="1" x14ac:dyDescent="0.25">
      <c r="A105" s="10" t="s">
        <v>51</v>
      </c>
      <c r="B105" s="21" t="e">
        <f>(AVERAGE(Cruzamentos,Finta,Tecnica,Sem_Bola,Aceleracao,Velocidade)*0.65)+(AVERAGE(Passe,Primeiro_Toque,Antecipacao,Imprevisibilidade,Agilidade)*0.35)</f>
        <v>#DIV/0!</v>
      </c>
    </row>
    <row r="106" spans="1:2" s="2" customFormat="1" x14ac:dyDescent="0.25">
      <c r="A106" s="2" t="s">
        <v>80</v>
      </c>
    </row>
    <row r="107" spans="1:2" s="10" customFormat="1" x14ac:dyDescent="0.25">
      <c r="A107" s="10" t="s">
        <v>52</v>
      </c>
      <c r="B107" s="21" t="e">
        <f>(AVERAGE(Tecnica,Antecipacao,Indice_de_Trabalho,Posicionamento,Sem_Bola,Trabalho_de_Equipe,Resistencia)*0.65)+(AVERAGE(Cruzamentos,Desarme,Finta,Marcacao,Primeiro_Toque,Agressividade,Concentracao,Decisoes,Aceleracao)*0.35)</f>
        <v>#DIV/0!</v>
      </c>
    </row>
    <row r="108" spans="1:2" s="10" customFormat="1" x14ac:dyDescent="0.25">
      <c r="A108" s="10" t="s">
        <v>53</v>
      </c>
      <c r="B108" s="21" t="e">
        <f>(AVERAGE(Cruzamentos,Tecnica,Indice_de_Trabalho,Sem_Bola,Trabalho_de_Equipe,Resistencia)*0.65)+(AVERAGE(Desarme,Finta,Marcacao,Passe,Primeiro_Toque,Agressividade,Antecipacao,Compostura,Concentracao,Decisoes,Posicionamento,Aceleracao)*0.35)</f>
        <v>#DIV/0!</v>
      </c>
    </row>
    <row r="109" spans="1:2" s="2" customFormat="1" x14ac:dyDescent="0.25">
      <c r="A109" s="2" t="s">
        <v>81</v>
      </c>
    </row>
    <row r="110" spans="1:2" s="10" customFormat="1" x14ac:dyDescent="0.25">
      <c r="A110" s="10" t="s">
        <v>53</v>
      </c>
      <c r="B110" s="21" t="e">
        <f>(AVERAGE(Finta,Passe,Tecnica,Sem_Bola,Aceleracao)*0.65)+(AVERAGE(Cruzamentos,Primeiro_Toque,Remates_de_Longe,Compostura,Decisoes,Indice_de_Trabalho,Visao_de_Jogo,Agilidade,Resistencia,Velocidade)*0.35)</f>
        <v>#DIV/0!</v>
      </c>
    </row>
    <row r="111" spans="1:2" s="10" customFormat="1" x14ac:dyDescent="0.25">
      <c r="A111" s="10" t="s">
        <v>51</v>
      </c>
      <c r="B111" s="21" t="e">
        <f>(AVERAGE(Finta,Passe,Tecnica,Sem_Bola,Aceleracao,Agilidade)*0.65)+(AVERAGE(Cruzamentos,Primeiro_Toque,Remates_de_Longe,Antecipacao,Compostura,Decisoes,Imprevisibilidade,Visao_de_Jogo,Velocidade)*0.35)</f>
        <v>#DIV/0!</v>
      </c>
    </row>
    <row r="112" spans="1:2" s="2" customFormat="1" x14ac:dyDescent="0.25">
      <c r="A112" s="2" t="s">
        <v>83</v>
      </c>
    </row>
    <row r="113" spans="1:2" s="10" customFormat="1" x14ac:dyDescent="0.25">
      <c r="A113" s="10" t="s">
        <v>52</v>
      </c>
      <c r="B113" s="21" t="e">
        <f>(AVERAGE(Desarme,Passe,Concentracao,Decisoes,Indice_de_Trabalho,Posicionamento,Trabalho_de_Equipe)*0.65)+(AVERAGE(Cruzamentos,Marcacao,Primeiro_Toque,Tecnica,Antecipacao,Compostura,Resistencia)*0.35)</f>
        <v>#DIV/0!</v>
      </c>
    </row>
    <row r="114" spans="1:2" s="10" customFormat="1" x14ac:dyDescent="0.25">
      <c r="A114" s="10" t="s">
        <v>53</v>
      </c>
      <c r="B114" s="21" t="e">
        <f>(AVERAGE(Desarme,Passe,Decisoes,Indice_de_Trabalho,Trabalho_de_Equipe,Resistencia)*0.65)+(AVERAGE(Cruzamentos,Primeiro_Toque,Tecnica,Antecipacao,Compostura,Concentracao,Posicionamento,Sem_Bola,Visao_de_Jogo)*0.35)</f>
        <v>#DIV/0!</v>
      </c>
    </row>
    <row r="115" spans="1:2" s="10" customFormat="1" x14ac:dyDescent="0.25">
      <c r="A115" s="10" t="s">
        <v>51</v>
      </c>
      <c r="B115" s="21" t="e">
        <f>(AVERAGE(Cruzamentos,Passe,Primeiro_Toque,Decisoes,Indice_de_Trabalho,Trabalho_de_Equipe,Resistencia)*0.65)+(AVERAGE(Desarme,Tecnica,Antecipacao,Compostura,Sem_Bola,Visao_de_Jogo)*0.35)</f>
        <v>#DIV/0!</v>
      </c>
    </row>
    <row r="116" spans="1:2" s="2" customFormat="1" x14ac:dyDescent="0.25">
      <c r="A116" s="2" t="s">
        <v>82</v>
      </c>
    </row>
    <row r="117" spans="1:2" s="10" customFormat="1" x14ac:dyDescent="0.25">
      <c r="A117" s="10" t="s">
        <v>53</v>
      </c>
      <c r="B117" s="21" t="e">
        <f>(AVERAGE(Passe,Primeiro_Toque,Tecnica,Compostura,Decisoes,Trabalho_de_Equipe,Visao_de_Jogo)*0.65)+(AVERAGE(Finta,Sem_Bola,Agilidade)*0.35)</f>
        <v>#DIV/0!</v>
      </c>
    </row>
    <row r="118" spans="1:2" s="10" customFormat="1" x14ac:dyDescent="0.25">
      <c r="A118" s="10" t="s">
        <v>51</v>
      </c>
      <c r="B118" s="21" t="e">
        <f>(AVERAGE(Finta,Passe,Primeiro_Toque,Tecnica,Compostura,Decisoes,Sem_Bola,Trabalho_de_Equipe,Visao_de_Jogo)*0.65)+(AVERAGE(Antecipacao,Imprevisibilidade,Aceleracao,Agilidade)*0.35)</f>
        <v>#DIV/0!</v>
      </c>
    </row>
    <row r="119" spans="1:2" s="30" customFormat="1" ht="18.75" x14ac:dyDescent="0.3">
      <c r="A119" s="30" t="s">
        <v>144</v>
      </c>
      <c r="B119" s="31"/>
    </row>
    <row r="120" spans="1:2" s="2" customFormat="1" x14ac:dyDescent="0.25">
      <c r="A120" s="2" t="s">
        <v>84</v>
      </c>
    </row>
    <row r="121" spans="1:2" s="10" customFormat="1" x14ac:dyDescent="0.25">
      <c r="A121" s="10" t="s">
        <v>51</v>
      </c>
      <c r="B121" s="21" t="e">
        <f>(AVERAGE(Finalizacao,Finta,Primeiro_Toque,Antecipacao,Compostura,Sem_Bola,Aceleracao)*0.65)+(AVERAGE(Passe,Tecnica,Concentracao,Decisoes,Indice_de_Trabalho,Agilidade,Equilibrio,Resistencia,Velocidade)*0.35)</f>
        <v>#DIV/0!</v>
      </c>
    </row>
    <row r="122" spans="1:2" s="2" customFormat="1" x14ac:dyDescent="0.25">
      <c r="A122" s="2" t="s">
        <v>78</v>
      </c>
    </row>
    <row r="123" spans="1:2" s="10" customFormat="1" x14ac:dyDescent="0.25">
      <c r="A123" s="10" t="s">
        <v>53</v>
      </c>
      <c r="B123" s="21" t="e">
        <f>(AVERAGE(Passe,Primeiro_Toque,Tecnica,Compostura,Decisoes,Sem_Bola,Trabalho_de_Equipe,Visao_de_Jogo)*0.65)+(AVERAGE(Finta,Antecipacao,Imprevisibilidade,Agilidade)*0.35)</f>
        <v>#DIV/0!</v>
      </c>
    </row>
    <row r="124" spans="1:2" s="10" customFormat="1" x14ac:dyDescent="0.25">
      <c r="A124" s="10" t="s">
        <v>51</v>
      </c>
      <c r="B124" s="21" t="e">
        <f>(AVERAGE(Passe,Primeiro_Toque,Tecnica,Compostura,Decisoes,Sem_Bola,Trabalho_de_Equipe,Visao_de_Jogo,Finta)*0.65)+(AVERAGE(Aceleracao,Antecipacao,Imprevisibilidade,Agilidade)*0.35)</f>
        <v>#DIV/0!</v>
      </c>
    </row>
    <row r="125" spans="1:2" s="2" customFormat="1" x14ac:dyDescent="0.25">
      <c r="A125" s="2" t="s">
        <v>85</v>
      </c>
    </row>
    <row r="126" spans="1:2" s="10" customFormat="1" x14ac:dyDescent="0.25">
      <c r="A126" s="10" t="s">
        <v>53</v>
      </c>
      <c r="B126" s="21" t="e">
        <f>(AVERAGE(Passe,Primeiro_Toque,Remates_de_Longe,Tecnica,Antecipacao,Decisoes,Imprevisibilidade,Sem_Bola)*0.65)+(AVERAGE(Finta,Compostura,Visao_de_Jogo,Agilidade)*0.35)</f>
        <v>#DIV/0!</v>
      </c>
    </row>
    <row r="127" spans="1:2" s="10" customFormat="1" x14ac:dyDescent="0.25">
      <c r="A127" s="10" t="s">
        <v>51</v>
      </c>
      <c r="B127" s="21" t="e">
        <f>(AVERAGE(Passe,Primeiro_Toque,Remates_de_Longe,Tecnica,Antecipacao,Decisoes,Imprevisibilidade,Sem_Bola,Finta)*0.65)+(AVERAGE(Finalizacao,Compostura,Visao_de_Jogo,Agilidade)*0.35)</f>
        <v>#DIV/0!</v>
      </c>
    </row>
    <row r="128" spans="1:2" s="2" customFormat="1" x14ac:dyDescent="0.25">
      <c r="A128" s="2" t="s">
        <v>87</v>
      </c>
    </row>
    <row r="129" spans="1:2" s="10" customFormat="1" x14ac:dyDescent="0.25">
      <c r="A129" s="10" t="s">
        <v>51</v>
      </c>
      <c r="B129" s="21" t="e">
        <f>(AVERAGE(Finta,Passe,Primeiro_Toque,Tecnica,Compostura,Decisoes,Imprevisibilidade,Sem_Bola,Visao_de_Jogo,Aceleracao)*0.65)+(AVERAGE(Finalizacao,Antecipacao,Agilidade,Equilibrio)*0.35)</f>
        <v>#DIV/0!</v>
      </c>
    </row>
    <row r="130" spans="1:2" s="2" customFormat="1" x14ac:dyDescent="0.25">
      <c r="A130" s="2" t="s">
        <v>86</v>
      </c>
    </row>
    <row r="131" spans="1:2" s="10" customFormat="1" x14ac:dyDescent="0.25">
      <c r="A131" s="10" t="s">
        <v>53</v>
      </c>
      <c r="B131" s="21" t="e">
        <f>(AVERAGE(Passe,Primeiro_Toque,Tecnica,Compostura,Decisoes,Visao_de_Jogo)*0.65)+(AVERAGE(Finta,Antecipacao,Imprevisibilidade,Sem_Bola,Trabalho_de_Equipe,Agilidade)*0.35)</f>
        <v>#DIV/0!</v>
      </c>
    </row>
    <row r="132" spans="1:2" s="30" customFormat="1" ht="18.75" x14ac:dyDescent="0.3">
      <c r="A132" s="30" t="s">
        <v>146</v>
      </c>
      <c r="B132" s="31"/>
    </row>
    <row r="133" spans="1:2" s="2" customFormat="1" x14ac:dyDescent="0.25">
      <c r="A133" s="2" t="s">
        <v>89</v>
      </c>
    </row>
    <row r="134" spans="1:2" s="10" customFormat="1" x14ac:dyDescent="0.25">
      <c r="A134" s="10" t="s">
        <v>53</v>
      </c>
      <c r="B134" s="21" t="e">
        <f>(AVERAGE(Cabeceamento,Bravura,Trabalho_de_Equipe,Forca,Impulsao)*0.65)+(AVERAGE(Cruzamentos,Primeiro_Toque,Antecipacao,Indice_de_Trabalho,Sem_Bola,Equilibrio,Resistencia)*0.35)</f>
        <v>#DIV/0!</v>
      </c>
    </row>
    <row r="135" spans="1:2" s="10" customFormat="1" x14ac:dyDescent="0.25">
      <c r="A135" s="10" t="s">
        <v>51</v>
      </c>
      <c r="B135" s="21" t="e">
        <f>(AVERAGE(Cabeceamento,Bravura,Sem_Bola,Forca,Impulsao)*0.65)+(AVERAGE(Cruzamentos,Primeiro_Toque,Antecipacao,Indice_de_Trabalho,Finalizacao,Trabalho_de_Equipe,Equilibrio,Resistencia)*0.35)</f>
        <v>#DIV/0!</v>
      </c>
    </row>
    <row r="136" spans="1:2" s="2" customFormat="1" x14ac:dyDescent="0.25">
      <c r="A136" s="2" t="s">
        <v>88</v>
      </c>
    </row>
    <row r="137" spans="1:2" s="10" customFormat="1" x14ac:dyDescent="0.25">
      <c r="A137" s="10" t="s">
        <v>53</v>
      </c>
      <c r="B137" s="21" t="e">
        <f>(AVERAGE(Finta,Passe,Primeiro_Toque,Tecnica,Sem_Bola,Aceleracao,Agilidade,Equilibrio)*0.65)+(AVERAGE(Finalizacao,Remates_de_Longe,Antecipacao,Compostura,Imprevisibilidade,Visao_de_Jogo,Velocidade)*0.35)</f>
        <v>#DIV/0!</v>
      </c>
    </row>
    <row r="138" spans="1:2" s="10" customFormat="1" x14ac:dyDescent="0.25">
      <c r="A138" s="10" t="s">
        <v>51</v>
      </c>
      <c r="B138" s="21" t="e">
        <f>(AVERAGE(Finalizacao,Finta,Primeiro_Toque,Tecnica,Sem_Bola,Aceleracao,Agilidade,Equilibrio)*0.65)+(AVERAGE(Passe,Remates_de_Longe,Antecipacao,Compostura,Imprevisibilidade,Velocidade)*0.35)</f>
        <v>#DIV/0!</v>
      </c>
    </row>
    <row r="139" spans="1:2" s="2" customFormat="1" x14ac:dyDescent="0.25">
      <c r="A139" s="2" t="s">
        <v>78</v>
      </c>
    </row>
    <row r="140" spans="1:2" s="10" customFormat="1" x14ac:dyDescent="0.25">
      <c r="A140" s="10" t="s">
        <v>53</v>
      </c>
      <c r="B140" s="21" t="e">
        <f>(AVERAGE(Passe,Primeiro_Toque,Tecnica,Compostura,Decisoes,Sem_Bola,Trabalho_de_Equipe,Visao_de_Jogo)*0.65)+(AVERAGE(Finta,Antecipacao,Imprevisibilidade,Agilidade)*0.35)</f>
        <v>#DIV/0!</v>
      </c>
    </row>
    <row r="141" spans="1:2" s="10" customFormat="1" x14ac:dyDescent="0.25">
      <c r="A141" s="10" t="s">
        <v>51</v>
      </c>
      <c r="B141" s="21" t="e">
        <f>(AVERAGE(Passe,Primeiro_Toque,Tecnica,Compostura,Decisoes,Sem_Bola,Trabalho_de_Equipe,Visao_de_Jogo,Finta)*0.65)+(AVERAGE(Aceleracao,Antecipacao,Imprevisibilidade,Agilidade)*0.35)</f>
        <v>#DIV/0!</v>
      </c>
    </row>
    <row r="142" spans="1:2" s="2" customFormat="1" x14ac:dyDescent="0.25">
      <c r="A142" s="2" t="s">
        <v>79</v>
      </c>
    </row>
    <row r="143" spans="1:2" s="10" customFormat="1" x14ac:dyDescent="0.25">
      <c r="A143" s="10" t="s">
        <v>53</v>
      </c>
      <c r="B143" s="21" t="e">
        <f>(AVERAGE(Cruzamentos,Finta,Tecnica,Sem_Bola,Aceleracao,Velocidade)*0.65)+(AVERAGE(Passe,Primeiro_Toque,Indice_de_Trabalho,Agilidade,Resistencia)*0.35)</f>
        <v>#DIV/0!</v>
      </c>
    </row>
    <row r="144" spans="1:2" s="10" customFormat="1" x14ac:dyDescent="0.25">
      <c r="A144" s="10" t="s">
        <v>51</v>
      </c>
      <c r="B144" s="21" t="e">
        <f>(AVERAGE(Cruzamentos,Finta,Tecnica,Sem_Bola,Aceleracao,Velocidade)*0.65)+(AVERAGE(Passe,Primeiro_Toque,Antecipacao,Imprevisibilidade,Agilidade)*0.35)</f>
        <v>#DIV/0!</v>
      </c>
    </row>
    <row r="145" spans="1:2" s="2" customFormat="1" x14ac:dyDescent="0.25">
      <c r="A145" s="2" t="s">
        <v>81</v>
      </c>
    </row>
    <row r="146" spans="1:2" s="10" customFormat="1" x14ac:dyDescent="0.25">
      <c r="A146" s="10" t="s">
        <v>53</v>
      </c>
      <c r="B146" s="21" t="e">
        <f>(AVERAGE(Finta,Passe,Tecnica,Sem_Bola,Aceleracao)*0.65)+(AVERAGE(Cruzamentos,Primeiro_Toque,Remates_de_Longe,Compostura,Decisoes,Indice_de_Trabalho,Visao_de_Jogo,Agilidade,Resistencia,Velocidade)*0.35)</f>
        <v>#DIV/0!</v>
      </c>
    </row>
    <row r="147" spans="1:2" s="10" customFormat="1" x14ac:dyDescent="0.25">
      <c r="A147" s="10" t="s">
        <v>51</v>
      </c>
      <c r="B147" s="21" t="e">
        <f>(AVERAGE(Finta,Passe,Tecnica,Sem_Bola,Aceleracao,Agilidade)*0.65)+(AVERAGE(Cruzamentos,Primeiro_Toque,Remates_de_Longe,Antecipacao,Compostura,Decisoes,Imprevisibilidade,Visao_de_Jogo,Velocidade)*0.35)</f>
        <v>#DIV/0!</v>
      </c>
    </row>
    <row r="148" spans="1:2" s="2" customFormat="1" x14ac:dyDescent="0.25">
      <c r="A148" s="2" t="s">
        <v>87</v>
      </c>
    </row>
    <row r="149" spans="1:2" s="10" customFormat="1" x14ac:dyDescent="0.25">
      <c r="A149" s="10" t="s">
        <v>51</v>
      </c>
      <c r="B149" s="21" t="e">
        <f>(AVERAGE(Finta,Passe,Primeiro_Toque,Tecnica,Compostura,Decisoes,Imprevisibilidade,Sem_Bola,Visao_de_Jogo,Aceleracao)*0.65)+(AVERAGE(Finalizacao,Antecipacao,Agilidade,Equilibrio)*0.35)</f>
        <v>#DIV/0!</v>
      </c>
    </row>
    <row r="150" spans="1:2" s="2" customFormat="1" x14ac:dyDescent="0.25">
      <c r="A150" s="2" t="s">
        <v>90</v>
      </c>
    </row>
    <row r="151" spans="1:2" s="10" customFormat="1" x14ac:dyDescent="0.25">
      <c r="A151" s="10" t="s">
        <v>51</v>
      </c>
      <c r="B151" s="21" t="e">
        <f>(AVERAGE(Finalizacao,Antecipacao,Compostura,Concentracao,Decisoes,Sem_Bola,Equilibrio)*0.65)+(AVERAGE(Primeiro_Toque,Tecnica,Indice_de_Trabalho,Aceleracao,Resistencia)*0.35)</f>
        <v>#DIV/0!</v>
      </c>
    </row>
    <row r="152" spans="1:2" s="30" customFormat="1" ht="18.75" x14ac:dyDescent="0.3">
      <c r="A152" s="30" t="s">
        <v>145</v>
      </c>
      <c r="B152" s="31"/>
    </row>
    <row r="153" spans="1:2" s="2" customFormat="1" x14ac:dyDescent="0.25">
      <c r="A153" s="2" t="s">
        <v>97</v>
      </c>
      <c r="B153" s="5"/>
    </row>
    <row r="154" spans="1:2" s="10" customFormat="1" x14ac:dyDescent="0.25">
      <c r="A154" s="10" t="s">
        <v>53</v>
      </c>
      <c r="B154" s="21" t="e">
        <f>(AVERAGE(Cabeceamento,Finta,Passe,Primeiro_Toque,Remates_de_Longe,Tecnica,Antecipacao,Compostura,Decisoes,Sem_Bola,Visao_de_Jogo,Aceleracao,Agilidade,Forca)*0.65)+(AVERAGE(Finalizacao,Indice_de_Trabalho,Trabalho_de_Equipe,Equilibrio,Impulsao,Resistencia,Velocidade)*0.35)</f>
        <v>#DIV/0!</v>
      </c>
    </row>
    <row r="155" spans="1:2" s="10" customFormat="1" x14ac:dyDescent="0.25">
      <c r="A155" s="10" t="s">
        <v>51</v>
      </c>
      <c r="B155" s="21" t="e">
        <f>(AVERAGE(Cabeceamento,Finalizacao,Finta,Primeiro_Toque,Tecnica,Antecipacao,Compostura,Sem_Bola,Aceleracao,Agilidade,Forca)*0.65)+(AVERAGE(Passe,Remates_de_Longe,Decisoes,Indice_de_Trabalho,Trabalho_de_Equipe,Visao_de_Jogo,Equilibrio,Impulsao,Resistencia,Velocidade)*0.35)</f>
        <v>#DIV/0!</v>
      </c>
    </row>
    <row r="156" spans="1:2" s="2" customFormat="1" x14ac:dyDescent="0.25">
      <c r="A156" s="2" t="s">
        <v>96</v>
      </c>
      <c r="B156" s="5"/>
    </row>
    <row r="157" spans="1:2" s="10" customFormat="1" x14ac:dyDescent="0.25">
      <c r="A157" s="10" t="s">
        <v>53</v>
      </c>
      <c r="B157" s="21" t="e">
        <f>(AVERAGE(Cabeceamento,Bravura,Trabalho_de_Equipe,Equilibrio,Forca,Impulsao)*0.65)+(AVERAGE(Finalizacao,Primeiro_Toque,Agressividade,Antecipacao,Compostura,Decisoes,Sem_Bola)*0.35)</f>
        <v>#DIV/0!</v>
      </c>
    </row>
    <row r="158" spans="1:2" s="10" customFormat="1" x14ac:dyDescent="0.25">
      <c r="A158" s="10" t="s">
        <v>51</v>
      </c>
      <c r="B158" s="21" t="e">
        <f>(AVERAGE(Cabeceamento,Finalizacao,Bravura,Compostura,Sem_Bola,Equilibrio,Forca,Impulsao)*0.65)+(AVERAGE(Primeiro_Toque,Agressividade,Antecipacao,Decisoes,Trabalho_de_Equipe)*0.35)</f>
        <v>#DIV/0!</v>
      </c>
    </row>
    <row r="159" spans="1:2" s="2" customFormat="1" x14ac:dyDescent="0.25">
      <c r="A159" s="2" t="s">
        <v>93</v>
      </c>
      <c r="B159" s="5"/>
    </row>
    <row r="160" spans="1:2" s="10" customFormat="1" x14ac:dyDescent="0.25">
      <c r="A160" s="10" t="s">
        <v>53</v>
      </c>
      <c r="B160" s="21" t="e">
        <f>(AVERAGE(Passe,Primeiro_Toque,Tecnica,Compostura,Decisoes,Sem_Bola,Trabalho_de_Equipe)*0.65)+(AVERAGE(Finalizacao,Antecipacao,Imprevisibilidade,Visao_de_Jogo,Equilibrio,Forca)*0.35)</f>
        <v>#DIV/0!</v>
      </c>
    </row>
    <row r="161" spans="1:2" s="10" customFormat="1" x14ac:dyDescent="0.25">
      <c r="A161" s="10" t="s">
        <v>51</v>
      </c>
      <c r="B161" s="21" t="e">
        <f>(AVERAGE(Passe,Primeiro_Toque,Tecnica,Compostura,Decisoes,Sem_Bola,Trabalho_de_Equipe)*0.65)+(AVERAGE(Finalizacao,Antecipacao,Imprevisibilidade,Visao_de_Jogo,Equilibrio,Forca,Finta)*0.35)</f>
        <v>#DIV/0!</v>
      </c>
    </row>
    <row r="162" spans="1:2" s="2" customFormat="1" x14ac:dyDescent="0.25">
      <c r="A162" s="2" t="s">
        <v>94</v>
      </c>
      <c r="B162" s="5"/>
    </row>
    <row r="163" spans="1:2" s="10" customFormat="1" x14ac:dyDescent="0.25">
      <c r="A163" s="10" t="s">
        <v>52</v>
      </c>
      <c r="B163" s="21" t="e">
        <f>(AVERAGE(Agressividade,Antecipacao,Bravura,Decisoes,Indice_de_Trabalho,Trabalho_de_Equipe,Aceleracao,Resistencia,Velocidade)*0.65)+(AVERAGE(Primeiro_Toque,Compostura,Concentracao,Agilidade,Equilibrio,Forca)*0.35)</f>
        <v>#DIV/0!</v>
      </c>
    </row>
    <row r="164" spans="1:2" s="10" customFormat="1" x14ac:dyDescent="0.25">
      <c r="A164" s="10" t="s">
        <v>53</v>
      </c>
      <c r="B164" s="21" t="e">
        <f>(AVERAGE(Agressividade,Antecipacao,Bravura,Decisoes,Indice_de_Trabalho,Trabalho_de_Equipe,Aceleracao,Resistencia,Velocidade)*0.65)+(AVERAGE(Primeiro_Toque,Compostura,Concentracao,Agilidade,Equilibrio,Forca,Passe,Sem_Bola)*0.35)</f>
        <v>#DIV/0!</v>
      </c>
    </row>
    <row r="165" spans="1:2" s="10" customFormat="1" x14ac:dyDescent="0.25">
      <c r="A165" s="10" t="s">
        <v>51</v>
      </c>
      <c r="B165" s="21" t="e">
        <f>(AVERAGE(Agressividade,Antecipacao,Bravura,Indice_de_Trabalho,Sem_Bola,Trabalho_de_Equipe,Aceleracao,Resistencia,Velocidade)*0.65)+(AVERAGE(Finalizacao,Primeiro_Toque,Compostura,Concentracao,Decisoes,Agilidade,Equilibrio,Forca)*0.35)</f>
        <v>#DIV/0!</v>
      </c>
    </row>
    <row r="166" spans="1:2" s="2" customFormat="1" x14ac:dyDescent="0.25">
      <c r="A166" s="2" t="s">
        <v>92</v>
      </c>
      <c r="B166" s="5"/>
    </row>
    <row r="167" spans="1:2" s="10" customFormat="1" x14ac:dyDescent="0.25">
      <c r="A167" s="10" t="s">
        <v>53</v>
      </c>
      <c r="B167" s="21" t="e">
        <f>(AVERAGE(Finta,Passe,Primeiro_Toque,Tecnica,Compostura,Decisoes,Sem_Bola,Visao_de_Jogo,Aceleracao,Agilidade)*0.65)+(AVERAGE(Finalizacao,Antecipacao,Imprevisibilidade,Trabalho_de_Equipe,Equilibrio)*0.35)</f>
        <v>#DIV/0!</v>
      </c>
    </row>
    <row r="168" spans="1:2" s="2" customFormat="1" x14ac:dyDescent="0.25">
      <c r="A168" s="2" t="s">
        <v>87</v>
      </c>
      <c r="B168" s="5"/>
    </row>
    <row r="169" spans="1:2" s="10" customFormat="1" x14ac:dyDescent="0.25">
      <c r="A169" s="10" t="s">
        <v>51</v>
      </c>
      <c r="B169" s="21" t="e">
        <f>(AVERAGE(Finta,Passe,Primeiro_Toque,Tecnica,Compostura,Decisoes,Imprevisibilidade,Sem_Bola,Visao_de_Jogo,Aceleracao)*0.65)+(AVERAGE(Finalizacao,Antecipacao,Agilidade,Equilibrio)*0.35)</f>
        <v>#DIV/0!</v>
      </c>
    </row>
    <row r="170" spans="1:2" s="2" customFormat="1" x14ac:dyDescent="0.25">
      <c r="A170" s="2" t="s">
        <v>91</v>
      </c>
      <c r="B170" s="5"/>
    </row>
    <row r="171" spans="1:2" s="10" customFormat="1" x14ac:dyDescent="0.25">
      <c r="A171" s="10" t="s">
        <v>51</v>
      </c>
      <c r="B171" s="21" t="e">
        <f>(AVERAGE(Finalizacao,Finta,Primeiro_Toque,Tecnica,Compostura,Sem_Bola,Aceleracao)*0.65)+(AVERAGE(Passe,Antecipacao,Decisoes,Indice_de_Trabalho,Agilidade,Equilibrio,Resistencia,Velocidade)*0.35)</f>
        <v>#DIV/0!</v>
      </c>
    </row>
    <row r="172" spans="1:2" s="2" customFormat="1" x14ac:dyDescent="0.25">
      <c r="A172" s="2" t="s">
        <v>95</v>
      </c>
      <c r="B172" s="5"/>
    </row>
    <row r="173" spans="1:2" s="10" customFormat="1" x14ac:dyDescent="0.25">
      <c r="A173" s="10" t="s">
        <v>51</v>
      </c>
      <c r="B173" s="21" t="e">
        <f>(AVERAGE(Finalizacao,Antecipacao,Compostura,Sem_Bola)*0.65)+(AVERAGE(Cabeceamento,Primeiro_Toque,Tecnica,Decisoes,Aceleracao)*0.35)</f>
        <v>#DIV/0!</v>
      </c>
    </row>
  </sheetData>
  <conditionalFormatting sqref="B1:B1048576">
    <cfRule type="cellIs" dxfId="3" priority="3" operator="between">
      <formula>1</formula>
      <formula>9.9999999999</formula>
    </cfRule>
    <cfRule type="cellIs" dxfId="4" priority="2" operator="between">
      <formula>10</formula>
      <formula>15.99999999</formula>
    </cfRule>
    <cfRule type="cellIs" dxfId="5" priority="1" operator="between">
      <formula>16</formula>
      <formula>20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09A1-0641-4FF4-981C-44FE8A0BD727}">
  <dimension ref="A1:D54"/>
  <sheetViews>
    <sheetView workbookViewId="0"/>
  </sheetViews>
  <sheetFormatPr defaultRowHeight="15" x14ac:dyDescent="0.25"/>
  <cols>
    <col min="1" max="1" width="30.5703125" bestFit="1" customWidth="1"/>
    <col min="2" max="2" width="9.140625" style="17"/>
    <col min="3" max="3" width="16.42578125" style="26" customWidth="1"/>
    <col min="4" max="4" width="9.140625" style="6"/>
  </cols>
  <sheetData>
    <row r="1" spans="1:4" s="1" customFormat="1" x14ac:dyDescent="0.25">
      <c r="A1" s="1" t="s">
        <v>132</v>
      </c>
      <c r="B1" s="22"/>
      <c r="C1" s="23"/>
      <c r="D1" s="4"/>
    </row>
    <row r="2" spans="1:4" s="2" customFormat="1" x14ac:dyDescent="0.25">
      <c r="A2" s="2" t="s">
        <v>0</v>
      </c>
      <c r="B2" s="16" t="s">
        <v>134</v>
      </c>
      <c r="C2" s="16" t="s">
        <v>136</v>
      </c>
      <c r="D2" s="5" t="s">
        <v>135</v>
      </c>
    </row>
    <row r="3" spans="1:4" s="10" customFormat="1" x14ac:dyDescent="0.25">
      <c r="A3" s="10" t="s">
        <v>3</v>
      </c>
      <c r="B3" s="19">
        <f>(Cabeceamento*0.75)+(Antecipacao*0.03125)+(Bravura*0.03125)+(Decisoes*0.03125)+(Posicionamento*0.03125)+(Impulsao*0.03125)+(Forca*0.03125)+(Sem_Bola*0.03125)+(Agilidade*0.03125)</f>
        <v>0</v>
      </c>
      <c r="C3" s="19">
        <f>(Cabeceamento*0.75)+(Antecipacao*0.03125)+(Bravura*0.03125)+(Decisoes*0.03125)+(Posicionamento*0.03125)+(Impulsao*0.03125)+(Forca*0.03125)+(Sem_Bola*0.03125)+(Agilidade*0.03125)</f>
        <v>0</v>
      </c>
      <c r="D3" s="20">
        <f>B3-C3</f>
        <v>0</v>
      </c>
    </row>
    <row r="4" spans="1:4" s="10" customFormat="1" x14ac:dyDescent="0.25">
      <c r="A4" s="10" t="s">
        <v>98</v>
      </c>
      <c r="B4" s="19">
        <f>(Cantos*0.75)+(Cruzamentos*0.05)+(Tecnica*0.05)+(Compostura*0.05)+(Visao_de_Jogo*0.05)+(Decisoes*0.05)</f>
        <v>0</v>
      </c>
      <c r="C4" s="19">
        <f>(Cantos*0.75)+(Cruzamentos*0.05)+(Tecnica*0.05)+(Compostura*0.05)+(Visao_de_Jogo*0.05)+(Decisoes*0.05)</f>
        <v>0</v>
      </c>
      <c r="D4" s="20">
        <f t="shared" ref="D4:D16" si="0">B4-C4</f>
        <v>0</v>
      </c>
    </row>
    <row r="5" spans="1:4" s="10" customFormat="1" x14ac:dyDescent="0.25">
      <c r="A5" s="10" t="s">
        <v>4</v>
      </c>
      <c r="B5" s="19">
        <f>(Cruzamentos*0.75)+(Antecipacao*0.05)+(Tecnica*0.05)+(Compostura*0.05)+(Visao_de_Jogo*0.05)+(Decisoes*0.05)</f>
        <v>0</v>
      </c>
      <c r="C5" s="19">
        <f>(Cruzamentos*0.75)+(Antecipacao*0.05)+(Tecnica*0.05)+(Compostura*0.05)+(Visao_de_Jogo*0.05)+(Decisoes*0.05)</f>
        <v>0</v>
      </c>
      <c r="D5" s="20">
        <f t="shared" si="0"/>
        <v>0</v>
      </c>
    </row>
    <row r="6" spans="1:4" s="10" customFormat="1" x14ac:dyDescent="0.25">
      <c r="A6" s="10" t="s">
        <v>5</v>
      </c>
      <c r="B6" s="19">
        <f>(Desarme*0.75)+(Marcacao*0.0625)+(Agressividade*0.0625)+(Antecipacao*0.0625)+(Bravura*0.0625)</f>
        <v>0</v>
      </c>
      <c r="C6" s="19">
        <f>(Desarme*0.75)+(Marcacao*0.0625)+(Agressividade*0.0625)+(Antecipacao*0.0625)+(Bravura*0.0625)</f>
        <v>0</v>
      </c>
      <c r="D6" s="20">
        <f t="shared" si="0"/>
        <v>0</v>
      </c>
    </row>
    <row r="7" spans="1:4" s="10" customFormat="1" x14ac:dyDescent="0.25">
      <c r="A7" s="10" t="s">
        <v>6</v>
      </c>
      <c r="B7" s="19">
        <f>(Finalizacao*0.75)+(Tecnica*0.0625)+(Antecipacao*0.0625)+(Compostura*0.0625)+(Decisoes*0.0625)</f>
        <v>0</v>
      </c>
      <c r="C7" s="19">
        <f>(Finalizacao*0.75)+(Tecnica*0.0625)+(Antecipacao*0.0625)+(Compostura*0.0625)+(Decisoes*0.0625)</f>
        <v>0</v>
      </c>
      <c r="D7" s="20">
        <f t="shared" si="0"/>
        <v>0</v>
      </c>
    </row>
    <row r="8" spans="1:4" s="10" customFormat="1" x14ac:dyDescent="0.25">
      <c r="A8" s="10" t="s">
        <v>7</v>
      </c>
      <c r="B8" s="19">
        <f>(Finta*0.75)+(Tecnica*0.025)+(Antecipacao*0.025)+(Compostura*0.025)+(Visao_de_Jogo*0.025)+(Decisoes*0.025)+(Imprevisibilidade*0.025)+(Aceleracao*0.025)+(Agilidade*0.025)+(Equilibrio*0.025)+(Velocidade*0.025)</f>
        <v>0</v>
      </c>
      <c r="C8" s="19">
        <f>(Finta*0.75)+(Tecnica*0.025)+(Antecipacao*0.025)+(Compostura*0.025)+(Visao_de_Jogo*0.025)+(Decisoes*0.025)+(Imprevisibilidade*0.025)+(Aceleracao*0.025)+(Agilidade*0.025)+(Equilibrio*0.025)+(Velocidade*0.025)</f>
        <v>0</v>
      </c>
      <c r="D8" s="20">
        <f t="shared" si="0"/>
        <v>0</v>
      </c>
    </row>
    <row r="9" spans="1:4" s="10" customFormat="1" x14ac:dyDescent="0.25">
      <c r="A9" s="10" t="s">
        <v>8</v>
      </c>
      <c r="B9" s="19">
        <f>Lancamentos_Longos</f>
        <v>0</v>
      </c>
      <c r="C9" s="19">
        <f>Lancamentos_Longos</f>
        <v>0</v>
      </c>
      <c r="D9" s="20">
        <f t="shared" si="0"/>
        <v>0</v>
      </c>
    </row>
    <row r="10" spans="1:4" s="10" customFormat="1" x14ac:dyDescent="0.25">
      <c r="A10" s="10" t="s">
        <v>9</v>
      </c>
      <c r="B10" s="19">
        <f>Livres</f>
        <v>0</v>
      </c>
      <c r="C10" s="19">
        <f>Livres</f>
        <v>0</v>
      </c>
      <c r="D10" s="20">
        <f t="shared" si="0"/>
        <v>0</v>
      </c>
    </row>
    <row r="11" spans="1:4" s="10" customFormat="1" x14ac:dyDescent="0.25">
      <c r="A11" s="10" t="s">
        <v>10</v>
      </c>
      <c r="B11" s="19">
        <f>(Marcacao*0.75)+(Desarme*0.05)+(Antecipacao*0.05)+(Compostura*0.05)+(Concentracao*0.05)+(Posicionamento*0.05)</f>
        <v>0</v>
      </c>
      <c r="C11" s="19">
        <f>(Marcacao*0.75)+(Desarme*0.05)+(Antecipacao*0.05)+(Compostura*0.05)+(Concentracao*0.05)+(Posicionamento*0.05)</f>
        <v>0</v>
      </c>
      <c r="D11" s="20">
        <f t="shared" si="0"/>
        <v>0</v>
      </c>
    </row>
    <row r="12" spans="1:4" s="10" customFormat="1" x14ac:dyDescent="0.25">
      <c r="A12" s="10" t="s">
        <v>11</v>
      </c>
      <c r="B12" s="19">
        <f>(Penaltis*0.75)+(Finalizacao*0.0625)+(Compostura*0.0625)+(Concentracao*0.0625)+(Decisoes*0.0625)</f>
        <v>0</v>
      </c>
      <c r="C12" s="19">
        <f>(Penaltis*0.75)+(Finalizacao*0.0625)+(Compostura*0.0625)+(Concentracao*0.0625)+(Decisoes*0.0625)</f>
        <v>0</v>
      </c>
      <c r="D12" s="20">
        <f t="shared" si="0"/>
        <v>0</v>
      </c>
    </row>
    <row r="13" spans="1:4" s="10" customFormat="1" x14ac:dyDescent="0.25">
      <c r="A13" s="10" t="s">
        <v>12</v>
      </c>
      <c r="B13" s="19">
        <f>(Passe*0.75)+(Antecipacao*0.05)+(Tecnica*0.05)+(Visao_de_Jogo*0.05)+(Decisoes*0.05)+(Imprevisibilidade*0.05)</f>
        <v>0</v>
      </c>
      <c r="C13" s="19">
        <f>(Passe*0.75)+(Antecipacao*0.05)+(Tecnica*0.05)+(Visao_de_Jogo*0.05)+(Decisoes*0.05)+(Imprevisibilidade*0.05)</f>
        <v>0</v>
      </c>
      <c r="D13" s="20">
        <f t="shared" si="0"/>
        <v>0</v>
      </c>
    </row>
    <row r="14" spans="1:4" s="10" customFormat="1" x14ac:dyDescent="0.25">
      <c r="A14" s="10" t="s">
        <v>13</v>
      </c>
      <c r="B14" s="19">
        <f>(Primeiro_Toque*0.75)+(Tecnica*0.0625)+(Antecipacao*0.0625)+(Compostura*0.0625)+(Decisoes*0.0625)</f>
        <v>0</v>
      </c>
      <c r="C14" s="19">
        <f>(Primeiro_Toque*0.75)+(Tecnica*0.0625)+(Antecipacao*0.0625)+(Compostura*0.0625)+(Decisoes*0.0625)</f>
        <v>0</v>
      </c>
      <c r="D14" s="20">
        <f t="shared" si="0"/>
        <v>0</v>
      </c>
    </row>
    <row r="15" spans="1:4" s="10" customFormat="1" x14ac:dyDescent="0.25">
      <c r="A15" s="10" t="s">
        <v>14</v>
      </c>
      <c r="B15" s="19">
        <f>(Remates_de_Longe*0.75)+(Tecnica*0.0833)+(Decisoes*0.0833)+(Finalizacao*0.0834)</f>
        <v>0</v>
      </c>
      <c r="C15" s="19">
        <f>(Remates_de_Longe*0.75)+(Tecnica*0.0833)+(Decisoes*0.0833)+(Finalizacao*0.0834)</f>
        <v>0</v>
      </c>
      <c r="D15" s="20">
        <f t="shared" si="0"/>
        <v>0</v>
      </c>
    </row>
    <row r="16" spans="1:4" s="10" customFormat="1" x14ac:dyDescent="0.25">
      <c r="A16" s="10" t="s">
        <v>15</v>
      </c>
      <c r="B16" s="19">
        <f>Tecnica</f>
        <v>0</v>
      </c>
      <c r="C16" s="19">
        <f>Tecnica</f>
        <v>0</v>
      </c>
      <c r="D16" s="20">
        <f t="shared" si="0"/>
        <v>0</v>
      </c>
    </row>
    <row r="17" spans="1:4" s="2" customFormat="1" x14ac:dyDescent="0.25">
      <c r="A17" s="2" t="s">
        <v>1</v>
      </c>
      <c r="B17" s="16"/>
      <c r="C17" s="16"/>
      <c r="D17" s="5"/>
    </row>
    <row r="18" spans="1:4" s="10" customFormat="1" x14ac:dyDescent="0.25">
      <c r="A18" s="10" t="s">
        <v>16</v>
      </c>
      <c r="B18" s="19">
        <f>(Agressividade*0.75)+(Desarme*0.125)+(Decisoes*0.125)</f>
        <v>0</v>
      </c>
      <c r="C18" s="19">
        <f>(Agressividade*0.75)+(Desarme*0.125)+(Decisoes*0.125)</f>
        <v>0</v>
      </c>
      <c r="D18" s="20">
        <f>B18-C18</f>
        <v>0</v>
      </c>
    </row>
    <row r="19" spans="1:4" s="10" customFormat="1" x14ac:dyDescent="0.25">
      <c r="A19" s="10" t="s">
        <v>17</v>
      </c>
      <c r="B19" s="19">
        <f>(Antecipacao*0.75)+(Sem_Bola*0.0833)+(Posicionamento*0.0833)+(Agilidade*0.0834)</f>
        <v>0</v>
      </c>
      <c r="C19" s="19">
        <f>(Antecipacao*0.75)+(Sem_Bola*0.0833)+(Posicionamento*0.0833)+(Agilidade*0.0834)</f>
        <v>0</v>
      </c>
      <c r="D19" s="20">
        <f t="shared" ref="D19:D31" si="1">B19-C19</f>
        <v>0</v>
      </c>
    </row>
    <row r="20" spans="1:4" s="10" customFormat="1" x14ac:dyDescent="0.25">
      <c r="A20" s="10" t="s">
        <v>18</v>
      </c>
      <c r="B20" s="19">
        <f>Bravura</f>
        <v>0</v>
      </c>
      <c r="C20" s="19">
        <f>Bravura</f>
        <v>0</v>
      </c>
      <c r="D20" s="20">
        <f t="shared" si="1"/>
        <v>0</v>
      </c>
    </row>
    <row r="21" spans="1:4" s="10" customFormat="1" x14ac:dyDescent="0.25">
      <c r="A21" s="10" t="s">
        <v>19</v>
      </c>
      <c r="B21" s="19">
        <f>Compostura</f>
        <v>0</v>
      </c>
      <c r="C21" s="19">
        <f>Compostura</f>
        <v>0</v>
      </c>
      <c r="D21" s="20">
        <f t="shared" si="1"/>
        <v>0</v>
      </c>
    </row>
    <row r="22" spans="1:4" s="10" customFormat="1" x14ac:dyDescent="0.25">
      <c r="A22" s="10" t="s">
        <v>20</v>
      </c>
      <c r="B22" s="19">
        <f>Concentracao</f>
        <v>0</v>
      </c>
      <c r="C22" s="19">
        <f>Concentracao</f>
        <v>0</v>
      </c>
      <c r="D22" s="20">
        <f t="shared" si="1"/>
        <v>0</v>
      </c>
    </row>
    <row r="23" spans="1:4" s="10" customFormat="1" x14ac:dyDescent="0.25">
      <c r="A23" s="10" t="s">
        <v>21</v>
      </c>
      <c r="B23" s="19">
        <f>(Decisoes*0.75)+(Antecipacao*0.0625)+(Compostura*0.0625)+(Imprevisibilidade*0.0625)+(Visao_de_Jogo*0.0625)</f>
        <v>0</v>
      </c>
      <c r="C23" s="19">
        <f>(Decisoes*0.75)+(Antecipacao*0.0625)+(Compostura*0.0625)+(Imprevisibilidade*0.0625)+(Visao_de_Jogo*0.0625)</f>
        <v>0</v>
      </c>
      <c r="D23" s="20">
        <f t="shared" si="1"/>
        <v>0</v>
      </c>
    </row>
    <row r="24" spans="1:4" s="10" customFormat="1" x14ac:dyDescent="0.25">
      <c r="A24" s="10" t="s">
        <v>22</v>
      </c>
      <c r="B24" s="19">
        <f>(Determinacao*0.75)+(Agressividade*0.0833)+(Bravura*0.0833)+(Indice_de_Trabalho*0.0834)</f>
        <v>0</v>
      </c>
      <c r="C24" s="19">
        <f>(Determinacao*0.75)+(Agressividade*0.0833)+(Bravura*0.0833)+(Indice_de_Trabalho*0.0834)</f>
        <v>0</v>
      </c>
      <c r="D24" s="20">
        <f t="shared" si="1"/>
        <v>0</v>
      </c>
    </row>
    <row r="25" spans="1:4" s="10" customFormat="1" x14ac:dyDescent="0.25">
      <c r="A25" s="10" t="s">
        <v>23</v>
      </c>
      <c r="B25" s="19">
        <f>(Imprevisibilidade*0.75)+(Tecnica*0.05)+(Antecipacao*0.05)+(Compostura*0.05)+(Visao_de_Jogo*0.05)+(Decisoes*0.05)</f>
        <v>0</v>
      </c>
      <c r="C25" s="19">
        <f>(Imprevisibilidade*0.75)+(Tecnica*0.05)+(Antecipacao*0.05)+(Compostura*0.05)+(Visao_de_Jogo*0.05)+(Decisoes*0.05)</f>
        <v>0</v>
      </c>
      <c r="D25" s="20">
        <f t="shared" si="1"/>
        <v>0</v>
      </c>
    </row>
    <row r="26" spans="1:4" s="10" customFormat="1" x14ac:dyDescent="0.25">
      <c r="A26" s="10" t="s">
        <v>24</v>
      </c>
      <c r="B26" s="19">
        <f>(Indice_de_Trabalho*0.75)+(Determinacao*0.25)</f>
        <v>0</v>
      </c>
      <c r="C26" s="19">
        <f>(Indice_de_Trabalho*0.75)+(Determinacao*0.25)</f>
        <v>0</v>
      </c>
      <c r="D26" s="20">
        <f t="shared" si="1"/>
        <v>0</v>
      </c>
    </row>
    <row r="27" spans="1:4" s="10" customFormat="1" x14ac:dyDescent="0.25">
      <c r="A27" s="10" t="s">
        <v>25</v>
      </c>
      <c r="B27" s="19">
        <f>(Lideranca*0.75)+(Trabalho_de_Equipe*0.125)+(Determinacao*0.125)</f>
        <v>0</v>
      </c>
      <c r="C27" s="19">
        <f>(Lideranca*0.75)+(Trabalho_de_Equipe*0.125)+(Determinacao*0.125)</f>
        <v>0</v>
      </c>
      <c r="D27" s="20">
        <f t="shared" si="1"/>
        <v>0</v>
      </c>
    </row>
    <row r="28" spans="1:4" s="10" customFormat="1" x14ac:dyDescent="0.25">
      <c r="A28" s="10" t="s">
        <v>26</v>
      </c>
      <c r="B28" s="19">
        <f>(Posicionamento*0.75)+(Antecipacao*0.125)+(Decisoes*0.125)</f>
        <v>0</v>
      </c>
      <c r="C28" s="19">
        <f>(Posicionamento*0.75)+(Antecipacao*0.125)+(Decisoes*0.125)</f>
        <v>0</v>
      </c>
      <c r="D28" s="20">
        <f t="shared" si="1"/>
        <v>0</v>
      </c>
    </row>
    <row r="29" spans="1:4" s="10" customFormat="1" x14ac:dyDescent="0.25">
      <c r="A29" s="10" t="s">
        <v>27</v>
      </c>
      <c r="B29" s="19">
        <f>(Sem_Bola*0.75)+(Antecipacao*0.125)+(Decisoes*0.125)</f>
        <v>0</v>
      </c>
      <c r="C29" s="19">
        <f>(Sem_Bola*0.75)+(Antecipacao*0.125)+(Decisoes*0.125)</f>
        <v>0</v>
      </c>
      <c r="D29" s="20">
        <f t="shared" si="1"/>
        <v>0</v>
      </c>
    </row>
    <row r="30" spans="1:4" s="10" customFormat="1" x14ac:dyDescent="0.25">
      <c r="A30" s="10" t="s">
        <v>28</v>
      </c>
      <c r="B30" s="19">
        <f>(Trabalho_de_Equipe*0.75)+(Antecipacao*0.0625)+(Visao_de_Jogo*0.0625)+(Compostura*0.0625)+(Concentracao*0.0625)</f>
        <v>0</v>
      </c>
      <c r="C30" s="19">
        <f>(Trabalho_de_Equipe*0.75)+(Antecipacao*0.0625)+(Visao_de_Jogo*0.0625)+(Compostura*0.0625)+(Concentracao*0.0625)</f>
        <v>0</v>
      </c>
      <c r="D30" s="20">
        <f t="shared" si="1"/>
        <v>0</v>
      </c>
    </row>
    <row r="31" spans="1:4" s="10" customFormat="1" x14ac:dyDescent="0.25">
      <c r="A31" s="10" t="s">
        <v>29</v>
      </c>
      <c r="B31" s="19">
        <f>(Visao_de_Jogo*0.75)+(Tecnica*0.05)+(Antecipacao*0.05)+(Compostura*0.05)+(Decisoes*0.05)+(Imprevisibilidade*0.05)</f>
        <v>0</v>
      </c>
      <c r="C31" s="19">
        <f>(Visao_de_Jogo*0.75)+(Tecnica*0.05)+(Antecipacao*0.05)+(Compostura*0.05)+(Decisoes*0.05)+(Imprevisibilidade*0.05)</f>
        <v>0</v>
      </c>
      <c r="D31" s="20">
        <f t="shared" si="1"/>
        <v>0</v>
      </c>
    </row>
    <row r="32" spans="1:4" s="2" customFormat="1" x14ac:dyDescent="0.25">
      <c r="A32" s="2" t="s">
        <v>2</v>
      </c>
      <c r="B32" s="16"/>
      <c r="C32" s="16"/>
      <c r="D32" s="5"/>
    </row>
    <row r="33" spans="1:4" s="10" customFormat="1" x14ac:dyDescent="0.25">
      <c r="A33" s="10" t="s">
        <v>30</v>
      </c>
      <c r="B33" s="19">
        <f>(Aceleracao*0.75)+(Agilidade*0.0834)+(Equilibrio*0.0833)+(Velocidade*0.0833)</f>
        <v>0</v>
      </c>
      <c r="C33" s="19">
        <f>(Aceleracao*0.75)+(Agilidade*0.0834)+(Equilibrio*0.0833)+(Velocidade*0.0833)</f>
        <v>0</v>
      </c>
      <c r="D33" s="20">
        <f>B33-C33</f>
        <v>0</v>
      </c>
    </row>
    <row r="34" spans="1:4" s="10" customFormat="1" x14ac:dyDescent="0.25">
      <c r="A34" s="10" t="s">
        <v>37</v>
      </c>
      <c r="B34" s="19">
        <f>(Agilidade*0.75)+(Aceleracao*0.125)+(Equilibrio*0.125)</f>
        <v>0</v>
      </c>
      <c r="C34" s="19">
        <f>(Agilidade*0.75)+(Aceleracao*0.125)+(Equilibrio*0.125)</f>
        <v>0</v>
      </c>
      <c r="D34" s="20">
        <f t="shared" ref="D34:D40" si="2">B34-C34</f>
        <v>0</v>
      </c>
    </row>
    <row r="35" spans="1:4" s="10" customFormat="1" x14ac:dyDescent="0.25">
      <c r="A35" s="10" t="s">
        <v>36</v>
      </c>
      <c r="B35" s="19">
        <f>(Aptidao_Fisica*0.75)+(Resistencia*0.25)</f>
        <v>0</v>
      </c>
      <c r="C35" s="19">
        <f>(Aptidao_Fisica*0.75)+(Resistencia*0.25)</f>
        <v>0</v>
      </c>
      <c r="D35" s="20">
        <f t="shared" si="2"/>
        <v>0</v>
      </c>
    </row>
    <row r="36" spans="1:4" s="10" customFormat="1" x14ac:dyDescent="0.25">
      <c r="A36" s="10" t="s">
        <v>31</v>
      </c>
      <c r="B36" s="19">
        <f>(Equilibrio*0.75)+(Agilidade*0.125)+(Forca*0.125)</f>
        <v>0</v>
      </c>
      <c r="C36" s="19">
        <f>(Equilibrio*0.75)+(Agilidade*0.125)+(Forca*0.125)</f>
        <v>0</v>
      </c>
      <c r="D36" s="20">
        <f t="shared" si="2"/>
        <v>0</v>
      </c>
    </row>
    <row r="37" spans="1:4" s="10" customFormat="1" x14ac:dyDescent="0.25">
      <c r="A37" s="10" t="s">
        <v>32</v>
      </c>
      <c r="B37" s="19">
        <f>(Forca*0.75)+(Resistencia*0.125)+(Aptidao_Fisica*0.125)</f>
        <v>0</v>
      </c>
      <c r="C37" s="19">
        <f>(Forca*0.75)+(Resistencia*0.125)+(Aptidao_Fisica*0.125)</f>
        <v>0</v>
      </c>
      <c r="D37" s="20">
        <f t="shared" si="2"/>
        <v>0</v>
      </c>
    </row>
    <row r="38" spans="1:4" s="10" customFormat="1" x14ac:dyDescent="0.25">
      <c r="A38" s="10" t="s">
        <v>33</v>
      </c>
      <c r="B38" s="19">
        <f>(Impulsao*0.75)+(Cabeceamento*0.0834)+(Bravura*0.0833)+(Equilibrio*0.0833)</f>
        <v>0</v>
      </c>
      <c r="C38" s="19">
        <f>(Impulsao*0.75)+(Cabeceamento*0.0834)+(Bravura*0.0833)+(Equilibrio*0.0833)</f>
        <v>0</v>
      </c>
      <c r="D38" s="20">
        <f t="shared" si="2"/>
        <v>0</v>
      </c>
    </row>
    <row r="39" spans="1:4" s="10" customFormat="1" x14ac:dyDescent="0.25">
      <c r="A39" s="10" t="s">
        <v>34</v>
      </c>
      <c r="B39" s="19">
        <f>(Resistencia*0.75)+(Indice_de_Trabalho*0.125)+(Aptidao_Fisica*0.125)</f>
        <v>0</v>
      </c>
      <c r="C39" s="19">
        <f>(Resistencia*0.75)+(Indice_de_Trabalho*0.125)+(Aptidao_Fisica*0.125)</f>
        <v>0</v>
      </c>
      <c r="D39" s="20">
        <f t="shared" si="2"/>
        <v>0</v>
      </c>
    </row>
    <row r="40" spans="1:4" s="10" customFormat="1" x14ac:dyDescent="0.25">
      <c r="A40" s="10" t="s">
        <v>35</v>
      </c>
      <c r="B40" s="19">
        <f>(Velocidade*0.75)+(Aceleracao*0.0625)+(Agilidade*0.0625)+(Equilibrio*0.0625)+(Resistencia*0.0625)</f>
        <v>0</v>
      </c>
      <c r="C40" s="19">
        <f>(Velocidade*0.75)+(Aceleracao*0.0625)+(Agilidade*0.0625)+(Equilibrio*0.0625)+(Resistencia*0.0625)</f>
        <v>0</v>
      </c>
      <c r="D40" s="20">
        <f t="shared" si="2"/>
        <v>0</v>
      </c>
    </row>
    <row r="41" spans="1:4" s="2" customFormat="1" x14ac:dyDescent="0.25">
      <c r="A41" s="2" t="s">
        <v>49</v>
      </c>
      <c r="B41" s="16"/>
      <c r="C41" s="16"/>
      <c r="D41" s="5"/>
    </row>
    <row r="42" spans="1:4" s="10" customFormat="1" x14ac:dyDescent="0.25">
      <c r="A42" s="10" t="s">
        <v>38</v>
      </c>
      <c r="B42" s="19">
        <f>(Saidas_da_Baliza*0.75)+(Um_Para_Um*0.025)+(Reflexos*0.025)+(Antecipacao*0.025)+(Bravura*0.025)+(Decisoes*0.025)+(Aceleracao*0.025)+(Agilidade*0.025)+(Equilibrio*0.025)+(Velocidade*0.025)+(Compostura*0.025)</f>
        <v>0</v>
      </c>
      <c r="C42" s="19">
        <f>(Saidas_da_Baliza*0.75)+(Um_Para_Um*0.025)+(Reflexos*0.025)+(Antecipacao*0.025)+(Bravura*0.025)+(Decisoes*0.025)+(Aceleracao*0.025)+(Agilidade*0.025)+(Equilibrio*0.025)+(Velocidade*0.025)+(Compostura*0.025)</f>
        <v>0</v>
      </c>
      <c r="D42" s="20">
        <f>B42-C42</f>
        <v>0</v>
      </c>
    </row>
    <row r="43" spans="1:4" s="10" customFormat="1" x14ac:dyDescent="0.25">
      <c r="A43" s="10" t="s">
        <v>39</v>
      </c>
      <c r="B43" s="19">
        <f>Socar</f>
        <v>0</v>
      </c>
      <c r="C43" s="19">
        <f>Socar</f>
        <v>0</v>
      </c>
      <c r="D43" s="20">
        <f t="shared" ref="D43:D54" si="3">B43-C43</f>
        <v>0</v>
      </c>
    </row>
    <row r="44" spans="1:4" s="10" customFormat="1" x14ac:dyDescent="0.25">
      <c r="A44" s="10" t="s">
        <v>40</v>
      </c>
      <c r="B44" s="19">
        <f>(Alcance_Aereo*0.75)+(Jogo_de_Maos*0.05)+(Comando_de_Area*0.05)+(Bravura*0.05)+(Posicionamento*0.05)+(Impulsao*0.05)</f>
        <v>0</v>
      </c>
      <c r="C44" s="19">
        <f>(Alcance_Aereo*0.75)+(Jogo_de_Maos*0.05)+(Comando_de_Area*0.05)+(Bravura*0.05)+(Posicionamento*0.05)+(Impulsao*0.05)</f>
        <v>0</v>
      </c>
      <c r="D44" s="20">
        <f t="shared" si="3"/>
        <v>0</v>
      </c>
    </row>
    <row r="45" spans="1:4" s="10" customFormat="1" x14ac:dyDescent="0.25">
      <c r="A45" s="10" t="s">
        <v>41</v>
      </c>
      <c r="B45" s="19">
        <f>(Comando_de_Area*0.75)+(Alcance_Aereo*0.025)+(Jogo_de_Maos*0.025)+(Antecipacao*0.025)+(Bravura*0.025)+(Concentracao*0.025)+(Decisoes*0.025)+(Posicionamento*0.025)+(Agilidade*0.025)+(Equilibrio*0.025)+(Forca*0.025)</f>
        <v>0</v>
      </c>
      <c r="C45" s="19">
        <f>(Comando_de_Area*0.75)+(Alcance_Aereo*0.025)+(Jogo_de_Maos*0.025)+(Antecipacao*0.025)+(Bravura*0.025)+(Concentracao*0.025)+(Decisoes*0.025)+(Posicionamento*0.025)+(Agilidade*0.025)+(Equilibrio*0.025)+(Forca*0.025)</f>
        <v>0</v>
      </c>
      <c r="D45" s="20">
        <f t="shared" si="3"/>
        <v>0</v>
      </c>
    </row>
    <row r="46" spans="1:4" s="10" customFormat="1" x14ac:dyDescent="0.25">
      <c r="A46" s="10" t="s">
        <v>42</v>
      </c>
      <c r="B46" s="19">
        <f>Comunicacao</f>
        <v>0</v>
      </c>
      <c r="C46" s="19">
        <f>Comunicacao</f>
        <v>0</v>
      </c>
      <c r="D46" s="20">
        <f t="shared" si="3"/>
        <v>0</v>
      </c>
    </row>
    <row r="47" spans="1:4" s="10" customFormat="1" x14ac:dyDescent="0.25">
      <c r="A47" s="10" t="s">
        <v>43</v>
      </c>
      <c r="B47" s="19">
        <f>Excentricidade</f>
        <v>0</v>
      </c>
      <c r="C47" s="19">
        <f>Excentricidade</f>
        <v>0</v>
      </c>
      <c r="D47" s="20">
        <f t="shared" si="3"/>
        <v>0</v>
      </c>
    </row>
    <row r="48" spans="1:4" s="10" customFormat="1" x14ac:dyDescent="0.25">
      <c r="A48" s="10" t="s">
        <v>44</v>
      </c>
      <c r="B48" s="19">
        <f>Jogo_de_Maos</f>
        <v>0</v>
      </c>
      <c r="C48" s="19">
        <f>Jogo_de_Maos</f>
        <v>0</v>
      </c>
      <c r="D48" s="20">
        <f t="shared" si="3"/>
        <v>0</v>
      </c>
    </row>
    <row r="49" spans="1:4" s="10" customFormat="1" x14ac:dyDescent="0.25">
      <c r="A49" s="10" t="s">
        <v>45</v>
      </c>
      <c r="B49" s="19">
        <f>(Lancamento*0.75)+(Decisoes*0.125)+(Forca*0.125)</f>
        <v>0</v>
      </c>
      <c r="C49" s="19">
        <f>(Lancamento*0.75)+(Decisoes*0.125)+(Forca*0.125)</f>
        <v>0</v>
      </c>
      <c r="D49" s="20">
        <f t="shared" si="3"/>
        <v>0</v>
      </c>
    </row>
    <row r="50" spans="1:4" s="10" customFormat="1" x14ac:dyDescent="0.25">
      <c r="A50" s="10" t="s">
        <v>12</v>
      </c>
      <c r="B50" s="19">
        <f>(Passe_Goleiro*0.75)+(Antecipacao*0.05)+(Compostura*0.05)+(Visao_de_Jogo*0.05)+(Decisoes*0.05)+(Imprevisibilidade*0.05)</f>
        <v>0</v>
      </c>
      <c r="C50" s="19">
        <f>(Passe_Goleiro*0.75)+(Antecipacao*0.05)+(Compostura*0.05)+(Visao_de_Jogo*0.05)+(Decisoes*0.05)+(Imprevisibilidade*0.05)</f>
        <v>0</v>
      </c>
      <c r="D50" s="20">
        <f t="shared" si="3"/>
        <v>0</v>
      </c>
    </row>
    <row r="51" spans="1:4" s="10" customFormat="1" x14ac:dyDescent="0.25">
      <c r="A51" s="10" t="s">
        <v>46</v>
      </c>
      <c r="B51" s="19">
        <f>(Lancamento*0.75)+(Visao_de_Jogo*0.0833)+(Decisoes*0.0833)+(Passe_Goleiro*0.0834)</f>
        <v>0</v>
      </c>
      <c r="C51" s="19">
        <f>(Lancamento*0.75)+(Visao_de_Jogo*0.0833)+(Decisoes*0.0833)+(Passe_Goleiro*0.0834)</f>
        <v>0</v>
      </c>
      <c r="D51" s="20">
        <f t="shared" si="3"/>
        <v>0</v>
      </c>
    </row>
    <row r="52" spans="1:4" s="10" customFormat="1" x14ac:dyDescent="0.25">
      <c r="A52" s="10" t="s">
        <v>13</v>
      </c>
      <c r="B52" s="19">
        <f>(Primeiro_Toque_Goleiro*0.75)+(Decisoes*0.0834)+(Antecipacao*0.0833)+(Compostura*0.0833)</f>
        <v>0</v>
      </c>
      <c r="C52" s="19">
        <f>(Primeiro_Toque_Goleiro*0.75)+(Decisoes*0.0834)+(Antecipacao*0.0833)+(Compostura*0.0833)</f>
        <v>0</v>
      </c>
      <c r="D52" s="20">
        <f t="shared" si="3"/>
        <v>0</v>
      </c>
    </row>
    <row r="53" spans="1:4" s="10" customFormat="1" x14ac:dyDescent="0.25">
      <c r="A53" s="10" t="s">
        <v>47</v>
      </c>
      <c r="B53" s="19">
        <f>(Reflexos*0.75)+(Antecipacao*0.0833)+(Agilidade*0.0834)+(Compostura*0.0833)</f>
        <v>0</v>
      </c>
      <c r="C53" s="19">
        <f>(Reflexos*0.75)+(Antecipacao*0.0833)+(Agilidade*0.0834)+(Compostura*0.0833)</f>
        <v>0</v>
      </c>
      <c r="D53" s="20">
        <f t="shared" si="3"/>
        <v>0</v>
      </c>
    </row>
    <row r="54" spans="1:4" s="10" customFormat="1" x14ac:dyDescent="0.25">
      <c r="A54" s="10" t="s">
        <v>48</v>
      </c>
      <c r="B54" s="19">
        <f>(Um_Para_Um*0.75)+(Reflexos*0.025)+(Saidas_da_Baliza*0.025)+(Antecipacao*0.025)+(Bravura*0.025)+(Decisoes*0.025)+(Aceleracao*0.025)+(Agilidade*0.025)+(Equilibrio*0.025)+(Velocidade*0.025)+(Compostura*0.025)</f>
        <v>0</v>
      </c>
      <c r="C54" s="19">
        <f>(Um_Para_Um*0.75)+(Reflexos*0.025)+(Saidas_da_Baliza*0.025)+(Antecipacao*0.025)+(Bravura*0.025)+(Decisoes*0.025)+(Aceleracao*0.025)+(Agilidade*0.025)+(Equilibrio*0.025)+(Velocidade*0.025)+(Compostura*0.025)</f>
        <v>0</v>
      </c>
      <c r="D54" s="20">
        <f t="shared" si="3"/>
        <v>0</v>
      </c>
    </row>
  </sheetData>
  <conditionalFormatting sqref="C2">
    <cfRule type="cellIs" dxfId="13" priority="6" operator="between">
      <formula>16</formula>
      <formula>20</formula>
    </cfRule>
    <cfRule type="cellIs" dxfId="12" priority="7" operator="between">
      <formula>10</formula>
      <formula>15.999999999</formula>
    </cfRule>
    <cfRule type="cellIs" dxfId="11" priority="8" operator="between">
      <formula>1</formula>
      <formula>9.9999999</formula>
    </cfRule>
  </conditionalFormatting>
  <conditionalFormatting sqref="D3:D16 D18:D31 D33:D40 D42:D54">
    <cfRule type="cellIs" dxfId="10" priority="4" operator="lessThan">
      <formula>0</formula>
    </cfRule>
    <cfRule type="cellIs" dxfId="9" priority="5" operator="greaterThan">
      <formula>0</formula>
    </cfRule>
  </conditionalFormatting>
  <conditionalFormatting sqref="C3:C54">
    <cfRule type="cellIs" dxfId="8" priority="1" operator="between">
      <formula>16</formula>
      <formula>20</formula>
    </cfRule>
    <cfRule type="cellIs" dxfId="7" priority="2" operator="between">
      <formula>10</formula>
      <formula>15.999999999</formula>
    </cfRule>
    <cfRule type="cellIs" dxfId="6" priority="3" operator="between">
      <formula>1</formula>
      <formula>9.9999999</formula>
    </cfRule>
  </conditionalFormatting>
  <dataValidations count="2">
    <dataValidation type="whole" allowBlank="1" showInputMessage="1" showErrorMessage="1" errorTitle="Valor incorreto" error="Atributo deve ser entre 1 e 20" sqref="B3:B41" xr:uid="{C06CCC7E-F461-4E59-BDB8-F914E18AC21A}">
      <formula1>1</formula1>
      <formula2>20</formula2>
    </dataValidation>
    <dataValidation type="decimal" allowBlank="1" showInputMessage="1" showErrorMessage="1" errorTitle="Valor incorreto" error="Atributo deve ser entre 1 e 20" sqref="C3:C54" xr:uid="{725506A3-5B33-4503-8B96-E3C50AEFD58E}">
      <formula1>1</formula1>
      <formula2>20</formula2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49</vt:i4>
      </vt:variant>
    </vt:vector>
  </HeadingPairs>
  <TitlesOfParts>
    <vt:vector size="56" baseType="lpstr">
      <vt:lpstr>COMECE AQUI!</vt:lpstr>
      <vt:lpstr>Atributos</vt:lpstr>
      <vt:lpstr>Atributos Combinados</vt:lpstr>
      <vt:lpstr>Bolas Paradas</vt:lpstr>
      <vt:lpstr>Características (radar)</vt:lpstr>
      <vt:lpstr>Posições e Funções</vt:lpstr>
      <vt:lpstr>Comparação</vt:lpstr>
      <vt:lpstr>Aceleracao</vt:lpstr>
      <vt:lpstr>Agilidade</vt:lpstr>
      <vt:lpstr>Agressividade</vt:lpstr>
      <vt:lpstr>Alcance_Aereo</vt:lpstr>
      <vt:lpstr>Antecipacao</vt:lpstr>
      <vt:lpstr>Aptidao_Fisica</vt:lpstr>
      <vt:lpstr>Bravura</vt:lpstr>
      <vt:lpstr>Cabeceamento</vt:lpstr>
      <vt:lpstr>Cantos</vt:lpstr>
      <vt:lpstr>Comando_de_Area</vt:lpstr>
      <vt:lpstr>Compostura</vt:lpstr>
      <vt:lpstr>Comunicacao</vt:lpstr>
      <vt:lpstr>Concentracao</vt:lpstr>
      <vt:lpstr>Cruzamentos</vt:lpstr>
      <vt:lpstr>Decisoes</vt:lpstr>
      <vt:lpstr>Desarme</vt:lpstr>
      <vt:lpstr>Determinacao</vt:lpstr>
      <vt:lpstr>Equilibrio</vt:lpstr>
      <vt:lpstr>Excentricidade</vt:lpstr>
      <vt:lpstr>Finalizacao</vt:lpstr>
      <vt:lpstr>Finta</vt:lpstr>
      <vt:lpstr>Forca</vt:lpstr>
      <vt:lpstr>Imprevisibilidade</vt:lpstr>
      <vt:lpstr>Impulsao</vt:lpstr>
      <vt:lpstr>Indice_de_Trabalho</vt:lpstr>
      <vt:lpstr>Jogo_de_Maos</vt:lpstr>
      <vt:lpstr>Lancamento</vt:lpstr>
      <vt:lpstr>Lancamentos_Longos</vt:lpstr>
      <vt:lpstr>Lideranca</vt:lpstr>
      <vt:lpstr>Livres</vt:lpstr>
      <vt:lpstr>Marcacao</vt:lpstr>
      <vt:lpstr>Passe</vt:lpstr>
      <vt:lpstr>Passe_Goleiro</vt:lpstr>
      <vt:lpstr>Penaltis</vt:lpstr>
      <vt:lpstr>Pontape</vt:lpstr>
      <vt:lpstr>Posicionamento</vt:lpstr>
      <vt:lpstr>Primeiro_Toque</vt:lpstr>
      <vt:lpstr>Primeiro_Toque_Goleiro</vt:lpstr>
      <vt:lpstr>Reflexos</vt:lpstr>
      <vt:lpstr>Remates_de_Longe</vt:lpstr>
      <vt:lpstr>Resistencia</vt:lpstr>
      <vt:lpstr>Saidas_da_Baliza</vt:lpstr>
      <vt:lpstr>Sem_Bola</vt:lpstr>
      <vt:lpstr>Socar</vt:lpstr>
      <vt:lpstr>Tecnica</vt:lpstr>
      <vt:lpstr>Trabalho_de_Equipe</vt:lpstr>
      <vt:lpstr>Um_Para_Um</vt:lpstr>
      <vt:lpstr>Velocidade</vt:lpstr>
      <vt:lpstr>Visao_de_Jogo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Alexssander Liesenfeld</dc:creator>
  <cp:lastModifiedBy>Alexssander Liesenfeld</cp:lastModifiedBy>
  <dcterms:created xsi:type="dcterms:W3CDTF">2015-06-05T18:19:34Z</dcterms:created>
  <dcterms:modified xsi:type="dcterms:W3CDTF">2023-01-06T01:49:05Z</dcterms:modified>
</cp:coreProperties>
</file>