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  Ideas\"/>
    </mc:Choice>
  </mc:AlternateContent>
  <bookViews>
    <workbookView xWindow="0" yWindow="0" windowWidth="21570" windowHeight="14745" firstSheet="1" activeTab="1"/>
  </bookViews>
  <sheets>
    <sheet name="Helper (2)" sheetId="5" state="hidden" r:id="rId1"/>
    <sheet name="Unit Economics" sheetId="1" r:id="rId2"/>
    <sheet name="Assumptions" sheetId="3" r:id="rId3"/>
    <sheet name="Year 0" sheetId="10" r:id="rId4"/>
    <sheet name="Financial Projections" sheetId="2" r:id="rId5"/>
    <sheet name="Helper" sheetId="4" r:id="rId6"/>
  </sheets>
  <definedNames>
    <definedName name="_xlnm._FilterDatabase" localSheetId="2" hidden="1">Assumptions!$A$1:$D$7</definedName>
    <definedName name="_xlnm._FilterDatabase" localSheetId="5" hidden="1">Helper!$AA$1:$AB$360</definedName>
    <definedName name="_xlnm._FilterDatabase" localSheetId="0" hidden="1">'Helper (2)'!$AA$1:$AB$360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1" i="4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3" i="2"/>
  <c r="Q2" i="2"/>
  <c r="C51" i="3"/>
  <c r="I4" i="10"/>
  <c r="I5" i="10"/>
  <c r="I6" i="10" s="1"/>
  <c r="I7" i="10" s="1"/>
  <c r="I8" i="10" s="1"/>
  <c r="I9" i="10" s="1"/>
  <c r="I10" i="10" s="1"/>
  <c r="I11" i="10" s="1"/>
  <c r="I12" i="10" s="1"/>
  <c r="I13" i="10" s="1"/>
  <c r="I3" i="10"/>
  <c r="I2" i="10"/>
  <c r="H3" i="10"/>
  <c r="H4" i="10"/>
  <c r="H5" i="10"/>
  <c r="H6" i="10"/>
  <c r="H7" i="10"/>
  <c r="H8" i="10"/>
  <c r="H9" i="10"/>
  <c r="H10" i="10"/>
  <c r="H11" i="10"/>
  <c r="H12" i="10"/>
  <c r="H13" i="10"/>
  <c r="H2" i="10"/>
  <c r="F3" i="10"/>
  <c r="F4" i="10"/>
  <c r="F5" i="10"/>
  <c r="F6" i="10"/>
  <c r="F7" i="10"/>
  <c r="F8" i="10"/>
  <c r="F9" i="10"/>
  <c r="F10" i="10"/>
  <c r="F11" i="10"/>
  <c r="F12" i="10"/>
  <c r="F13" i="10"/>
  <c r="F2" i="10"/>
  <c r="E3" i="10"/>
  <c r="E4" i="10"/>
  <c r="E5" i="10"/>
  <c r="E6" i="10"/>
  <c r="E7" i="10"/>
  <c r="E8" i="10"/>
  <c r="E9" i="10"/>
  <c r="E10" i="10"/>
  <c r="E11" i="10"/>
  <c r="E12" i="10"/>
  <c r="E13" i="10"/>
  <c r="E2" i="10"/>
  <c r="D3" i="10"/>
  <c r="D4" i="10"/>
  <c r="D5" i="10"/>
  <c r="D6" i="10"/>
  <c r="D7" i="10"/>
  <c r="D8" i="10"/>
  <c r="D9" i="10"/>
  <c r="D10" i="10"/>
  <c r="D11" i="10"/>
  <c r="D12" i="10"/>
  <c r="D13" i="10"/>
  <c r="D2" i="10"/>
  <c r="C3" i="10"/>
  <c r="C4" i="10"/>
  <c r="C5" i="10"/>
  <c r="C6" i="10"/>
  <c r="C7" i="10"/>
  <c r="C8" i="10"/>
  <c r="C9" i="10"/>
  <c r="C10" i="10"/>
  <c r="C11" i="10"/>
  <c r="C12" i="10"/>
  <c r="C13" i="10"/>
  <c r="C2" i="10"/>
  <c r="B3" i="10"/>
  <c r="B4" i="10"/>
  <c r="B5" i="10"/>
  <c r="B6" i="10"/>
  <c r="B7" i="10"/>
  <c r="B8" i="10"/>
  <c r="B9" i="10"/>
  <c r="B10" i="10"/>
  <c r="B11" i="10"/>
  <c r="B12" i="10"/>
  <c r="B13" i="10"/>
  <c r="B2" i="10"/>
  <c r="C50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" i="2"/>
  <c r="O15" i="2"/>
  <c r="O16" i="2"/>
  <c r="O18" i="2"/>
  <c r="O19" i="2"/>
  <c r="O21" i="2"/>
  <c r="O22" i="2"/>
  <c r="O24" i="2"/>
  <c r="O25" i="2"/>
  <c r="O27" i="2"/>
  <c r="O28" i="2"/>
  <c r="O30" i="2"/>
  <c r="O31" i="2"/>
  <c r="O33" i="2"/>
  <c r="O34" i="2"/>
  <c r="O36" i="2"/>
  <c r="O37" i="2"/>
  <c r="O39" i="2"/>
  <c r="O40" i="2"/>
  <c r="O42" i="2"/>
  <c r="O43" i="2"/>
  <c r="O45" i="2"/>
  <c r="O46" i="2"/>
  <c r="O48" i="2"/>
  <c r="O49" i="2"/>
  <c r="O51" i="2"/>
  <c r="O52" i="2"/>
  <c r="O53" i="2"/>
  <c r="O54" i="2"/>
  <c r="O56" i="2"/>
  <c r="O57" i="2"/>
  <c r="O58" i="2"/>
  <c r="O59" i="2"/>
  <c r="O61" i="2"/>
  <c r="O62" i="2"/>
  <c r="O63" i="2"/>
  <c r="O64" i="2"/>
  <c r="O66" i="2"/>
  <c r="O67" i="2"/>
  <c r="O68" i="2"/>
  <c r="O69" i="2"/>
  <c r="O71" i="2"/>
  <c r="O72" i="2"/>
  <c r="O73" i="2"/>
  <c r="O74" i="2"/>
  <c r="O76" i="2"/>
  <c r="O77" i="2"/>
  <c r="O78" i="2"/>
  <c r="O79" i="2"/>
  <c r="O81" i="2"/>
  <c r="O82" i="2"/>
  <c r="O83" i="2"/>
  <c r="O84" i="2"/>
  <c r="O86" i="2"/>
  <c r="O87" i="2"/>
  <c r="O88" i="2"/>
  <c r="O89" i="2"/>
  <c r="O91" i="2"/>
  <c r="O92" i="2"/>
  <c r="O93" i="2"/>
  <c r="O94" i="2"/>
  <c r="O96" i="2"/>
  <c r="O97" i="2"/>
  <c r="O98" i="2"/>
  <c r="O99" i="2"/>
  <c r="O101" i="2"/>
  <c r="O102" i="2"/>
  <c r="O103" i="2"/>
  <c r="O104" i="2"/>
  <c r="O106" i="2"/>
  <c r="O107" i="2"/>
  <c r="O108" i="2"/>
  <c r="O109" i="2"/>
  <c r="O111" i="2"/>
  <c r="O112" i="2"/>
  <c r="O113" i="2"/>
  <c r="O114" i="2"/>
  <c r="O116" i="2"/>
  <c r="O117" i="2"/>
  <c r="O118" i="2"/>
  <c r="O119" i="2"/>
  <c r="O121" i="2"/>
  <c r="O122" i="2"/>
  <c r="O123" i="2"/>
  <c r="O124" i="2"/>
  <c r="O126" i="2"/>
  <c r="O127" i="2"/>
  <c r="O128" i="2"/>
  <c r="O129" i="2"/>
  <c r="O131" i="2"/>
  <c r="O132" i="2"/>
  <c r="O133" i="2"/>
  <c r="O134" i="2"/>
  <c r="O136" i="2"/>
  <c r="O137" i="2"/>
  <c r="O138" i="2"/>
  <c r="O139" i="2"/>
  <c r="O141" i="2"/>
  <c r="O142" i="2"/>
  <c r="O143" i="2"/>
  <c r="O144" i="2"/>
  <c r="O146" i="2"/>
  <c r="O147" i="2"/>
  <c r="O148" i="2"/>
  <c r="O149" i="2"/>
  <c r="O151" i="2"/>
  <c r="O152" i="2"/>
  <c r="O153" i="2"/>
  <c r="O154" i="2"/>
  <c r="O156" i="2"/>
  <c r="O157" i="2"/>
  <c r="O158" i="2"/>
  <c r="O159" i="2"/>
  <c r="O161" i="2"/>
  <c r="O162" i="2"/>
  <c r="O163" i="2"/>
  <c r="O164" i="2"/>
  <c r="O166" i="2"/>
  <c r="O167" i="2"/>
  <c r="O168" i="2"/>
  <c r="O169" i="2"/>
  <c r="O171" i="2"/>
  <c r="O172" i="2"/>
  <c r="O173" i="2"/>
  <c r="O174" i="2"/>
  <c r="O176" i="2"/>
  <c r="O177" i="2"/>
  <c r="O178" i="2"/>
  <c r="O179" i="2"/>
  <c r="O181" i="2"/>
  <c r="O182" i="2"/>
  <c r="O183" i="2"/>
  <c r="O184" i="2"/>
  <c r="O186" i="2"/>
  <c r="O187" i="2"/>
  <c r="O188" i="2"/>
  <c r="O189" i="2"/>
  <c r="O191" i="2"/>
  <c r="O192" i="2"/>
  <c r="O193" i="2"/>
  <c r="O194" i="2"/>
  <c r="O196" i="2"/>
  <c r="O197" i="2"/>
  <c r="O198" i="2"/>
  <c r="O199" i="2"/>
  <c r="O201" i="2"/>
  <c r="O202" i="2"/>
  <c r="O203" i="2"/>
  <c r="O204" i="2"/>
  <c r="O206" i="2"/>
  <c r="O207" i="2"/>
  <c r="O208" i="2"/>
  <c r="O209" i="2"/>
  <c r="O211" i="2"/>
  <c r="O212" i="2"/>
  <c r="O213" i="2"/>
  <c r="O214" i="2"/>
  <c r="O216" i="2"/>
  <c r="O217" i="2"/>
  <c r="O218" i="2"/>
  <c r="O219" i="2"/>
  <c r="O221" i="2"/>
  <c r="O222" i="2"/>
  <c r="O223" i="2"/>
  <c r="O224" i="2"/>
  <c r="O226" i="2"/>
  <c r="O227" i="2"/>
  <c r="O228" i="2"/>
  <c r="O229" i="2"/>
  <c r="C34" i="3"/>
  <c r="C30" i="3" l="1"/>
  <c r="C33" i="1"/>
  <c r="F26" i="1"/>
  <c r="F25" i="1"/>
  <c r="F24" i="1"/>
  <c r="C26" i="3"/>
  <c r="C25" i="3"/>
  <c r="C21" i="3"/>
  <c r="G15" i="2" l="1" a="1"/>
  <c r="G15" i="2" s="1"/>
  <c r="D14" i="2"/>
  <c r="D15" i="2"/>
  <c r="D18" i="2"/>
  <c r="D50" i="2"/>
  <c r="G50" i="2" s="1" a="1"/>
  <c r="G50" i="2" s="1"/>
  <c r="D51" i="2"/>
  <c r="G51" i="2" s="1" a="1"/>
  <c r="G51" i="2" s="1"/>
  <c r="D2" i="2"/>
  <c r="F15" i="2" a="1"/>
  <c r="F15" i="2" s="1"/>
  <c r="F51" i="2" a="1"/>
  <c r="F51" i="2" s="1"/>
  <c r="C12" i="3"/>
  <c r="AB360" i="5" a="1"/>
  <c r="AB360" i="5" s="1"/>
  <c r="AB359" i="5" a="1"/>
  <c r="AB359" i="5" s="1"/>
  <c r="AB358" i="5" a="1"/>
  <c r="AB358" i="5" s="1"/>
  <c r="AB357" i="5" a="1"/>
  <c r="AB357" i="5" s="1"/>
  <c r="AB356" i="5" a="1"/>
  <c r="AB356" i="5" s="1"/>
  <c r="AB355" i="5" a="1"/>
  <c r="AB355" i="5" s="1"/>
  <c r="AB354" i="5" a="1"/>
  <c r="AB354" i="5" s="1"/>
  <c r="AB353" i="5" a="1"/>
  <c r="AB353" i="5" s="1"/>
  <c r="AB352" i="5" a="1"/>
  <c r="AB352" i="5" s="1"/>
  <c r="AB351" i="5" a="1"/>
  <c r="AB351" i="5" s="1"/>
  <c r="AB350" i="5" a="1"/>
  <c r="AB350" i="5" s="1"/>
  <c r="AB349" i="5" a="1"/>
  <c r="AB349" i="5" s="1"/>
  <c r="AB348" i="5" a="1"/>
  <c r="AB348" i="5" s="1"/>
  <c r="AB347" i="5" a="1"/>
  <c r="AB347" i="5" s="1"/>
  <c r="AB346" i="5" a="1"/>
  <c r="AB346" i="5" s="1"/>
  <c r="AB345" i="5" a="1"/>
  <c r="AB345" i="5" s="1"/>
  <c r="AB344" i="5" a="1"/>
  <c r="AB344" i="5" s="1"/>
  <c r="AB343" i="5" a="1"/>
  <c r="AB343" i="5" s="1"/>
  <c r="AB342" i="5" a="1"/>
  <c r="AB342" i="5" s="1"/>
  <c r="AB341" i="5"/>
  <c r="AB341" i="5" a="1"/>
  <c r="AB340" i="5" a="1"/>
  <c r="AB340" i="5" s="1"/>
  <c r="AB339" i="5" a="1"/>
  <c r="AB339" i="5" s="1"/>
  <c r="AB338" i="5" a="1"/>
  <c r="AB338" i="5" s="1"/>
  <c r="AB337" i="5" a="1"/>
  <c r="AB337" i="5" s="1"/>
  <c r="AB336" i="5" a="1"/>
  <c r="AB336" i="5" s="1"/>
  <c r="AB335" i="5" a="1"/>
  <c r="AB335" i="5" s="1"/>
  <c r="AB334" i="5" a="1"/>
  <c r="AB334" i="5" s="1"/>
  <c r="AB333" i="5" a="1"/>
  <c r="AB333" i="5" s="1"/>
  <c r="AB332" i="5" a="1"/>
  <c r="AB332" i="5" s="1"/>
  <c r="AB331" i="5" a="1"/>
  <c r="AB331" i="5" s="1"/>
  <c r="AB330" i="5" a="1"/>
  <c r="AB330" i="5" s="1"/>
  <c r="AB329" i="5" a="1"/>
  <c r="AB329" i="5" s="1"/>
  <c r="AB328" i="5" a="1"/>
  <c r="AB328" i="5" s="1"/>
  <c r="AB327" i="5" a="1"/>
  <c r="AB327" i="5" s="1"/>
  <c r="AB326" i="5" a="1"/>
  <c r="AB326" i="5" s="1"/>
  <c r="AB325" i="5" a="1"/>
  <c r="AB325" i="5" s="1"/>
  <c r="AB324" i="5" a="1"/>
  <c r="AB324" i="5" s="1"/>
  <c r="AB323" i="5" a="1"/>
  <c r="AB323" i="5" s="1"/>
  <c r="AB322" i="5" a="1"/>
  <c r="AB322" i="5" s="1"/>
  <c r="AB321" i="5" a="1"/>
  <c r="AB321" i="5" s="1"/>
  <c r="AB320" i="5" a="1"/>
  <c r="AB320" i="5" s="1"/>
  <c r="AB319" i="5" a="1"/>
  <c r="AB319" i="5" s="1"/>
  <c r="AB318" i="5" a="1"/>
  <c r="AB318" i="5" s="1"/>
  <c r="AB317" i="5" a="1"/>
  <c r="AB317" i="5" s="1"/>
  <c r="AB316" i="5" a="1"/>
  <c r="AB316" i="5" s="1"/>
  <c r="AB315" i="5" a="1"/>
  <c r="AB315" i="5" s="1"/>
  <c r="AB314" i="5" a="1"/>
  <c r="AB314" i="5" s="1"/>
  <c r="AB313" i="5"/>
  <c r="AB313" i="5" a="1"/>
  <c r="AB312" i="5" a="1"/>
  <c r="AB312" i="5" s="1"/>
  <c r="AB311" i="5" a="1"/>
  <c r="AB311" i="5" s="1"/>
  <c r="AB310" i="5" a="1"/>
  <c r="AB310" i="5" s="1"/>
  <c r="AB309" i="5"/>
  <c r="AB309" i="5" a="1"/>
  <c r="AB308" i="5" a="1"/>
  <c r="AB308" i="5" s="1"/>
  <c r="AB307" i="5" a="1"/>
  <c r="AB307" i="5" s="1"/>
  <c r="AB306" i="5" a="1"/>
  <c r="AB306" i="5" s="1"/>
  <c r="AB305" i="5" a="1"/>
  <c r="AB305" i="5" s="1"/>
  <c r="AB304" i="5" a="1"/>
  <c r="AB304" i="5" s="1"/>
  <c r="AB303" i="5" a="1"/>
  <c r="AB303" i="5" s="1"/>
  <c r="AB302" i="5" a="1"/>
  <c r="AB302" i="5" s="1"/>
  <c r="AA300" i="5" a="1"/>
  <c r="AA300" i="5" s="1"/>
  <c r="AA299" i="5" a="1"/>
  <c r="AA299" i="5" s="1"/>
  <c r="AA298" i="5" a="1"/>
  <c r="AA298" i="5" s="1"/>
  <c r="AA297" i="5" a="1"/>
  <c r="AA297" i="5" s="1"/>
  <c r="AB295" i="5" a="1"/>
  <c r="AB295" i="5" s="1"/>
  <c r="AA295" i="5" a="1"/>
  <c r="AA295" i="5" s="1"/>
  <c r="AB294" i="5" a="1"/>
  <c r="AB294" i="5" s="1"/>
  <c r="AA294" i="5" a="1"/>
  <c r="AA294" i="5" s="1"/>
  <c r="AB293" i="5" a="1"/>
  <c r="AB293" i="5" s="1"/>
  <c r="AA293" i="5" a="1"/>
  <c r="AA293" i="5" s="1"/>
  <c r="AB292" i="5" a="1"/>
  <c r="AB292" i="5" s="1"/>
  <c r="AA292" i="5" a="1"/>
  <c r="AA292" i="5" s="1"/>
  <c r="AB290" i="5" a="1"/>
  <c r="AB290" i="5" s="1"/>
  <c r="AA290" i="5" a="1"/>
  <c r="AA290" i="5" s="1"/>
  <c r="AB289" i="5" a="1"/>
  <c r="AB289" i="5" s="1"/>
  <c r="AA289" i="5" a="1"/>
  <c r="AA289" i="5" s="1"/>
  <c r="AB288" i="5"/>
  <c r="AB288" i="5" a="1"/>
  <c r="AA288" i="5" a="1"/>
  <c r="AA288" i="5" s="1"/>
  <c r="AB287" i="5" a="1"/>
  <c r="AB287" i="5" s="1"/>
  <c r="AA287" i="5" a="1"/>
  <c r="AA287" i="5" s="1"/>
  <c r="AB285" i="5" a="1"/>
  <c r="AB285" i="5" s="1"/>
  <c r="AA285" i="5" a="1"/>
  <c r="AA285" i="5" s="1"/>
  <c r="AB284" i="5" a="1"/>
  <c r="AB284" i="5" s="1"/>
  <c r="AA284" i="5" a="1"/>
  <c r="AA284" i="5" s="1"/>
  <c r="AB283" i="5" a="1"/>
  <c r="AB283" i="5" s="1"/>
  <c r="AA283" i="5" a="1"/>
  <c r="AA283" i="5" s="1"/>
  <c r="AB282" i="5" a="1"/>
  <c r="AB282" i="5" s="1"/>
  <c r="AA282" i="5" a="1"/>
  <c r="AA282" i="5" s="1"/>
  <c r="AB280" i="5" a="1"/>
  <c r="AB280" i="5" s="1"/>
  <c r="AA280" i="5" a="1"/>
  <c r="AA280" i="5" s="1"/>
  <c r="AB279" i="5" a="1"/>
  <c r="AB279" i="5" s="1"/>
  <c r="AA279" i="5" a="1"/>
  <c r="AA279" i="5" s="1"/>
  <c r="AB278" i="5"/>
  <c r="AB278" i="5" a="1"/>
  <c r="AA278" i="5" a="1"/>
  <c r="AA278" i="5" s="1"/>
  <c r="AB277" i="5" a="1"/>
  <c r="AB277" i="5" s="1"/>
  <c r="AA277" i="5" a="1"/>
  <c r="AA277" i="5" s="1"/>
  <c r="AB275" i="5" a="1"/>
  <c r="AB275" i="5" s="1"/>
  <c r="AA275" i="5" a="1"/>
  <c r="AA275" i="5" s="1"/>
  <c r="AB274" i="5" a="1"/>
  <c r="AB274" i="5" s="1"/>
  <c r="AA274" i="5" a="1"/>
  <c r="AA274" i="5" s="1"/>
  <c r="AB273" i="5" a="1"/>
  <c r="AB273" i="5" s="1"/>
  <c r="AA273" i="5" a="1"/>
  <c r="AA273" i="5" s="1"/>
  <c r="AB272" i="5" a="1"/>
  <c r="AB272" i="5" s="1"/>
  <c r="AA272" i="5" a="1"/>
  <c r="AA272" i="5" s="1"/>
  <c r="AB270" i="5"/>
  <c r="AB270" i="5" a="1"/>
  <c r="AA270" i="5" a="1"/>
  <c r="AA270" i="5" s="1"/>
  <c r="AB269" i="5" a="1"/>
  <c r="AB269" i="5" s="1"/>
  <c r="AA269" i="5" a="1"/>
  <c r="AA269" i="5" s="1"/>
  <c r="AB268" i="5" a="1"/>
  <c r="AB268" i="5" s="1"/>
  <c r="AA268" i="5" a="1"/>
  <c r="AA268" i="5" s="1"/>
  <c r="AB267" i="5" a="1"/>
  <c r="AB267" i="5" s="1"/>
  <c r="AA267" i="5" a="1"/>
  <c r="AA267" i="5" s="1"/>
  <c r="AB265" i="5" a="1"/>
  <c r="AB265" i="5" s="1"/>
  <c r="AA265" i="5" a="1"/>
  <c r="AA265" i="5" s="1"/>
  <c r="AB264" i="5" a="1"/>
  <c r="AB264" i="5" s="1"/>
  <c r="AA264" i="5" a="1"/>
  <c r="AA264" i="5" s="1"/>
  <c r="AB263" i="5" a="1"/>
  <c r="AB263" i="5" s="1"/>
  <c r="AA263" i="5" a="1"/>
  <c r="AA263" i="5" s="1"/>
  <c r="AB262" i="5" a="1"/>
  <c r="AB262" i="5" s="1"/>
  <c r="AA262" i="5" a="1"/>
  <c r="AA262" i="5" s="1"/>
  <c r="AB260" i="5" a="1"/>
  <c r="AB260" i="5" s="1"/>
  <c r="AA260" i="5" a="1"/>
  <c r="AA260" i="5" s="1"/>
  <c r="AB259" i="5" a="1"/>
  <c r="AB259" i="5" s="1"/>
  <c r="AA259" i="5" a="1"/>
  <c r="AA259" i="5" s="1"/>
  <c r="AB258" i="5" a="1"/>
  <c r="AB258" i="5" s="1"/>
  <c r="AA258" i="5" a="1"/>
  <c r="AA258" i="5" s="1"/>
  <c r="AB257" i="5" a="1"/>
  <c r="AB257" i="5" s="1"/>
  <c r="AA257" i="5" a="1"/>
  <c r="AA257" i="5" s="1"/>
  <c r="AB255" i="5" a="1"/>
  <c r="AB255" i="5" s="1"/>
  <c r="AA255" i="5" a="1"/>
  <c r="AA255" i="5" s="1"/>
  <c r="AB254" i="5" a="1"/>
  <c r="AB254" i="5" s="1"/>
  <c r="AA254" i="5" a="1"/>
  <c r="AA254" i="5" s="1"/>
  <c r="AB253" i="5" a="1"/>
  <c r="AB253" i="5" s="1"/>
  <c r="AA253" i="5" a="1"/>
  <c r="AA253" i="5" s="1"/>
  <c r="AB252" i="5" a="1"/>
  <c r="AB252" i="5" s="1"/>
  <c r="AA252" i="5" a="1"/>
  <c r="AA252" i="5" s="1"/>
  <c r="AB250" i="5" a="1"/>
  <c r="AB250" i="5" s="1"/>
  <c r="AA250" i="5" a="1"/>
  <c r="AA250" i="5" s="1"/>
  <c r="AB249" i="5" a="1"/>
  <c r="AB249" i="5" s="1"/>
  <c r="AA249" i="5" a="1"/>
  <c r="AA249" i="5" s="1"/>
  <c r="AB248" i="5" a="1"/>
  <c r="AB248" i="5" s="1"/>
  <c r="AA248" i="5" a="1"/>
  <c r="AA248" i="5" s="1"/>
  <c r="AB247" i="5" a="1"/>
  <c r="AB247" i="5" s="1"/>
  <c r="AA247" i="5" a="1"/>
  <c r="AA247" i="5" s="1"/>
  <c r="AB245" i="5" a="1"/>
  <c r="AB245" i="5" s="1"/>
  <c r="AA245" i="5" a="1"/>
  <c r="AA245" i="5" s="1"/>
  <c r="AB244" i="5" a="1"/>
  <c r="AB244" i="5" s="1"/>
  <c r="AA244" i="5" a="1"/>
  <c r="AA244" i="5" s="1"/>
  <c r="AB243" i="5" a="1"/>
  <c r="AB243" i="5" s="1"/>
  <c r="AA243" i="5" a="1"/>
  <c r="AA243" i="5" s="1"/>
  <c r="AB242" i="5" a="1"/>
  <c r="AB242" i="5" s="1"/>
  <c r="AA242" i="5" a="1"/>
  <c r="AA242" i="5" s="1"/>
  <c r="AB240" i="5" a="1"/>
  <c r="AB240" i="5" s="1"/>
  <c r="AA240" i="5" a="1"/>
  <c r="AA240" i="5" s="1"/>
  <c r="AB239" i="5" a="1"/>
  <c r="AB239" i="5" s="1"/>
  <c r="AA239" i="5" a="1"/>
  <c r="AA239" i="5" s="1"/>
  <c r="AB235" i="5" a="1"/>
  <c r="AB235" i="5" s="1"/>
  <c r="AA235" i="5" a="1"/>
  <c r="AA235" i="5" s="1"/>
  <c r="AB234" i="5" a="1"/>
  <c r="AB234" i="5" s="1"/>
  <c r="AA234" i="5" a="1"/>
  <c r="AA234" i="5" s="1"/>
  <c r="AB230" i="5" a="1"/>
  <c r="AB230" i="5" s="1"/>
  <c r="AA230" i="5" a="1"/>
  <c r="AA230" i="5" s="1"/>
  <c r="AB229" i="5" a="1"/>
  <c r="AB229" i="5" s="1"/>
  <c r="AA229" i="5" a="1"/>
  <c r="AA229" i="5" s="1"/>
  <c r="AB225" i="5" a="1"/>
  <c r="AB225" i="5" s="1"/>
  <c r="AA225" i="5" a="1"/>
  <c r="AA225" i="5" s="1"/>
  <c r="AB224" i="5" a="1"/>
  <c r="AB224" i="5" s="1"/>
  <c r="AA224" i="5" a="1"/>
  <c r="AA224" i="5" s="1"/>
  <c r="AB220" i="5" a="1"/>
  <c r="AB220" i="5" s="1"/>
  <c r="AA220" i="5" a="1"/>
  <c r="AA220" i="5" s="1"/>
  <c r="AB219" i="5" a="1"/>
  <c r="AB219" i="5" s="1"/>
  <c r="AA219" i="5" a="1"/>
  <c r="AA219" i="5" s="1"/>
  <c r="AB215" i="5" a="1"/>
  <c r="AB215" i="5" s="1"/>
  <c r="AA215" i="5" a="1"/>
  <c r="AA215" i="5" s="1"/>
  <c r="AB214" i="5" a="1"/>
  <c r="AB214" i="5" s="1"/>
  <c r="AA214" i="5" a="1"/>
  <c r="AA214" i="5" s="1"/>
  <c r="AB210" i="5" a="1"/>
  <c r="AB210" i="5" s="1"/>
  <c r="AA210" i="5" a="1"/>
  <c r="AA210" i="5" s="1"/>
  <c r="AB209" i="5" a="1"/>
  <c r="AB209" i="5" s="1"/>
  <c r="AA209" i="5" a="1"/>
  <c r="AA209" i="5" s="1"/>
  <c r="AB205" i="5" a="1"/>
  <c r="AB205" i="5" s="1"/>
  <c r="AA205" i="5" a="1"/>
  <c r="AA205" i="5" s="1"/>
  <c r="AB204" i="5" a="1"/>
  <c r="AB204" i="5" s="1"/>
  <c r="AA204" i="5" a="1"/>
  <c r="AA204" i="5" s="1"/>
  <c r="AB200" i="5" a="1"/>
  <c r="AB200" i="5" s="1"/>
  <c r="AA200" i="5" a="1"/>
  <c r="AA200" i="5" s="1"/>
  <c r="AB199" i="5" a="1"/>
  <c r="AB199" i="5" s="1"/>
  <c r="AA199" i="5" a="1"/>
  <c r="AA199" i="5" s="1"/>
  <c r="AB195" i="5" a="1"/>
  <c r="AB195" i="5" s="1"/>
  <c r="AA195" i="5" a="1"/>
  <c r="AA195" i="5" s="1"/>
  <c r="AB194" i="5" a="1"/>
  <c r="AB194" i="5" s="1"/>
  <c r="AA194" i="5" a="1"/>
  <c r="AA194" i="5" s="1"/>
  <c r="AB190" i="5" a="1"/>
  <c r="AB190" i="5" s="1"/>
  <c r="AA190" i="5" a="1"/>
  <c r="AA190" i="5" s="1"/>
  <c r="AB189" i="5" a="1"/>
  <c r="AB189" i="5" s="1"/>
  <c r="AA189" i="5" a="1"/>
  <c r="AA189" i="5" s="1"/>
  <c r="AB185" i="5" a="1"/>
  <c r="AB185" i="5" s="1"/>
  <c r="AA185" i="5" a="1"/>
  <c r="AA185" i="5" s="1"/>
  <c r="AB184" i="5" a="1"/>
  <c r="AB184" i="5" s="1"/>
  <c r="AA184" i="5" a="1"/>
  <c r="AA184" i="5" s="1"/>
  <c r="G61" i="5"/>
  <c r="G60" i="5"/>
  <c r="G59" i="5"/>
  <c r="G58" i="5"/>
  <c r="G57" i="5"/>
  <c r="B57" i="5"/>
  <c r="G56" i="5"/>
  <c r="G55" i="5"/>
  <c r="G54" i="5"/>
  <c r="G53" i="5"/>
  <c r="B53" i="5"/>
  <c r="G52" i="5"/>
  <c r="G51" i="5"/>
  <c r="G50" i="5"/>
  <c r="K49" i="5"/>
  <c r="I49" i="5"/>
  <c r="G49" i="5"/>
  <c r="K48" i="5"/>
  <c r="I48" i="5"/>
  <c r="G48" i="5"/>
  <c r="K47" i="5"/>
  <c r="I47" i="5"/>
  <c r="G47" i="5"/>
  <c r="K46" i="5"/>
  <c r="I46" i="5"/>
  <c r="G46" i="5"/>
  <c r="K45" i="5"/>
  <c r="I45" i="5"/>
  <c r="G45" i="5"/>
  <c r="K44" i="5"/>
  <c r="I44" i="5"/>
  <c r="G44" i="5"/>
  <c r="K43" i="5"/>
  <c r="I43" i="5"/>
  <c r="G43" i="5"/>
  <c r="K42" i="5"/>
  <c r="I42" i="5"/>
  <c r="G42" i="5"/>
  <c r="K41" i="5"/>
  <c r="I41" i="5"/>
  <c r="G41" i="5"/>
  <c r="K40" i="5"/>
  <c r="I40" i="5"/>
  <c r="G40" i="5"/>
  <c r="K39" i="5"/>
  <c r="I39" i="5"/>
  <c r="G39" i="5"/>
  <c r="K38" i="5"/>
  <c r="I38" i="5"/>
  <c r="G38" i="5"/>
  <c r="O37" i="5"/>
  <c r="M37" i="5"/>
  <c r="K37" i="5"/>
  <c r="I37" i="5"/>
  <c r="G37" i="5"/>
  <c r="O36" i="5"/>
  <c r="M36" i="5"/>
  <c r="K36" i="5"/>
  <c r="I36" i="5"/>
  <c r="G36" i="5"/>
  <c r="B36" i="5"/>
  <c r="O35" i="5"/>
  <c r="M35" i="5"/>
  <c r="K35" i="5"/>
  <c r="I35" i="5"/>
  <c r="G35" i="5"/>
  <c r="B35" i="5"/>
  <c r="O34" i="5"/>
  <c r="M34" i="5"/>
  <c r="K34" i="5"/>
  <c r="I34" i="5"/>
  <c r="G34" i="5"/>
  <c r="O33" i="5"/>
  <c r="M33" i="5"/>
  <c r="K33" i="5"/>
  <c r="I33" i="5"/>
  <c r="G33" i="5"/>
  <c r="O32" i="5"/>
  <c r="M32" i="5"/>
  <c r="K32" i="5"/>
  <c r="I32" i="5"/>
  <c r="G32" i="5"/>
  <c r="B32" i="5"/>
  <c r="O31" i="5"/>
  <c r="M31" i="5"/>
  <c r="K31" i="5"/>
  <c r="I31" i="5"/>
  <c r="G31" i="5"/>
  <c r="B31" i="5"/>
  <c r="O30" i="5"/>
  <c r="M30" i="5"/>
  <c r="K30" i="5"/>
  <c r="I30" i="5"/>
  <c r="G30" i="5"/>
  <c r="O29" i="5"/>
  <c r="M29" i="5"/>
  <c r="K29" i="5"/>
  <c r="I29" i="5"/>
  <c r="G29" i="5"/>
  <c r="O28" i="5"/>
  <c r="M28" i="5"/>
  <c r="K28" i="5"/>
  <c r="I28" i="5"/>
  <c r="G28" i="5"/>
  <c r="B28" i="5"/>
  <c r="O27" i="5"/>
  <c r="M27" i="5"/>
  <c r="K27" i="5"/>
  <c r="I27" i="5"/>
  <c r="G27" i="5"/>
  <c r="B27" i="5"/>
  <c r="O26" i="5"/>
  <c r="M26" i="5"/>
  <c r="K26" i="5"/>
  <c r="I26" i="5"/>
  <c r="G26" i="5"/>
  <c r="B26" i="5"/>
  <c r="O25" i="5"/>
  <c r="M25" i="5"/>
  <c r="K25" i="5"/>
  <c r="I25" i="5"/>
  <c r="G25" i="5"/>
  <c r="O24" i="5"/>
  <c r="M24" i="5"/>
  <c r="K24" i="5"/>
  <c r="I24" i="5"/>
  <c r="G24" i="5"/>
  <c r="B24" i="5"/>
  <c r="O23" i="5"/>
  <c r="M23" i="5"/>
  <c r="K23" i="5"/>
  <c r="I23" i="5"/>
  <c r="G23" i="5"/>
  <c r="B23" i="5"/>
  <c r="O22" i="5"/>
  <c r="M22" i="5"/>
  <c r="K22" i="5"/>
  <c r="I22" i="5"/>
  <c r="G22" i="5"/>
  <c r="B22" i="5"/>
  <c r="O21" i="5"/>
  <c r="M21" i="5"/>
  <c r="K21" i="5"/>
  <c r="I21" i="5"/>
  <c r="G21" i="5"/>
  <c r="O20" i="5"/>
  <c r="M20" i="5"/>
  <c r="K20" i="5"/>
  <c r="I20" i="5"/>
  <c r="G20" i="5"/>
  <c r="B20" i="5"/>
  <c r="O19" i="5"/>
  <c r="M19" i="5"/>
  <c r="K19" i="5"/>
  <c r="I19" i="5"/>
  <c r="G19" i="5"/>
  <c r="B19" i="5"/>
  <c r="O18" i="5"/>
  <c r="M18" i="5"/>
  <c r="K18" i="5"/>
  <c r="I18" i="5"/>
  <c r="G18" i="5"/>
  <c r="B18" i="5"/>
  <c r="O17" i="5"/>
  <c r="M17" i="5"/>
  <c r="K17" i="5"/>
  <c r="I17" i="5"/>
  <c r="G17" i="5"/>
  <c r="O16" i="5"/>
  <c r="M16" i="5"/>
  <c r="K16" i="5"/>
  <c r="I16" i="5"/>
  <c r="G16" i="5"/>
  <c r="B16" i="5"/>
  <c r="O15" i="5"/>
  <c r="M15" i="5"/>
  <c r="K15" i="5"/>
  <c r="I15" i="5"/>
  <c r="G15" i="5"/>
  <c r="B15" i="5"/>
  <c r="O14" i="5"/>
  <c r="M14" i="5"/>
  <c r="K14" i="5"/>
  <c r="I14" i="5"/>
  <c r="G14" i="5"/>
  <c r="B14" i="5"/>
  <c r="O13" i="5"/>
  <c r="M13" i="5"/>
  <c r="K13" i="5"/>
  <c r="I13" i="5"/>
  <c r="G13" i="5"/>
  <c r="B13" i="5"/>
  <c r="O12" i="5"/>
  <c r="M12" i="5"/>
  <c r="K12" i="5"/>
  <c r="I12" i="5"/>
  <c r="G12" i="5"/>
  <c r="B12" i="5"/>
  <c r="O11" i="5"/>
  <c r="M11" i="5"/>
  <c r="K11" i="5"/>
  <c r="I11" i="5"/>
  <c r="G11" i="5"/>
  <c r="B11" i="5"/>
  <c r="O10" i="5"/>
  <c r="M10" i="5"/>
  <c r="K10" i="5"/>
  <c r="I10" i="5"/>
  <c r="G10" i="5"/>
  <c r="B10" i="5"/>
  <c r="O9" i="5"/>
  <c r="M9" i="5"/>
  <c r="K9" i="5"/>
  <c r="I9" i="5"/>
  <c r="G9" i="5"/>
  <c r="B9" i="5"/>
  <c r="O8" i="5"/>
  <c r="M8" i="5"/>
  <c r="K8" i="5"/>
  <c r="I8" i="5"/>
  <c r="G8" i="5"/>
  <c r="B8" i="5"/>
  <c r="O7" i="5"/>
  <c r="M7" i="5"/>
  <c r="K7" i="5"/>
  <c r="I7" i="5"/>
  <c r="G7" i="5"/>
  <c r="B7" i="5"/>
  <c r="O6" i="5"/>
  <c r="Y1" i="5" s="1" a="1"/>
  <c r="M6" i="5"/>
  <c r="K6" i="5"/>
  <c r="I6" i="5"/>
  <c r="W1" i="5" s="1" a="1"/>
  <c r="G6" i="5"/>
  <c r="B6" i="5"/>
  <c r="O5" i="5"/>
  <c r="M5" i="5"/>
  <c r="K5" i="5"/>
  <c r="I5" i="5"/>
  <c r="G5" i="5"/>
  <c r="B5" i="5"/>
  <c r="O4" i="5"/>
  <c r="M4" i="5"/>
  <c r="K4" i="5"/>
  <c r="I4" i="5"/>
  <c r="G4" i="5"/>
  <c r="B4" i="5"/>
  <c r="O3" i="5"/>
  <c r="Z1" i="5" s="1" a="1"/>
  <c r="M3" i="5"/>
  <c r="K3" i="5"/>
  <c r="I3" i="5"/>
  <c r="G3" i="5"/>
  <c r="B3" i="5"/>
  <c r="O2" i="5"/>
  <c r="N2" i="5"/>
  <c r="N2" i="5" a="1"/>
  <c r="M2" i="5"/>
  <c r="L2" i="5" a="1"/>
  <c r="L2" i="5" s="1"/>
  <c r="T1" i="5" s="1" a="1"/>
  <c r="K2" i="5"/>
  <c r="X1" i="5" s="1" a="1"/>
  <c r="J2" i="5" a="1"/>
  <c r="J2" i="5" s="1"/>
  <c r="S1" i="5" s="1" a="1"/>
  <c r="I2" i="5"/>
  <c r="H2" i="5" a="1"/>
  <c r="H2" i="5" s="1"/>
  <c r="R1" i="5" s="1" a="1"/>
  <c r="G2" i="5"/>
  <c r="F2" i="5" a="1"/>
  <c r="F2" i="5" s="1"/>
  <c r="Q1" i="5" s="1" a="1"/>
  <c r="B2" i="5"/>
  <c r="V1" i="5" a="1"/>
  <c r="U1" i="5" a="1"/>
  <c r="AA20" i="5" s="1" a="1"/>
  <c r="AA20" i="5" s="1"/>
  <c r="A1" i="5"/>
  <c r="B1" i="5" s="1"/>
  <c r="A1" i="5" a="1"/>
  <c r="B58" i="5" s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N2" i="4" a="1"/>
  <c r="N2" i="4" s="1"/>
  <c r="U1" i="4" s="1" a="1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2" i="4"/>
  <c r="L2" i="4" a="1"/>
  <c r="L2" i="4" s="1"/>
  <c r="T1" i="4" s="1" a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2" i="4"/>
  <c r="J2" i="4" a="1"/>
  <c r="J2" i="4" s="1"/>
  <c r="S1" i="4" s="1" a="1"/>
  <c r="H2" i="4" a="1"/>
  <c r="H2" i="4" s="1"/>
  <c r="R1" i="4" s="1" a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2" i="4"/>
  <c r="F2" i="4" a="1"/>
  <c r="F2" i="4" s="1"/>
  <c r="Q1" i="4" s="1" a="1"/>
  <c r="A1" i="4" a="1"/>
  <c r="A1" i="4" s="1"/>
  <c r="C31" i="1"/>
  <c r="C32" i="1"/>
  <c r="C30" i="1"/>
  <c r="D26" i="1"/>
  <c r="D25" i="1"/>
  <c r="D24" i="1"/>
  <c r="F7" i="1"/>
  <c r="G16" i="1"/>
  <c r="F16" i="1"/>
  <c r="G15" i="1"/>
  <c r="F15" i="1"/>
  <c r="B20" i="1" s="1"/>
  <c r="G7" i="1"/>
  <c r="G8" i="1"/>
  <c r="G9" i="1"/>
  <c r="G10" i="1"/>
  <c r="G6" i="1"/>
  <c r="G5" i="1"/>
  <c r="F9" i="1"/>
  <c r="F8" i="1"/>
  <c r="F10" i="1"/>
  <c r="F6" i="1"/>
  <c r="F5" i="1"/>
  <c r="D56" i="2" l="1"/>
  <c r="J56" i="2" s="1"/>
  <c r="D3" i="2"/>
  <c r="J2" i="2"/>
  <c r="L2" i="2"/>
  <c r="J51" i="2"/>
  <c r="L51" i="2"/>
  <c r="J50" i="2"/>
  <c r="L50" i="2"/>
  <c r="J18" i="2"/>
  <c r="L18" i="2"/>
  <c r="J15" i="2"/>
  <c r="L15" i="2"/>
  <c r="D17" i="2"/>
  <c r="D20" i="2" s="1"/>
  <c r="J14" i="2"/>
  <c r="L14" i="2"/>
  <c r="I51" i="2"/>
  <c r="N51" i="2"/>
  <c r="M51" i="2"/>
  <c r="I50" i="2"/>
  <c r="O50" i="2"/>
  <c r="N50" i="2"/>
  <c r="M50" i="2"/>
  <c r="I15" i="2"/>
  <c r="M15" i="2"/>
  <c r="N15" i="2"/>
  <c r="E51" i="2"/>
  <c r="E15" i="2"/>
  <c r="F14" i="2" a="1"/>
  <c r="F14" i="2" s="1"/>
  <c r="E14" i="2" s="1"/>
  <c r="G14" i="2" a="1"/>
  <c r="G14" i="2" s="1"/>
  <c r="D55" i="2"/>
  <c r="D61" i="2"/>
  <c r="D21" i="2"/>
  <c r="F50" i="2" a="1"/>
  <c r="F50" i="2" s="1"/>
  <c r="E50" i="2" s="1"/>
  <c r="AA238" i="5" a="1"/>
  <c r="AA238" i="5" s="1"/>
  <c r="AA198" i="5" a="1"/>
  <c r="AA198" i="5" s="1"/>
  <c r="AA208" i="5" a="1"/>
  <c r="AA208" i="5" s="1"/>
  <c r="AA218" i="5" a="1"/>
  <c r="AA218" i="5" s="1"/>
  <c r="AA178" i="5" a="1"/>
  <c r="AA178" i="5" s="1"/>
  <c r="AA228" i="5" a="1"/>
  <c r="AA228" i="5" s="1"/>
  <c r="AA188" i="5" a="1"/>
  <c r="AA188" i="5" s="1"/>
  <c r="AA153" i="5" a="1"/>
  <c r="AA153" i="5" s="1"/>
  <c r="AA113" i="5" a="1"/>
  <c r="AA113" i="5" s="1"/>
  <c r="AA73" i="5" a="1"/>
  <c r="AA73" i="5" s="1"/>
  <c r="AA203" i="5" a="1"/>
  <c r="AA203" i="5" s="1"/>
  <c r="AA158" i="5" a="1"/>
  <c r="AA158" i="5" s="1"/>
  <c r="AA118" i="5" a="1"/>
  <c r="AA118" i="5" s="1"/>
  <c r="AA78" i="5" a="1"/>
  <c r="AA78" i="5" s="1"/>
  <c r="AA68" i="5" a="1"/>
  <c r="AA68" i="5" s="1"/>
  <c r="AA213" i="5" a="1"/>
  <c r="AA213" i="5" s="1"/>
  <c r="AA183" i="5" a="1"/>
  <c r="AA183" i="5" s="1"/>
  <c r="AA168" i="5" a="1"/>
  <c r="AA168" i="5" s="1"/>
  <c r="AA123" i="5" a="1"/>
  <c r="AA123" i="5" s="1"/>
  <c r="AA83" i="5" a="1"/>
  <c r="AA83" i="5" s="1"/>
  <c r="AA18" i="5" a="1"/>
  <c r="AA18" i="5" s="1"/>
  <c r="AA128" i="5" a="1"/>
  <c r="AA128" i="5" s="1"/>
  <c r="AA88" i="5" a="1"/>
  <c r="AA88" i="5" s="1"/>
  <c r="AA223" i="5" a="1"/>
  <c r="AA223" i="5" s="1"/>
  <c r="AA133" i="5" a="1"/>
  <c r="AA133" i="5" s="1"/>
  <c r="AA93" i="5" a="1"/>
  <c r="AA93" i="5" s="1"/>
  <c r="AA53" i="5" a="1"/>
  <c r="AA53" i="5" s="1"/>
  <c r="AA48" i="5" a="1"/>
  <c r="AA48" i="5" s="1"/>
  <c r="AA43" i="5" a="1"/>
  <c r="AA43" i="5" s="1"/>
  <c r="AA163" i="5" a="1"/>
  <c r="AA163" i="5" s="1"/>
  <c r="AA138" i="5" a="1"/>
  <c r="AA138" i="5" s="1"/>
  <c r="AA98" i="5" a="1"/>
  <c r="AA98" i="5" s="1"/>
  <c r="AA63" i="5" a="1"/>
  <c r="AA63" i="5" s="1"/>
  <c r="S1" i="5"/>
  <c r="AA3" i="5" s="1" a="1"/>
  <c r="AA3" i="5" s="1"/>
  <c r="AA143" i="5" a="1"/>
  <c r="AA143" i="5" s="1"/>
  <c r="AA13" i="5" a="1"/>
  <c r="AA13" i="5" s="1"/>
  <c r="AA108" i="5" a="1"/>
  <c r="AA108" i="5" s="1"/>
  <c r="AA38" i="5" a="1"/>
  <c r="AA38" i="5" s="1"/>
  <c r="AA33" i="5" a="1"/>
  <c r="AA33" i="5" s="1"/>
  <c r="AA8" i="5" a="1"/>
  <c r="AA8" i="5" s="1"/>
  <c r="AA23" i="5" a="1"/>
  <c r="AA23" i="5" s="1"/>
  <c r="AA193" i="5" a="1"/>
  <c r="AA193" i="5" s="1"/>
  <c r="AA173" i="5" a="1"/>
  <c r="AA173" i="5" s="1"/>
  <c r="AA148" i="5" a="1"/>
  <c r="AA148" i="5" s="1"/>
  <c r="AA103" i="5" a="1"/>
  <c r="AA103" i="5" s="1"/>
  <c r="AA58" i="5" a="1"/>
  <c r="AA58" i="5" s="1"/>
  <c r="AA28" i="5" a="1"/>
  <c r="AA28" i="5" s="1"/>
  <c r="AA233" i="5" a="1"/>
  <c r="AA233" i="5" s="1"/>
  <c r="AB213" i="5" a="1"/>
  <c r="AB213" i="5" s="1"/>
  <c r="AB208" i="5" a="1"/>
  <c r="AB208" i="5" s="1"/>
  <c r="AB203" i="5" a="1"/>
  <c r="AB203" i="5" s="1"/>
  <c r="AB158" i="5" a="1"/>
  <c r="AB158" i="5" s="1"/>
  <c r="AB118" i="5" a="1"/>
  <c r="AB118" i="5" s="1"/>
  <c r="AB78" i="5" a="1"/>
  <c r="AB78" i="5" s="1"/>
  <c r="AB183" i="5" a="1"/>
  <c r="AB183" i="5" s="1"/>
  <c r="AB168" i="5" a="1"/>
  <c r="AB168" i="5" s="1"/>
  <c r="AB123" i="5" a="1"/>
  <c r="AB123" i="5" s="1"/>
  <c r="AB83" i="5" a="1"/>
  <c r="AB83" i="5" s="1"/>
  <c r="AB128" i="5" a="1"/>
  <c r="AB128" i="5" s="1"/>
  <c r="AB88" i="5" a="1"/>
  <c r="AB88" i="5" s="1"/>
  <c r="AB53" i="5" a="1"/>
  <c r="AB53" i="5" s="1"/>
  <c r="AB48" i="5" a="1"/>
  <c r="AB48" i="5" s="1"/>
  <c r="AB43" i="5" a="1"/>
  <c r="AB43" i="5" s="1"/>
  <c r="AB38" i="5" a="1"/>
  <c r="AB38" i="5" s="1"/>
  <c r="AB33" i="5" a="1"/>
  <c r="AB33" i="5" s="1"/>
  <c r="AB13" i="5" a="1"/>
  <c r="AB13" i="5" s="1"/>
  <c r="AB223" i="5" a="1"/>
  <c r="AB223" i="5" s="1"/>
  <c r="AB218" i="5" a="1"/>
  <c r="AB218" i="5" s="1"/>
  <c r="AB198" i="5" a="1"/>
  <c r="AB198" i="5" s="1"/>
  <c r="AB178" i="5" a="1"/>
  <c r="AB178" i="5" s="1"/>
  <c r="AB133" i="5" a="1"/>
  <c r="AB133" i="5" s="1"/>
  <c r="AB93" i="5" a="1"/>
  <c r="AB93" i="5" s="1"/>
  <c r="AB63" i="5" a="1"/>
  <c r="AB63" i="5" s="1"/>
  <c r="AB228" i="5" a="1"/>
  <c r="AB228" i="5" s="1"/>
  <c r="AB193" i="5" a="1"/>
  <c r="AB193" i="5" s="1"/>
  <c r="AB163" i="5" a="1"/>
  <c r="AB163" i="5" s="1"/>
  <c r="AB138" i="5" a="1"/>
  <c r="AB138" i="5" s="1"/>
  <c r="AB98" i="5" a="1"/>
  <c r="AB98" i="5" s="1"/>
  <c r="AB58" i="5" a="1"/>
  <c r="AB58" i="5" s="1"/>
  <c r="AB233" i="5" a="1"/>
  <c r="AB233" i="5" s="1"/>
  <c r="AB173" i="5" a="1"/>
  <c r="AB173" i="5" s="1"/>
  <c r="AB143" i="5" a="1"/>
  <c r="AB143" i="5" s="1"/>
  <c r="AB103" i="5" a="1"/>
  <c r="AB103" i="5" s="1"/>
  <c r="AB153" i="5" a="1"/>
  <c r="AB153" i="5" s="1"/>
  <c r="AB68" i="5" a="1"/>
  <c r="AB68" i="5" s="1"/>
  <c r="AB238" i="5" a="1"/>
  <c r="AB238" i="5" s="1"/>
  <c r="AB108" i="5" a="1"/>
  <c r="AB108" i="5" s="1"/>
  <c r="AB23" i="5" a="1"/>
  <c r="AB23" i="5" s="1"/>
  <c r="AB8" i="5" a="1"/>
  <c r="AB8" i="5" s="1"/>
  <c r="AB188" i="5" a="1"/>
  <c r="AB188" i="5" s="1"/>
  <c r="AB18" i="5" a="1"/>
  <c r="AB18" i="5" s="1"/>
  <c r="X1" i="5"/>
  <c r="AB3" i="5" s="1" a="1"/>
  <c r="AB3" i="5" s="1"/>
  <c r="AB148" i="5" a="1"/>
  <c r="AB148" i="5" s="1"/>
  <c r="AB73" i="5" a="1"/>
  <c r="AB73" i="5" s="1"/>
  <c r="AB28" i="5" a="1"/>
  <c r="AB28" i="5" s="1"/>
  <c r="AB113" i="5" a="1"/>
  <c r="AB113" i="5" s="1"/>
  <c r="AA174" i="5" a="1"/>
  <c r="AA174" i="5" s="1"/>
  <c r="AA169" i="5" a="1"/>
  <c r="AA169" i="5" s="1"/>
  <c r="AA129" i="5" a="1"/>
  <c r="AA129" i="5" s="1"/>
  <c r="AA89" i="5" a="1"/>
  <c r="AA89" i="5" s="1"/>
  <c r="AA59" i="5" a="1"/>
  <c r="AA59" i="5" s="1"/>
  <c r="AA134" i="5" a="1"/>
  <c r="AA134" i="5" s="1"/>
  <c r="AA94" i="5" a="1"/>
  <c r="AA94" i="5" s="1"/>
  <c r="AA64" i="5" a="1"/>
  <c r="AA64" i="5" s="1"/>
  <c r="AA179" i="5" a="1"/>
  <c r="AA179" i="5" s="1"/>
  <c r="AA139" i="5" a="1"/>
  <c r="AA139" i="5" s="1"/>
  <c r="AA99" i="5" a="1"/>
  <c r="AA99" i="5" s="1"/>
  <c r="AA34" i="5" a="1"/>
  <c r="AA34" i="5" s="1"/>
  <c r="AA14" i="5" a="1"/>
  <c r="AA14" i="5" s="1"/>
  <c r="AA164" i="5" a="1"/>
  <c r="AA164" i="5" s="1"/>
  <c r="AA144" i="5" a="1"/>
  <c r="AA144" i="5" s="1"/>
  <c r="AA104" i="5" a="1"/>
  <c r="AA104" i="5" s="1"/>
  <c r="AA149" i="5" a="1"/>
  <c r="AA149" i="5" s="1"/>
  <c r="AA109" i="5" a="1"/>
  <c r="AA109" i="5" s="1"/>
  <c r="AA49" i="5" a="1"/>
  <c r="AA49" i="5" s="1"/>
  <c r="AA44" i="5" a="1"/>
  <c r="AA44" i="5" s="1"/>
  <c r="AA39" i="5" a="1"/>
  <c r="AA39" i="5" s="1"/>
  <c r="AA154" i="5" a="1"/>
  <c r="AA154" i="5" s="1"/>
  <c r="AA114" i="5" a="1"/>
  <c r="AA114" i="5" s="1"/>
  <c r="AA74" i="5" a="1"/>
  <c r="AA74" i="5" s="1"/>
  <c r="AA69" i="5" a="1"/>
  <c r="AA69" i="5" s="1"/>
  <c r="AA79" i="5" a="1"/>
  <c r="AA79" i="5" s="1"/>
  <c r="AA119" i="5" a="1"/>
  <c r="AA119" i="5" s="1"/>
  <c r="AA24" i="5" a="1"/>
  <c r="AA24" i="5" s="1"/>
  <c r="AA19" i="5" a="1"/>
  <c r="AA19" i="5" s="1"/>
  <c r="AA9" i="5" a="1"/>
  <c r="AA9" i="5" s="1"/>
  <c r="AA159" i="5" a="1"/>
  <c r="AA159" i="5" s="1"/>
  <c r="AA84" i="5" a="1"/>
  <c r="AA84" i="5" s="1"/>
  <c r="T1" i="5"/>
  <c r="AA4" i="5" s="1" a="1"/>
  <c r="AA4" i="5" s="1"/>
  <c r="AA124" i="5" a="1"/>
  <c r="AA124" i="5" s="1"/>
  <c r="AA54" i="5" a="1"/>
  <c r="AA54" i="5" s="1"/>
  <c r="AA29" i="5" a="1"/>
  <c r="AA29" i="5" s="1"/>
  <c r="AB237" i="5" a="1"/>
  <c r="AB237" i="5" s="1"/>
  <c r="AB232" i="5" a="1"/>
  <c r="AB232" i="5" s="1"/>
  <c r="AB172" i="5" a="1"/>
  <c r="AB172" i="5" s="1"/>
  <c r="AB142" i="5" a="1"/>
  <c r="AB142" i="5" s="1"/>
  <c r="AB102" i="5" a="1"/>
  <c r="AB102" i="5" s="1"/>
  <c r="AB52" i="5" a="1"/>
  <c r="AB52" i="5" s="1"/>
  <c r="AB207" i="5" a="1"/>
  <c r="AB207" i="5" s="1"/>
  <c r="AB187" i="5" a="1"/>
  <c r="AB187" i="5" s="1"/>
  <c r="AB147" i="5" a="1"/>
  <c r="AB147" i="5" s="1"/>
  <c r="AB107" i="5" a="1"/>
  <c r="AB107" i="5" s="1"/>
  <c r="AB202" i="5" a="1"/>
  <c r="AB202" i="5" s="1"/>
  <c r="AB152" i="5" a="1"/>
  <c r="AB152" i="5" s="1"/>
  <c r="AB112" i="5" a="1"/>
  <c r="AB112" i="5" s="1"/>
  <c r="AB72" i="5" a="1"/>
  <c r="AB72" i="5" s="1"/>
  <c r="AB57" i="5" a="1"/>
  <c r="AB57" i="5" s="1"/>
  <c r="AB47" i="5" a="1"/>
  <c r="AB47" i="5" s="1"/>
  <c r="AB42" i="5" a="1"/>
  <c r="AB42" i="5" s="1"/>
  <c r="AB37" i="5" a="1"/>
  <c r="AB37" i="5" s="1"/>
  <c r="AB17" i="5" a="1"/>
  <c r="AB17" i="5" s="1"/>
  <c r="AB212" i="5" a="1"/>
  <c r="AB212" i="5" s="1"/>
  <c r="AB167" i="5" a="1"/>
  <c r="AB167" i="5" s="1"/>
  <c r="AB157" i="5" a="1"/>
  <c r="AB157" i="5" s="1"/>
  <c r="AB117" i="5" a="1"/>
  <c r="AB117" i="5" s="1"/>
  <c r="AB77" i="5" a="1"/>
  <c r="AB77" i="5" s="1"/>
  <c r="AB67" i="5" a="1"/>
  <c r="AB67" i="5" s="1"/>
  <c r="AB217" i="5" a="1"/>
  <c r="AB217" i="5" s="1"/>
  <c r="AB197" i="5" a="1"/>
  <c r="AB197" i="5" s="1"/>
  <c r="AB182" i="5" a="1"/>
  <c r="AB182" i="5" s="1"/>
  <c r="AB177" i="5" a="1"/>
  <c r="AB177" i="5" s="1"/>
  <c r="AB122" i="5" a="1"/>
  <c r="AB122" i="5" s="1"/>
  <c r="AB82" i="5" a="1"/>
  <c r="AB82" i="5" s="1"/>
  <c r="AB227" i="5" a="1"/>
  <c r="AB227" i="5" s="1"/>
  <c r="AB222" i="5" a="1"/>
  <c r="AB222" i="5" s="1"/>
  <c r="AB127" i="5" a="1"/>
  <c r="AB127" i="5" s="1"/>
  <c r="AB87" i="5" a="1"/>
  <c r="AB87" i="5" s="1"/>
  <c r="W1" i="5"/>
  <c r="AB2" i="5" s="1" a="1"/>
  <c r="AB2" i="5" s="1"/>
  <c r="AB132" i="5" a="1"/>
  <c r="AB132" i="5" s="1"/>
  <c r="AB12" i="5" a="1"/>
  <c r="AB12" i="5" s="1"/>
  <c r="AB32" i="5" a="1"/>
  <c r="AB32" i="5" s="1"/>
  <c r="AB7" i="5" a="1"/>
  <c r="AB7" i="5" s="1"/>
  <c r="AB162" i="5" a="1"/>
  <c r="AB162" i="5" s="1"/>
  <c r="AB97" i="5" a="1"/>
  <c r="AB97" i="5" s="1"/>
  <c r="AB22" i="5" a="1"/>
  <c r="AB22" i="5" s="1"/>
  <c r="AB137" i="5" a="1"/>
  <c r="AB137" i="5" s="1"/>
  <c r="AB27" i="5" a="1"/>
  <c r="AB27" i="5" s="1"/>
  <c r="AB192" i="5" a="1"/>
  <c r="AB192" i="5" s="1"/>
  <c r="AB92" i="5" a="1"/>
  <c r="AB92" i="5" s="1"/>
  <c r="AB62" i="5" a="1"/>
  <c r="AB62" i="5" s="1"/>
  <c r="AB150" i="5" a="1"/>
  <c r="AB150" i="5" s="1"/>
  <c r="AB110" i="5" a="1"/>
  <c r="AB110" i="5" s="1"/>
  <c r="AB70" i="5" a="1"/>
  <c r="AB70" i="5" s="1"/>
  <c r="AB60" i="5" a="1"/>
  <c r="AB60" i="5" s="1"/>
  <c r="AB30" i="5" a="1"/>
  <c r="AB30" i="5" s="1"/>
  <c r="AB175" i="5" a="1"/>
  <c r="AB175" i="5" s="1"/>
  <c r="AB155" i="5" a="1"/>
  <c r="AB155" i="5" s="1"/>
  <c r="AB115" i="5" a="1"/>
  <c r="AB115" i="5" s="1"/>
  <c r="AB75" i="5" a="1"/>
  <c r="AB75" i="5" s="1"/>
  <c r="AB120" i="5" a="1"/>
  <c r="AB120" i="5" s="1"/>
  <c r="AB80" i="5" a="1"/>
  <c r="AB80" i="5" s="1"/>
  <c r="AB45" i="5" a="1"/>
  <c r="AB45" i="5" s="1"/>
  <c r="AB40" i="5" a="1"/>
  <c r="AB40" i="5" s="1"/>
  <c r="AB25" i="5" a="1"/>
  <c r="AB25" i="5" s="1"/>
  <c r="AB160" i="5" a="1"/>
  <c r="AB160" i="5" s="1"/>
  <c r="AB125" i="5" a="1"/>
  <c r="AB125" i="5" s="1"/>
  <c r="AB85" i="5" a="1"/>
  <c r="AB85" i="5" s="1"/>
  <c r="AB65" i="5" a="1"/>
  <c r="AB65" i="5" s="1"/>
  <c r="AB130" i="5" a="1"/>
  <c r="AB130" i="5" s="1"/>
  <c r="AB90" i="5" a="1"/>
  <c r="AB90" i="5" s="1"/>
  <c r="AB50" i="5" a="1"/>
  <c r="AB50" i="5" s="1"/>
  <c r="AB170" i="5" a="1"/>
  <c r="AB170" i="5" s="1"/>
  <c r="AB135" i="5" a="1"/>
  <c r="AB135" i="5" s="1"/>
  <c r="AB95" i="5" a="1"/>
  <c r="AB95" i="5" s="1"/>
  <c r="AB100" i="5" a="1"/>
  <c r="AB100" i="5" s="1"/>
  <c r="AB15" i="5" a="1"/>
  <c r="AB15" i="5" s="1"/>
  <c r="AB180" i="5" a="1"/>
  <c r="AB180" i="5" s="1"/>
  <c r="AB165" i="5" a="1"/>
  <c r="AB165" i="5" s="1"/>
  <c r="AB20" i="5" a="1"/>
  <c r="AB20" i="5" s="1"/>
  <c r="AB140" i="5" a="1"/>
  <c r="AB140" i="5" s="1"/>
  <c r="AB10" i="5" a="1"/>
  <c r="AB10" i="5" s="1"/>
  <c r="AB55" i="5" a="1"/>
  <c r="AB55" i="5" s="1"/>
  <c r="AB105" i="5" a="1"/>
  <c r="AB105" i="5" s="1"/>
  <c r="AB35" i="5" a="1"/>
  <c r="AB35" i="5" s="1"/>
  <c r="AB145" i="5" a="1"/>
  <c r="AB145" i="5" s="1"/>
  <c r="Z1" i="5"/>
  <c r="AB5" i="5" s="1" a="1"/>
  <c r="AB5" i="5" s="1"/>
  <c r="AA296" i="5" a="1"/>
  <c r="AA296" i="5" s="1"/>
  <c r="AA246" i="5" a="1"/>
  <c r="AA246" i="5" s="1"/>
  <c r="AA206" i="5" a="1"/>
  <c r="AA206" i="5" s="1"/>
  <c r="AA166" i="5" a="1"/>
  <c r="AA166" i="5" s="1"/>
  <c r="AA286" i="5" a="1"/>
  <c r="AA286" i="5" s="1"/>
  <c r="AA251" i="5" a="1"/>
  <c r="AA251" i="5" s="1"/>
  <c r="AA211" i="5" a="1"/>
  <c r="AA211" i="5" s="1"/>
  <c r="AA276" i="5" a="1"/>
  <c r="AA276" i="5" s="1"/>
  <c r="AA256" i="5" a="1"/>
  <c r="AA256" i="5" s="1"/>
  <c r="AA216" i="5" a="1"/>
  <c r="AA216" i="5" s="1"/>
  <c r="AA261" i="5" a="1"/>
  <c r="AA261" i="5" s="1"/>
  <c r="AA291" i="5" a="1"/>
  <c r="AA291" i="5" s="1"/>
  <c r="AA266" i="5" a="1"/>
  <c r="AA266" i="5" s="1"/>
  <c r="AA226" i="5" a="1"/>
  <c r="AA226" i="5" s="1"/>
  <c r="AA186" i="5" a="1"/>
  <c r="AA186" i="5" s="1"/>
  <c r="AA281" i="5" a="1"/>
  <c r="AA281" i="5" s="1"/>
  <c r="AA271" i="5" a="1"/>
  <c r="AA271" i="5" s="1"/>
  <c r="AA236" i="5" a="1"/>
  <c r="AA236" i="5" s="1"/>
  <c r="AA176" i="5" a="1"/>
  <c r="AA176" i="5" s="1"/>
  <c r="AA121" i="5" a="1"/>
  <c r="AA121" i="5" s="1"/>
  <c r="AA81" i="5" a="1"/>
  <c r="AA81" i="5" s="1"/>
  <c r="AA51" i="5" a="1"/>
  <c r="AA51" i="5" s="1"/>
  <c r="AA31" i="5" a="1"/>
  <c r="AA31" i="5" s="1"/>
  <c r="AA191" i="5" a="1"/>
  <c r="AA191" i="5" s="1"/>
  <c r="AA126" i="5" a="1"/>
  <c r="AA126" i="5" s="1"/>
  <c r="AA86" i="5" a="1"/>
  <c r="AA86" i="5" s="1"/>
  <c r="AA66" i="5" a="1"/>
  <c r="AA66" i="5" s="1"/>
  <c r="AA241" i="5" a="1"/>
  <c r="AA241" i="5" s="1"/>
  <c r="AA161" i="5" a="1"/>
  <c r="AA161" i="5" s="1"/>
  <c r="AA131" i="5" a="1"/>
  <c r="AA131" i="5" s="1"/>
  <c r="AA91" i="5" a="1"/>
  <c r="AA91" i="5" s="1"/>
  <c r="AA56" i="5" a="1"/>
  <c r="AA56" i="5" s="1"/>
  <c r="AA26" i="5" a="1"/>
  <c r="AA26" i="5" s="1"/>
  <c r="AA171" i="5" a="1"/>
  <c r="AA171" i="5" s="1"/>
  <c r="AA136" i="5" a="1"/>
  <c r="AA136" i="5" s="1"/>
  <c r="AA96" i="5" a="1"/>
  <c r="AA96" i="5" s="1"/>
  <c r="AA141" i="5" a="1"/>
  <c r="AA141" i="5" s="1"/>
  <c r="AA101" i="5" a="1"/>
  <c r="AA101" i="5" s="1"/>
  <c r="AA46" i="5" a="1"/>
  <c r="AA46" i="5" s="1"/>
  <c r="AA41" i="5" a="1"/>
  <c r="AA41" i="5" s="1"/>
  <c r="AA201" i="5" a="1"/>
  <c r="AA201" i="5" s="1"/>
  <c r="AA146" i="5" a="1"/>
  <c r="AA146" i="5" s="1"/>
  <c r="AA106" i="5" a="1"/>
  <c r="AA106" i="5" s="1"/>
  <c r="AA61" i="5" a="1"/>
  <c r="AA61" i="5" s="1"/>
  <c r="AA231" i="5" a="1"/>
  <c r="AA231" i="5" s="1"/>
  <c r="AA196" i="5" a="1"/>
  <c r="AA196" i="5" s="1"/>
  <c r="AA181" i="5" a="1"/>
  <c r="AA181" i="5" s="1"/>
  <c r="AA111" i="5" a="1"/>
  <c r="AA111" i="5" s="1"/>
  <c r="AA16" i="5" a="1"/>
  <c r="AA16" i="5" s="1"/>
  <c r="AA221" i="5" a="1"/>
  <c r="AA221" i="5" s="1"/>
  <c r="AA151" i="5" a="1"/>
  <c r="AA151" i="5" s="1"/>
  <c r="AA11" i="5" a="1"/>
  <c r="AA11" i="5" s="1"/>
  <c r="AA76" i="5" a="1"/>
  <c r="AA76" i="5" s="1"/>
  <c r="AA21" i="5" a="1"/>
  <c r="AA21" i="5" s="1"/>
  <c r="AA116" i="5" a="1"/>
  <c r="AA116" i="5" s="1"/>
  <c r="AA71" i="5" a="1"/>
  <c r="AA71" i="5" s="1"/>
  <c r="AA36" i="5" a="1"/>
  <c r="AA36" i="5" s="1"/>
  <c r="AA6" i="5" a="1"/>
  <c r="AA6" i="5" s="1"/>
  <c r="Q1" i="5"/>
  <c r="AA1" i="5" s="1" a="1"/>
  <c r="AA1" i="5" s="1"/>
  <c r="AA156" i="5" a="1"/>
  <c r="AA156" i="5" s="1"/>
  <c r="AB134" i="5" a="1"/>
  <c r="AB134" i="5" s="1"/>
  <c r="AB94" i="5" a="1"/>
  <c r="AB94" i="5" s="1"/>
  <c r="AB34" i="5" a="1"/>
  <c r="AB34" i="5" s="1"/>
  <c r="AB179" i="5" a="1"/>
  <c r="AB179" i="5" s="1"/>
  <c r="AB139" i="5" a="1"/>
  <c r="AB139" i="5" s="1"/>
  <c r="AB99" i="5" a="1"/>
  <c r="AB99" i="5" s="1"/>
  <c r="AB164" i="5" a="1"/>
  <c r="AB164" i="5" s="1"/>
  <c r="AB144" i="5" a="1"/>
  <c r="AB144" i="5" s="1"/>
  <c r="AB104" i="5" a="1"/>
  <c r="AB104" i="5" s="1"/>
  <c r="AB49" i="5" a="1"/>
  <c r="AB49" i="5" s="1"/>
  <c r="AB44" i="5" a="1"/>
  <c r="AB44" i="5" s="1"/>
  <c r="AB39" i="5" a="1"/>
  <c r="AB39" i="5" s="1"/>
  <c r="AB29" i="5" a="1"/>
  <c r="AB29" i="5" s="1"/>
  <c r="AB149" i="5" a="1"/>
  <c r="AB149" i="5" s="1"/>
  <c r="AB109" i="5" a="1"/>
  <c r="AB109" i="5" s="1"/>
  <c r="AB69" i="5" a="1"/>
  <c r="AB69" i="5" s="1"/>
  <c r="AB174" i="5" a="1"/>
  <c r="AB174" i="5" s="1"/>
  <c r="AB154" i="5" a="1"/>
  <c r="AB154" i="5" s="1"/>
  <c r="AB114" i="5" a="1"/>
  <c r="AB114" i="5" s="1"/>
  <c r="AB74" i="5" a="1"/>
  <c r="AB74" i="5" s="1"/>
  <c r="AB54" i="5" a="1"/>
  <c r="AB54" i="5" s="1"/>
  <c r="AB159" i="5" a="1"/>
  <c r="AB159" i="5" s="1"/>
  <c r="AB119" i="5" a="1"/>
  <c r="AB119" i="5" s="1"/>
  <c r="AB79" i="5" a="1"/>
  <c r="AB79" i="5" s="1"/>
  <c r="AB89" i="5" a="1"/>
  <c r="AB89" i="5" s="1"/>
  <c r="AB19" i="5" a="1"/>
  <c r="AB19" i="5" s="1"/>
  <c r="Y1" i="5"/>
  <c r="AB4" i="5" s="1" a="1"/>
  <c r="AB4" i="5" s="1"/>
  <c r="AB24" i="5" a="1"/>
  <c r="AB24" i="5" s="1"/>
  <c r="AB14" i="5" a="1"/>
  <c r="AB14" i="5" s="1"/>
  <c r="AB9" i="5" a="1"/>
  <c r="AB9" i="5" s="1"/>
  <c r="AB129" i="5" a="1"/>
  <c r="AB129" i="5" s="1"/>
  <c r="AB59" i="5" a="1"/>
  <c r="AB59" i="5" s="1"/>
  <c r="AB84" i="5" a="1"/>
  <c r="AB84" i="5" s="1"/>
  <c r="AB64" i="5" a="1"/>
  <c r="AB64" i="5" s="1"/>
  <c r="AB169" i="5" a="1"/>
  <c r="AB169" i="5" s="1"/>
  <c r="AB124" i="5" a="1"/>
  <c r="AB124" i="5" s="1"/>
  <c r="AA222" i="5" a="1"/>
  <c r="AA222" i="5" s="1"/>
  <c r="AA182" i="5" a="1"/>
  <c r="AA182" i="5" s="1"/>
  <c r="AA227" i="5" a="1"/>
  <c r="AA227" i="5" s="1"/>
  <c r="AA232" i="5" a="1"/>
  <c r="AA232" i="5" s="1"/>
  <c r="AA192" i="5" a="1"/>
  <c r="AA192" i="5" s="1"/>
  <c r="AA237" i="5" a="1"/>
  <c r="AA237" i="5" s="1"/>
  <c r="AA202" i="5" a="1"/>
  <c r="AA202" i="5" s="1"/>
  <c r="AA162" i="5" a="1"/>
  <c r="AA162" i="5" s="1"/>
  <c r="AA212" i="5" a="1"/>
  <c r="AA212" i="5" s="1"/>
  <c r="AA137" i="5" a="1"/>
  <c r="AA137" i="5" s="1"/>
  <c r="AA97" i="5" a="1"/>
  <c r="AA97" i="5" s="1"/>
  <c r="AA27" i="5" a="1"/>
  <c r="AA27" i="5" s="1"/>
  <c r="AA172" i="5" a="1"/>
  <c r="AA172" i="5" s="1"/>
  <c r="AA142" i="5" a="1"/>
  <c r="AA142" i="5" s="1"/>
  <c r="AA102" i="5" a="1"/>
  <c r="AA102" i="5" s="1"/>
  <c r="AA62" i="5" a="1"/>
  <c r="AA62" i="5" s="1"/>
  <c r="AA207" i="5" a="1"/>
  <c r="AA207" i="5" s="1"/>
  <c r="AA187" i="5" a="1"/>
  <c r="AA187" i="5" s="1"/>
  <c r="AA147" i="5" a="1"/>
  <c r="AA147" i="5" s="1"/>
  <c r="AA107" i="5" a="1"/>
  <c r="AA107" i="5" s="1"/>
  <c r="AA52" i="5" a="1"/>
  <c r="AA52" i="5" s="1"/>
  <c r="AA22" i="5" a="1"/>
  <c r="AA22" i="5" s="1"/>
  <c r="AA152" i="5" a="1"/>
  <c r="AA152" i="5" s="1"/>
  <c r="AA112" i="5" a="1"/>
  <c r="AA112" i="5" s="1"/>
  <c r="AA72" i="5" a="1"/>
  <c r="AA72" i="5" s="1"/>
  <c r="AA167" i="5" a="1"/>
  <c r="AA167" i="5" s="1"/>
  <c r="AA157" i="5" a="1"/>
  <c r="AA157" i="5" s="1"/>
  <c r="AA117" i="5" a="1"/>
  <c r="AA117" i="5" s="1"/>
  <c r="AA77" i="5" a="1"/>
  <c r="AA77" i="5" s="1"/>
  <c r="AA57" i="5" a="1"/>
  <c r="AA57" i="5" s="1"/>
  <c r="AA47" i="5" a="1"/>
  <c r="AA47" i="5" s="1"/>
  <c r="AA42" i="5" a="1"/>
  <c r="AA42" i="5" s="1"/>
  <c r="AA217" i="5" a="1"/>
  <c r="AA217" i="5" s="1"/>
  <c r="AA197" i="5" a="1"/>
  <c r="AA197" i="5" s="1"/>
  <c r="AA122" i="5" a="1"/>
  <c r="AA122" i="5" s="1"/>
  <c r="AA82" i="5" a="1"/>
  <c r="AA82" i="5" s="1"/>
  <c r="AA67" i="5" a="1"/>
  <c r="AA67" i="5" s="1"/>
  <c r="AA132" i="5" a="1"/>
  <c r="AA132" i="5" s="1"/>
  <c r="AA12" i="5" a="1"/>
  <c r="AA12" i="5" s="1"/>
  <c r="AA177" i="5" a="1"/>
  <c r="AA177" i="5" s="1"/>
  <c r="AA87" i="5" a="1"/>
  <c r="AA87" i="5" s="1"/>
  <c r="AA32" i="5" a="1"/>
  <c r="AA32" i="5" s="1"/>
  <c r="AA17" i="5" a="1"/>
  <c r="AA17" i="5" s="1"/>
  <c r="AA127" i="5" a="1"/>
  <c r="AA127" i="5" s="1"/>
  <c r="AA7" i="5" a="1"/>
  <c r="AA7" i="5" s="1"/>
  <c r="R1" i="5"/>
  <c r="AA2" i="5" s="1" a="1"/>
  <c r="AA2" i="5" s="1"/>
  <c r="AA92" i="5" a="1"/>
  <c r="AA92" i="5" s="1"/>
  <c r="AA37" i="5" a="1"/>
  <c r="AA37" i="5" s="1"/>
  <c r="AB286" i="5" a="1"/>
  <c r="AB286" i="5" s="1"/>
  <c r="AB276" i="5" a="1"/>
  <c r="AB276" i="5" s="1"/>
  <c r="AB261" i="5" a="1"/>
  <c r="AB261" i="5" s="1"/>
  <c r="AB256" i="5" a="1"/>
  <c r="AB256" i="5" s="1"/>
  <c r="AB221" i="5" a="1"/>
  <c r="AB221" i="5" s="1"/>
  <c r="AB216" i="5" a="1"/>
  <c r="AB216" i="5" s="1"/>
  <c r="AB291" i="5" a="1"/>
  <c r="AB291" i="5" s="1"/>
  <c r="AB266" i="5" a="1"/>
  <c r="AB266" i="5" s="1"/>
  <c r="AB231" i="5" a="1"/>
  <c r="AB231" i="5" s="1"/>
  <c r="AB281" i="5" a="1"/>
  <c r="AB281" i="5" s="1"/>
  <c r="AB271" i="5" a="1"/>
  <c r="AB271" i="5" s="1"/>
  <c r="AB246" i="5" a="1"/>
  <c r="AB246" i="5" s="1"/>
  <c r="AB236" i="5" a="1"/>
  <c r="AB236" i="5" s="1"/>
  <c r="AB191" i="5" a="1"/>
  <c r="AB191" i="5" s="1"/>
  <c r="AB161" i="5" a="1"/>
  <c r="AB161" i="5" s="1"/>
  <c r="AB126" i="5" a="1"/>
  <c r="AB126" i="5" s="1"/>
  <c r="AB86" i="5" a="1"/>
  <c r="AB86" i="5" s="1"/>
  <c r="AB56" i="5" a="1"/>
  <c r="AB56" i="5" s="1"/>
  <c r="AB26" i="5" a="1"/>
  <c r="AB26" i="5" s="1"/>
  <c r="AB241" i="5" a="1"/>
  <c r="AB241" i="5" s="1"/>
  <c r="AB131" i="5" a="1"/>
  <c r="AB131" i="5" s="1"/>
  <c r="AB91" i="5" a="1"/>
  <c r="AB91" i="5" s="1"/>
  <c r="AB296" i="5" a="1"/>
  <c r="AB296" i="5" s="1"/>
  <c r="AB171" i="5" a="1"/>
  <c r="AB171" i="5" s="1"/>
  <c r="AB136" i="5" a="1"/>
  <c r="AB136" i="5" s="1"/>
  <c r="AB96" i="5" a="1"/>
  <c r="AB96" i="5" s="1"/>
  <c r="AB46" i="5" a="1"/>
  <c r="AB46" i="5" s="1"/>
  <c r="AB41" i="5" a="1"/>
  <c r="AB41" i="5" s="1"/>
  <c r="AB21" i="5" a="1"/>
  <c r="AB21" i="5" s="1"/>
  <c r="AB206" i="5" a="1"/>
  <c r="AB206" i="5" s="1"/>
  <c r="AB201" i="5" a="1"/>
  <c r="AB201" i="5" s="1"/>
  <c r="AB186" i="5" a="1"/>
  <c r="AB186" i="5" s="1"/>
  <c r="AB141" i="5" a="1"/>
  <c r="AB141" i="5" s="1"/>
  <c r="AB101" i="5" a="1"/>
  <c r="AB101" i="5" s="1"/>
  <c r="AB61" i="5" a="1"/>
  <c r="AB61" i="5" s="1"/>
  <c r="AB211" i="5" a="1"/>
  <c r="AB211" i="5" s="1"/>
  <c r="AB146" i="5" a="1"/>
  <c r="AB146" i="5" s="1"/>
  <c r="AB106" i="5" a="1"/>
  <c r="AB106" i="5" s="1"/>
  <c r="AB181" i="5" a="1"/>
  <c r="AB181" i="5" s="1"/>
  <c r="AB151" i="5" a="1"/>
  <c r="AB151" i="5" s="1"/>
  <c r="AB111" i="5" a="1"/>
  <c r="AB111" i="5" s="1"/>
  <c r="AB71" i="5" a="1"/>
  <c r="AB71" i="5" s="1"/>
  <c r="AB81" i="5" a="1"/>
  <c r="AB81" i="5" s="1"/>
  <c r="AB196" i="5" a="1"/>
  <c r="AB196" i="5" s="1"/>
  <c r="U1" i="5"/>
  <c r="AA5" i="5" s="1" a="1"/>
  <c r="AA5" i="5" s="1"/>
  <c r="V1" i="5"/>
  <c r="AB1" i="5" s="1" a="1"/>
  <c r="AB1" i="5" s="1"/>
  <c r="AA135" i="5" a="1"/>
  <c r="AA135" i="5" s="1"/>
  <c r="AB156" i="5" a="1"/>
  <c r="AB156" i="5" s="1"/>
  <c r="AB36" i="5" a="1"/>
  <c r="AB36" i="5" s="1"/>
  <c r="AB51" i="5" a="1"/>
  <c r="AB51" i="5" s="1"/>
  <c r="AB226" i="5" a="1"/>
  <c r="AB226" i="5" s="1"/>
  <c r="AB251" i="5" a="1"/>
  <c r="AB251" i="5" s="1"/>
  <c r="AB6" i="5" a="1"/>
  <c r="AB6" i="5" s="1"/>
  <c r="AA25" i="5" a="1"/>
  <c r="AA25" i="5" s="1"/>
  <c r="AA95" i="5" a="1"/>
  <c r="AA95" i="5" s="1"/>
  <c r="AB116" i="5" a="1"/>
  <c r="AB116" i="5" s="1"/>
  <c r="AA10" i="5" a="1"/>
  <c r="AA10" i="5" s="1"/>
  <c r="AB66" i="5" a="1"/>
  <c r="AB66" i="5" s="1"/>
  <c r="AA140" i="5" a="1"/>
  <c r="AA140" i="5" s="1"/>
  <c r="AB176" i="5" a="1"/>
  <c r="AB176" i="5" s="1"/>
  <c r="AA15" i="5" a="1"/>
  <c r="AA15" i="5" s="1"/>
  <c r="AB76" i="5" a="1"/>
  <c r="AB76" i="5" s="1"/>
  <c r="AA170" i="5" a="1"/>
  <c r="AA170" i="5" s="1"/>
  <c r="AA180" i="5" a="1"/>
  <c r="AA180" i="5" s="1"/>
  <c r="AA145" i="5" a="1"/>
  <c r="AA145" i="5" s="1"/>
  <c r="AA105" i="5" a="1"/>
  <c r="AA105" i="5" s="1"/>
  <c r="AA55" i="5" a="1"/>
  <c r="AA55" i="5" s="1"/>
  <c r="AA35" i="5" a="1"/>
  <c r="AA35" i="5" s="1"/>
  <c r="AA165" i="5" a="1"/>
  <c r="AA165" i="5" s="1"/>
  <c r="AA150" i="5" a="1"/>
  <c r="AA150" i="5" s="1"/>
  <c r="AA110" i="5" a="1"/>
  <c r="AA110" i="5" s="1"/>
  <c r="AA70" i="5" a="1"/>
  <c r="AA70" i="5" s="1"/>
  <c r="AA175" i="5" a="1"/>
  <c r="AA175" i="5" s="1"/>
  <c r="AA155" i="5" a="1"/>
  <c r="AA155" i="5" s="1"/>
  <c r="AA115" i="5" a="1"/>
  <c r="AA115" i="5" s="1"/>
  <c r="AA75" i="5" a="1"/>
  <c r="AA75" i="5" s="1"/>
  <c r="AA60" i="5" a="1"/>
  <c r="AA60" i="5" s="1"/>
  <c r="AA30" i="5" a="1"/>
  <c r="AA30" i="5" s="1"/>
  <c r="AA120" i="5" a="1"/>
  <c r="AA120" i="5" s="1"/>
  <c r="AA80" i="5" a="1"/>
  <c r="AA80" i="5" s="1"/>
  <c r="AA160" i="5" a="1"/>
  <c r="AA160" i="5" s="1"/>
  <c r="AA125" i="5" a="1"/>
  <c r="AA125" i="5" s="1"/>
  <c r="AA85" i="5" a="1"/>
  <c r="AA85" i="5" s="1"/>
  <c r="AA45" i="5" a="1"/>
  <c r="AA45" i="5" s="1"/>
  <c r="AA40" i="5" a="1"/>
  <c r="AA40" i="5" s="1"/>
  <c r="AA130" i="5" a="1"/>
  <c r="AA130" i="5" s="1"/>
  <c r="AA90" i="5" a="1"/>
  <c r="AA90" i="5" s="1"/>
  <c r="AA65" i="5" a="1"/>
  <c r="AA65" i="5" s="1"/>
  <c r="AB31" i="5" a="1"/>
  <c r="AB31" i="5" s="1"/>
  <c r="AA100" i="5" a="1"/>
  <c r="AA100" i="5" s="1"/>
  <c r="AB121" i="5" a="1"/>
  <c r="AB121" i="5" s="1"/>
  <c r="AB11" i="5" a="1"/>
  <c r="AB11" i="5" s="1"/>
  <c r="AB16" i="5" a="1"/>
  <c r="AB16" i="5" s="1"/>
  <c r="AA50" i="5" a="1"/>
  <c r="AA50" i="5" s="1"/>
  <c r="AB166" i="5" a="1"/>
  <c r="AB166" i="5" s="1"/>
  <c r="B52" i="5"/>
  <c r="B56" i="5"/>
  <c r="B60" i="5"/>
  <c r="B17" i="5"/>
  <c r="B21" i="5"/>
  <c r="B25" i="5"/>
  <c r="B29" i="5"/>
  <c r="B33" i="5"/>
  <c r="B37" i="5"/>
  <c r="B51" i="5"/>
  <c r="B55" i="5"/>
  <c r="B59" i="5"/>
  <c r="B30" i="5"/>
  <c r="B34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4" i="5"/>
  <c r="X1" i="4" a="1"/>
  <c r="V1" i="4" a="1"/>
  <c r="W1" i="4" a="1"/>
  <c r="Z1" i="4" a="1"/>
  <c r="Y1" i="4" a="1"/>
  <c r="Y1" i="4" s="1"/>
  <c r="T1" i="4"/>
  <c r="R1" i="4"/>
  <c r="U1" i="4"/>
  <c r="S1" i="4"/>
  <c r="Q1" i="4"/>
  <c r="B19" i="1"/>
  <c r="A40" i="1"/>
  <c r="L56" i="2" l="1"/>
  <c r="D23" i="2"/>
  <c r="J20" i="2"/>
  <c r="L20" i="2"/>
  <c r="J17" i="2"/>
  <c r="L17" i="2"/>
  <c r="O14" i="2"/>
  <c r="I14" i="2"/>
  <c r="M14" i="2"/>
  <c r="N14" i="2"/>
  <c r="D24" i="2"/>
  <c r="D27" i="2" s="1"/>
  <c r="J21" i="2"/>
  <c r="L21" i="2"/>
  <c r="J61" i="2"/>
  <c r="L61" i="2"/>
  <c r="D60" i="2"/>
  <c r="D65" i="2" s="1"/>
  <c r="J55" i="2"/>
  <c r="L55" i="2"/>
  <c r="D4" i="2"/>
  <c r="J3" i="2"/>
  <c r="L3" i="2"/>
  <c r="G25" i="1"/>
  <c r="I25" i="1" s="1"/>
  <c r="G26" i="1"/>
  <c r="I26" i="1" s="1"/>
  <c r="G24" i="1"/>
  <c r="I24" i="1" s="1"/>
  <c r="C22" i="3" s="1"/>
  <c r="C47" i="1"/>
  <c r="C48" i="1" s="1"/>
  <c r="C20" i="3"/>
  <c r="C41" i="1"/>
  <c r="C42" i="1"/>
  <c r="D26" i="2"/>
  <c r="D66" i="2"/>
  <c r="H14" i="2"/>
  <c r="H15" i="2"/>
  <c r="V1" i="4"/>
  <c r="X1" i="4"/>
  <c r="W1" i="4"/>
  <c r="Z1" i="4"/>
  <c r="C43" i="1"/>
  <c r="J65" i="2" l="1"/>
  <c r="L65" i="2"/>
  <c r="J27" i="2"/>
  <c r="L27" i="2"/>
  <c r="D29" i="2"/>
  <c r="J26" i="2"/>
  <c r="L26" i="2"/>
  <c r="J66" i="2"/>
  <c r="L66" i="2"/>
  <c r="J24" i="2"/>
  <c r="L24" i="2"/>
  <c r="J60" i="2"/>
  <c r="L60" i="2"/>
  <c r="J4" i="2"/>
  <c r="L4" i="2"/>
  <c r="D5" i="2"/>
  <c r="J23" i="2"/>
  <c r="L23" i="2"/>
  <c r="C24" i="3"/>
  <c r="C23" i="3"/>
  <c r="K51" i="2"/>
  <c r="K50" i="2"/>
  <c r="K15" i="2"/>
  <c r="P15" i="2" s="1"/>
  <c r="K14" i="2"/>
  <c r="P14" i="2" s="1"/>
  <c r="C44" i="1"/>
  <c r="D70" i="2"/>
  <c r="D30" i="2"/>
  <c r="D71" i="2"/>
  <c r="H50" i="2"/>
  <c r="J30" i="2" l="1"/>
  <c r="L30" i="2"/>
  <c r="J70" i="2"/>
  <c r="L70" i="2"/>
  <c r="D6" i="2"/>
  <c r="D7" i="2" s="1"/>
  <c r="J5" i="2"/>
  <c r="L5" i="2"/>
  <c r="D32" i="2"/>
  <c r="J29" i="2"/>
  <c r="L29" i="2"/>
  <c r="J71" i="2"/>
  <c r="L71" i="2"/>
  <c r="P50" i="2"/>
  <c r="D76" i="2"/>
  <c r="D33" i="2"/>
  <c r="D75" i="2"/>
  <c r="H51" i="2"/>
  <c r="P51" i="2"/>
  <c r="D8" i="2" l="1"/>
  <c r="J7" i="2"/>
  <c r="L7" i="2"/>
  <c r="J32" i="2"/>
  <c r="L32" i="2"/>
  <c r="D35" i="2"/>
  <c r="J6" i="2"/>
  <c r="L6" i="2"/>
  <c r="J75" i="2"/>
  <c r="L75" i="2"/>
  <c r="J33" i="2"/>
  <c r="L33" i="2"/>
  <c r="J76" i="2"/>
  <c r="L76" i="2"/>
  <c r="D81" i="2"/>
  <c r="D80" i="2"/>
  <c r="D36" i="2"/>
  <c r="F2" i="2" a="1"/>
  <c r="F2" i="2" s="1"/>
  <c r="G2" i="2" a="1"/>
  <c r="G2" i="2" s="1"/>
  <c r="K2" i="2" l="1"/>
  <c r="O2" i="2"/>
  <c r="I2" i="2"/>
  <c r="P2" i="2" s="1"/>
  <c r="M2" i="2"/>
  <c r="N2" i="2"/>
  <c r="D38" i="2"/>
  <c r="J35" i="2"/>
  <c r="L35" i="2"/>
  <c r="J80" i="2"/>
  <c r="L80" i="2"/>
  <c r="J81" i="2"/>
  <c r="L81" i="2"/>
  <c r="J36" i="2"/>
  <c r="L36" i="2"/>
  <c r="D9" i="2"/>
  <c r="J8" i="2"/>
  <c r="L8" i="2"/>
  <c r="D86" i="2"/>
  <c r="D39" i="2"/>
  <c r="H2" i="2"/>
  <c r="E2" i="2"/>
  <c r="F3" i="2" a="1"/>
  <c r="F3" i="2" s="1"/>
  <c r="E3" i="2" s="1"/>
  <c r="G3" i="2" s="1" a="1"/>
  <c r="G3" i="2" s="1"/>
  <c r="F17" i="2" a="1"/>
  <c r="F17" i="2" s="1"/>
  <c r="E17" i="2" s="1"/>
  <c r="G17" i="2" s="1" a="1"/>
  <c r="G17" i="2" s="1"/>
  <c r="F56" i="2" a="1"/>
  <c r="F56" i="2" s="1"/>
  <c r="F55" i="2" a="1"/>
  <c r="F55" i="2" s="1"/>
  <c r="F18" i="2" a="1"/>
  <c r="F18" i="2" s="1"/>
  <c r="J39" i="2" l="1"/>
  <c r="L39" i="2"/>
  <c r="J86" i="2"/>
  <c r="L86" i="2"/>
  <c r="J38" i="2"/>
  <c r="L38" i="2"/>
  <c r="D41" i="2"/>
  <c r="K17" i="2"/>
  <c r="I17" i="2"/>
  <c r="O17" i="2"/>
  <c r="M17" i="2"/>
  <c r="N17" i="2"/>
  <c r="D10" i="2"/>
  <c r="J9" i="2"/>
  <c r="L9" i="2"/>
  <c r="K3" i="2"/>
  <c r="I3" i="2"/>
  <c r="O3" i="2"/>
  <c r="N3" i="2"/>
  <c r="M3" i="2"/>
  <c r="F21" i="2" a="1"/>
  <c r="F21" i="2" s="1"/>
  <c r="E21" i="2" s="1"/>
  <c r="E18" i="2"/>
  <c r="G18" i="2" s="1" a="1"/>
  <c r="G18" i="2" s="1"/>
  <c r="F61" i="2" a="1"/>
  <c r="F61" i="2" s="1"/>
  <c r="E61" i="2" s="1"/>
  <c r="E56" i="2"/>
  <c r="G56" i="2" s="1" a="1"/>
  <c r="G56" i="2" s="1"/>
  <c r="F60" i="2" a="1"/>
  <c r="F60" i="2" s="1"/>
  <c r="E60" i="2" s="1"/>
  <c r="E55" i="2"/>
  <c r="G55" i="2" s="1" a="1"/>
  <c r="G55" i="2" s="1"/>
  <c r="D42" i="2"/>
  <c r="H17" i="2"/>
  <c r="F20" i="2" a="1"/>
  <c r="F20" i="2" s="1"/>
  <c r="E20" i="2" s="1"/>
  <c r="G20" i="2" s="1" a="1"/>
  <c r="G20" i="2" s="1"/>
  <c r="F4" i="2" a="1"/>
  <c r="F4" i="2" s="1"/>
  <c r="E4" i="2" s="1"/>
  <c r="G4" i="2" s="1" a="1"/>
  <c r="G4" i="2" s="1"/>
  <c r="P17" i="2" l="1"/>
  <c r="J10" i="2"/>
  <c r="L10" i="2"/>
  <c r="K18" i="2"/>
  <c r="I18" i="2"/>
  <c r="N18" i="2"/>
  <c r="M18" i="2"/>
  <c r="D44" i="2"/>
  <c r="D47" i="2" s="1"/>
  <c r="J41" i="2"/>
  <c r="L41" i="2"/>
  <c r="K4" i="2"/>
  <c r="O4" i="2"/>
  <c r="I4" i="2"/>
  <c r="N4" i="2"/>
  <c r="M4" i="2"/>
  <c r="K20" i="2"/>
  <c r="O20" i="2"/>
  <c r="I20" i="2"/>
  <c r="N20" i="2"/>
  <c r="M20" i="2"/>
  <c r="K56" i="2"/>
  <c r="I56" i="2"/>
  <c r="P56" i="2" s="1"/>
  <c r="N56" i="2"/>
  <c r="M56" i="2"/>
  <c r="F65" i="2" a="1"/>
  <c r="F65" i="2" s="1"/>
  <c r="E65" i="2" s="1"/>
  <c r="F66" i="2" a="1"/>
  <c r="F66" i="2" s="1"/>
  <c r="E66" i="2" s="1"/>
  <c r="D45" i="2"/>
  <c r="J42" i="2"/>
  <c r="L42" i="2"/>
  <c r="D11" i="2"/>
  <c r="I55" i="2"/>
  <c r="O55" i="2"/>
  <c r="N55" i="2"/>
  <c r="M55" i="2"/>
  <c r="G60" i="2" a="1"/>
  <c r="G60" i="2" s="1"/>
  <c r="K55" i="2"/>
  <c r="G21" i="2" a="1"/>
  <c r="G21" i="2" s="1"/>
  <c r="H55" i="2"/>
  <c r="G61" i="2" a="1"/>
  <c r="G61" i="2" s="1"/>
  <c r="F24" i="2" a="1"/>
  <c r="F24" i="2" s="1"/>
  <c r="E24" i="2" s="1"/>
  <c r="G24" i="2" s="1" a="1"/>
  <c r="G24" i="2" s="1"/>
  <c r="F5" i="2" a="1"/>
  <c r="F5" i="2" s="1"/>
  <c r="E5" i="2" s="1"/>
  <c r="G5" i="2" s="1" a="1"/>
  <c r="G5" i="2" s="1"/>
  <c r="F23" i="2" a="1"/>
  <c r="F23" i="2" s="1"/>
  <c r="E23" i="2" s="1"/>
  <c r="G23" i="2" s="1" a="1"/>
  <c r="G23" i="2" s="1"/>
  <c r="H56" i="2"/>
  <c r="H18" i="2"/>
  <c r="P18" i="2"/>
  <c r="H3" i="2"/>
  <c r="P3" i="2"/>
  <c r="P55" i="2" l="1"/>
  <c r="K24" i="2"/>
  <c r="I24" i="2"/>
  <c r="N24" i="2"/>
  <c r="M24" i="2"/>
  <c r="I61" i="2"/>
  <c r="N61" i="2"/>
  <c r="M61" i="2"/>
  <c r="D52" i="2"/>
  <c r="J47" i="2"/>
  <c r="L47" i="2"/>
  <c r="D48" i="2"/>
  <c r="J45" i="2"/>
  <c r="L45" i="2"/>
  <c r="J44" i="2"/>
  <c r="L44" i="2"/>
  <c r="O60" i="2"/>
  <c r="I60" i="2"/>
  <c r="N60" i="2"/>
  <c r="M60" i="2"/>
  <c r="K21" i="2"/>
  <c r="I21" i="2"/>
  <c r="P21" i="2" s="1"/>
  <c r="N21" i="2"/>
  <c r="M21" i="2"/>
  <c r="F70" i="2" a="1"/>
  <c r="F70" i="2" s="1"/>
  <c r="E70" i="2" s="1"/>
  <c r="D12" i="2"/>
  <c r="J11" i="2"/>
  <c r="L11" i="2"/>
  <c r="K23" i="2"/>
  <c r="I23" i="2"/>
  <c r="O23" i="2"/>
  <c r="N23" i="2"/>
  <c r="M23" i="2"/>
  <c r="F71" i="2" a="1"/>
  <c r="F71" i="2" s="1"/>
  <c r="E71" i="2" s="1"/>
  <c r="K5" i="2"/>
  <c r="I5" i="2"/>
  <c r="O5" i="2"/>
  <c r="N5" i="2"/>
  <c r="M5" i="2"/>
  <c r="G66" i="2" a="1"/>
  <c r="G66" i="2" s="1"/>
  <c r="K61" i="2"/>
  <c r="G65" i="2" a="1"/>
  <c r="G65" i="2" s="1"/>
  <c r="K60" i="2"/>
  <c r="F27" i="2" a="1"/>
  <c r="F27" i="2" s="1"/>
  <c r="E27" i="2" s="1"/>
  <c r="G27" i="2" s="1" a="1"/>
  <c r="G27" i="2" s="1"/>
  <c r="H60" i="2"/>
  <c r="F6" i="2" a="1"/>
  <c r="F6" i="2" s="1"/>
  <c r="E6" i="2" s="1"/>
  <c r="G6" i="2" s="1" a="1"/>
  <c r="G6" i="2" s="1"/>
  <c r="H20" i="2"/>
  <c r="P20" i="2"/>
  <c r="H21" i="2"/>
  <c r="P4" i="2"/>
  <c r="H4" i="2"/>
  <c r="F26" i="2" a="1"/>
  <c r="F26" i="2" s="1"/>
  <c r="E26" i="2" s="1"/>
  <c r="G26" i="2" s="1" a="1"/>
  <c r="G26" i="2" s="1"/>
  <c r="F76" i="2" a="1"/>
  <c r="F76" i="2" s="1"/>
  <c r="E76" i="2" s="1"/>
  <c r="H61" i="2"/>
  <c r="P61" i="2" l="1"/>
  <c r="P60" i="2"/>
  <c r="K27" i="2"/>
  <c r="I27" i="2"/>
  <c r="N27" i="2"/>
  <c r="M27" i="2"/>
  <c r="J48" i="2"/>
  <c r="L48" i="2"/>
  <c r="J12" i="2"/>
  <c r="L12" i="2"/>
  <c r="D13" i="2"/>
  <c r="K6" i="2"/>
  <c r="I6" i="2"/>
  <c r="O6" i="2"/>
  <c r="N6" i="2"/>
  <c r="M6" i="2"/>
  <c r="D57" i="2"/>
  <c r="J52" i="2"/>
  <c r="L52" i="2"/>
  <c r="K26" i="2"/>
  <c r="I26" i="2"/>
  <c r="O26" i="2"/>
  <c r="N26" i="2"/>
  <c r="M26" i="2"/>
  <c r="I66" i="2"/>
  <c r="P66" i="2" s="1"/>
  <c r="N66" i="2"/>
  <c r="M66" i="2"/>
  <c r="F75" i="2" a="1"/>
  <c r="F75" i="2" s="1"/>
  <c r="E75" i="2" s="1"/>
  <c r="G75" i="2" s="1" a="1"/>
  <c r="G75" i="2" s="1"/>
  <c r="K65" i="2"/>
  <c r="I65" i="2"/>
  <c r="O65" i="2"/>
  <c r="P65" i="2" s="1"/>
  <c r="M65" i="2"/>
  <c r="N65" i="2"/>
  <c r="G70" i="2" a="1"/>
  <c r="G70" i="2" s="1"/>
  <c r="H65" i="2"/>
  <c r="F30" i="2" a="1"/>
  <c r="F30" i="2" s="1"/>
  <c r="E30" i="2" s="1"/>
  <c r="G30" i="2" s="1" a="1"/>
  <c r="G30" i="2" s="1"/>
  <c r="G71" i="2" a="1"/>
  <c r="G71" i="2" s="1"/>
  <c r="K66" i="2"/>
  <c r="H66" i="2"/>
  <c r="H23" i="2"/>
  <c r="P23" i="2"/>
  <c r="F29" i="2" a="1"/>
  <c r="F29" i="2" s="1"/>
  <c r="E29" i="2" s="1"/>
  <c r="G29" i="2" s="1" a="1"/>
  <c r="G29" i="2" s="1"/>
  <c r="P5" i="2"/>
  <c r="H5" i="2"/>
  <c r="F81" i="2" a="1"/>
  <c r="F81" i="2" s="1"/>
  <c r="E81" i="2" s="1"/>
  <c r="F7" i="2" a="1"/>
  <c r="F7" i="2" s="1"/>
  <c r="E7" i="2" s="1"/>
  <c r="G7" i="2" s="1" a="1"/>
  <c r="G7" i="2" s="1"/>
  <c r="H24" i="2"/>
  <c r="P24" i="2"/>
  <c r="F33" i="2" l="1" a="1"/>
  <c r="F33" i="2" s="1"/>
  <c r="E33" i="2" s="1"/>
  <c r="G33" i="2" s="1" a="1"/>
  <c r="G33" i="2" s="1"/>
  <c r="K75" i="2"/>
  <c r="O75" i="2"/>
  <c r="P75" i="2" s="1"/>
  <c r="I75" i="2"/>
  <c r="N75" i="2"/>
  <c r="M75" i="2"/>
  <c r="D16" i="2"/>
  <c r="J13" i="2"/>
  <c r="L13" i="2"/>
  <c r="K30" i="2"/>
  <c r="I30" i="2"/>
  <c r="N30" i="2"/>
  <c r="M30" i="2"/>
  <c r="K70" i="2"/>
  <c r="I70" i="2"/>
  <c r="O70" i="2"/>
  <c r="N70" i="2"/>
  <c r="M70" i="2"/>
  <c r="K71" i="2"/>
  <c r="I71" i="2"/>
  <c r="N71" i="2"/>
  <c r="M71" i="2"/>
  <c r="J57" i="2"/>
  <c r="L57" i="2"/>
  <c r="D62" i="2"/>
  <c r="K29" i="2"/>
  <c r="O29" i="2"/>
  <c r="I29" i="2"/>
  <c r="N29" i="2"/>
  <c r="M29" i="2"/>
  <c r="K7" i="2"/>
  <c r="I7" i="2"/>
  <c r="O7" i="2"/>
  <c r="N7" i="2"/>
  <c r="M7" i="2"/>
  <c r="F80" i="2" a="1"/>
  <c r="F80" i="2" s="1"/>
  <c r="E80" i="2" s="1"/>
  <c r="G80" i="2" s="1" a="1"/>
  <c r="G80" i="2" s="1"/>
  <c r="H70" i="2"/>
  <c r="G76" i="2" a="1"/>
  <c r="G76" i="2" s="1"/>
  <c r="H6" i="2"/>
  <c r="P6" i="2"/>
  <c r="H26" i="2"/>
  <c r="P26" i="2"/>
  <c r="F36" i="2" a="1"/>
  <c r="F36" i="2" s="1"/>
  <c r="E36" i="2" s="1"/>
  <c r="H75" i="2"/>
  <c r="P27" i="2"/>
  <c r="H27" i="2"/>
  <c r="F8" i="2" a="1"/>
  <c r="F8" i="2" s="1"/>
  <c r="E8" i="2" s="1"/>
  <c r="G8" i="2" s="1" a="1"/>
  <c r="G8" i="2" s="1"/>
  <c r="F32" i="2" a="1"/>
  <c r="F32" i="2" s="1"/>
  <c r="E32" i="2" s="1"/>
  <c r="G32" i="2" s="1" a="1"/>
  <c r="G32" i="2" s="1"/>
  <c r="F86" i="2" a="1"/>
  <c r="F86" i="2" s="1"/>
  <c r="E86" i="2" s="1"/>
  <c r="H71" i="2"/>
  <c r="P71" i="2" l="1"/>
  <c r="K33" i="2"/>
  <c r="N33" i="2"/>
  <c r="G36" i="2" a="1"/>
  <c r="G36" i="2" s="1"/>
  <c r="M36" i="2" s="1"/>
  <c r="M33" i="2"/>
  <c r="I33" i="2"/>
  <c r="P70" i="2"/>
  <c r="K76" i="2"/>
  <c r="I76" i="2"/>
  <c r="P76" i="2" s="1"/>
  <c r="M76" i="2"/>
  <c r="N76" i="2"/>
  <c r="K80" i="2"/>
  <c r="I80" i="2"/>
  <c r="O80" i="2"/>
  <c r="P80" i="2" s="1"/>
  <c r="M80" i="2"/>
  <c r="N80" i="2"/>
  <c r="K8" i="2"/>
  <c r="I8" i="2"/>
  <c r="O8" i="2"/>
  <c r="N8" i="2"/>
  <c r="M8" i="2"/>
  <c r="J16" i="2"/>
  <c r="L16" i="2"/>
  <c r="D19" i="2"/>
  <c r="D22" i="2" s="1"/>
  <c r="K32" i="2"/>
  <c r="I32" i="2"/>
  <c r="O32" i="2"/>
  <c r="M32" i="2"/>
  <c r="N32" i="2"/>
  <c r="J62" i="2"/>
  <c r="L62" i="2"/>
  <c r="G81" i="2" a="1"/>
  <c r="G81" i="2" s="1"/>
  <c r="H7" i="2"/>
  <c r="P7" i="2"/>
  <c r="H30" i="2"/>
  <c r="P30" i="2"/>
  <c r="F39" i="2" a="1"/>
  <c r="F39" i="2" s="1"/>
  <c r="E39" i="2" s="1"/>
  <c r="G39" i="2" s="1" a="1"/>
  <c r="G39" i="2" s="1"/>
  <c r="P29" i="2"/>
  <c r="H29" i="2"/>
  <c r="H76" i="2"/>
  <c r="F35" i="2" a="1"/>
  <c r="F35" i="2" s="1"/>
  <c r="E35" i="2" s="1"/>
  <c r="G35" i="2" s="1" a="1"/>
  <c r="G35" i="2" s="1"/>
  <c r="F9" i="2" a="1"/>
  <c r="F9" i="2" s="1"/>
  <c r="E9" i="2" s="1"/>
  <c r="G9" i="2" s="1" a="1"/>
  <c r="G9" i="2" s="1"/>
  <c r="H80" i="2"/>
  <c r="N36" i="2" l="1"/>
  <c r="K36" i="2"/>
  <c r="I36" i="2"/>
  <c r="K39" i="2"/>
  <c r="I39" i="2"/>
  <c r="N39" i="2"/>
  <c r="M39" i="2"/>
  <c r="K35" i="2"/>
  <c r="I35" i="2"/>
  <c r="O35" i="2"/>
  <c r="N35" i="2"/>
  <c r="M35" i="2"/>
  <c r="J22" i="2"/>
  <c r="L22" i="2"/>
  <c r="J19" i="2"/>
  <c r="L19" i="2"/>
  <c r="D25" i="2"/>
  <c r="K81" i="2"/>
  <c r="I81" i="2"/>
  <c r="P81" i="2" s="1"/>
  <c r="M81" i="2"/>
  <c r="N81" i="2"/>
  <c r="K9" i="2"/>
  <c r="I9" i="2"/>
  <c r="O9" i="2"/>
  <c r="N9" i="2"/>
  <c r="M9" i="2"/>
  <c r="G86" i="2" a="1"/>
  <c r="G86" i="2" s="1"/>
  <c r="H8" i="2"/>
  <c r="P8" i="2"/>
  <c r="F42" i="2" a="1"/>
  <c r="F42" i="2" s="1"/>
  <c r="E42" i="2" s="1"/>
  <c r="G42" i="2" s="1" a="1"/>
  <c r="G42" i="2" s="1"/>
  <c r="H81" i="2"/>
  <c r="F10" i="2" a="1"/>
  <c r="F10" i="2" s="1"/>
  <c r="E10" i="2" s="1"/>
  <c r="G10" i="2" s="1" a="1"/>
  <c r="G10" i="2" s="1"/>
  <c r="P33" i="2"/>
  <c r="H33" i="2"/>
  <c r="P32" i="2"/>
  <c r="H32" i="2"/>
  <c r="F38" i="2" a="1"/>
  <c r="F38" i="2" s="1"/>
  <c r="E38" i="2" s="1"/>
  <c r="G38" i="2" s="1" a="1"/>
  <c r="G38" i="2" s="1"/>
  <c r="K38" i="2" l="1"/>
  <c r="I38" i="2"/>
  <c r="O38" i="2"/>
  <c r="N38" i="2"/>
  <c r="M38" i="2"/>
  <c r="K86" i="2"/>
  <c r="I86" i="2"/>
  <c r="P86" i="2" s="1"/>
  <c r="N86" i="2"/>
  <c r="M86" i="2"/>
  <c r="K10" i="2"/>
  <c r="I10" i="2"/>
  <c r="O10" i="2"/>
  <c r="N10" i="2"/>
  <c r="M10" i="2"/>
  <c r="D28" i="2"/>
  <c r="J25" i="2"/>
  <c r="L25" i="2"/>
  <c r="K42" i="2"/>
  <c r="I42" i="2"/>
  <c r="N42" i="2"/>
  <c r="M42" i="2"/>
  <c r="H9" i="2"/>
  <c r="P9" i="2"/>
  <c r="P35" i="2"/>
  <c r="H35" i="2"/>
  <c r="H86" i="2"/>
  <c r="F45" i="2" a="1"/>
  <c r="F45" i="2" s="1"/>
  <c r="E45" i="2" s="1"/>
  <c r="G45" i="2" s="1" a="1"/>
  <c r="G45" i="2" s="1"/>
  <c r="F41" i="2" a="1"/>
  <c r="F41" i="2" s="1"/>
  <c r="E41" i="2" s="1"/>
  <c r="G41" i="2" s="1" a="1"/>
  <c r="G41" i="2" s="1"/>
  <c r="P36" i="2"/>
  <c r="H36" i="2"/>
  <c r="F11" i="2" a="1"/>
  <c r="F11" i="2" s="1"/>
  <c r="E11" i="2" s="1"/>
  <c r="G11" i="2" s="1" a="1"/>
  <c r="G11" i="2" s="1"/>
  <c r="K11" i="2" l="1"/>
  <c r="O11" i="2"/>
  <c r="I11" i="2"/>
  <c r="N11" i="2"/>
  <c r="M11" i="2"/>
  <c r="K45" i="2"/>
  <c r="I45" i="2"/>
  <c r="N45" i="2"/>
  <c r="M45" i="2"/>
  <c r="K41" i="2"/>
  <c r="I41" i="2"/>
  <c r="O41" i="2"/>
  <c r="N41" i="2"/>
  <c r="M41" i="2"/>
  <c r="D31" i="2"/>
  <c r="J28" i="2"/>
  <c r="L28" i="2"/>
  <c r="P10" i="2"/>
  <c r="H10" i="2"/>
  <c r="F12" i="2" a="1"/>
  <c r="F12" i="2" s="1"/>
  <c r="E12" i="2" s="1"/>
  <c r="G12" i="2" s="1" a="1"/>
  <c r="G12" i="2" s="1"/>
  <c r="F44" i="2" a="1"/>
  <c r="F44" i="2" s="1"/>
  <c r="E44" i="2" s="1"/>
  <c r="G44" i="2" s="1" a="1"/>
  <c r="G44" i="2" s="1"/>
  <c r="H38" i="2"/>
  <c r="P38" i="2"/>
  <c r="F48" i="2" a="1"/>
  <c r="F48" i="2" s="1"/>
  <c r="E48" i="2" s="1"/>
  <c r="G48" i="2" s="1" a="1"/>
  <c r="G48" i="2" s="1"/>
  <c r="P39" i="2"/>
  <c r="H39" i="2"/>
  <c r="D34" i="2" l="1"/>
  <c r="J31" i="2"/>
  <c r="L31" i="2"/>
  <c r="K48" i="2"/>
  <c r="I48" i="2"/>
  <c r="M48" i="2"/>
  <c r="N48" i="2"/>
  <c r="K44" i="2"/>
  <c r="O44" i="2"/>
  <c r="I44" i="2"/>
  <c r="N44" i="2"/>
  <c r="M44" i="2"/>
  <c r="K12" i="2"/>
  <c r="O12" i="2"/>
  <c r="I12" i="2"/>
  <c r="M12" i="2"/>
  <c r="N12" i="2"/>
  <c r="P11" i="2"/>
  <c r="H11" i="2"/>
  <c r="F13" i="2" a="1"/>
  <c r="F13" i="2" s="1"/>
  <c r="E13" i="2" s="1"/>
  <c r="G13" i="2" s="1" a="1"/>
  <c r="G13" i="2" s="1"/>
  <c r="P41" i="2"/>
  <c r="H41" i="2"/>
  <c r="F47" i="2" a="1"/>
  <c r="F47" i="2" s="1"/>
  <c r="E47" i="2" s="1"/>
  <c r="G47" i="2" s="1" a="1"/>
  <c r="G47" i="2" s="1"/>
  <c r="P42" i="2"/>
  <c r="H42" i="2"/>
  <c r="K47" i="2" l="1"/>
  <c r="I47" i="2"/>
  <c r="O47" i="2"/>
  <c r="M47" i="2"/>
  <c r="N47" i="2"/>
  <c r="K13" i="2"/>
  <c r="O13" i="2"/>
  <c r="I13" i="2"/>
  <c r="N13" i="2"/>
  <c r="M13" i="2"/>
  <c r="J34" i="2"/>
  <c r="L34" i="2"/>
  <c r="D37" i="2"/>
  <c r="P44" i="2"/>
  <c r="H44" i="2"/>
  <c r="H12" i="2"/>
  <c r="P12" i="2"/>
  <c r="F52" i="2" a="1"/>
  <c r="F52" i="2" s="1"/>
  <c r="E52" i="2" s="1"/>
  <c r="G52" i="2" s="1" a="1"/>
  <c r="G52" i="2" s="1"/>
  <c r="F16" i="2" a="1"/>
  <c r="F16" i="2" s="1"/>
  <c r="E16" i="2" s="1"/>
  <c r="G16" i="2" s="1" a="1"/>
  <c r="G16" i="2" s="1"/>
  <c r="H45" i="2"/>
  <c r="P45" i="2"/>
  <c r="K16" i="2" l="1"/>
  <c r="I16" i="2"/>
  <c r="M16" i="2"/>
  <c r="N16" i="2"/>
  <c r="D40" i="2"/>
  <c r="J37" i="2"/>
  <c r="L37" i="2"/>
  <c r="K52" i="2"/>
  <c r="I52" i="2"/>
  <c r="N52" i="2"/>
  <c r="M52" i="2"/>
  <c r="P47" i="2"/>
  <c r="H47" i="2"/>
  <c r="H13" i="2"/>
  <c r="P13" i="2"/>
  <c r="H48" i="2"/>
  <c r="P48" i="2"/>
  <c r="F57" i="2" a="1"/>
  <c r="F57" i="2" s="1"/>
  <c r="E57" i="2" s="1"/>
  <c r="G57" i="2" s="1" a="1"/>
  <c r="G57" i="2" s="1"/>
  <c r="F19" i="2" a="1"/>
  <c r="F19" i="2" s="1"/>
  <c r="E19" i="2" s="1"/>
  <c r="G19" i="2" s="1" a="1"/>
  <c r="G19" i="2" s="1"/>
  <c r="K19" i="2" l="1"/>
  <c r="I19" i="2"/>
  <c r="N19" i="2"/>
  <c r="M19" i="2"/>
  <c r="K57" i="2"/>
  <c r="I57" i="2"/>
  <c r="N57" i="2"/>
  <c r="M57" i="2"/>
  <c r="J40" i="2"/>
  <c r="L40" i="2"/>
  <c r="D43" i="2"/>
  <c r="P52" i="2"/>
  <c r="H52" i="2"/>
  <c r="F62" i="2" a="1"/>
  <c r="F62" i="2" s="1"/>
  <c r="E62" i="2" s="1"/>
  <c r="G62" i="2" s="1" a="1"/>
  <c r="G62" i="2" s="1"/>
  <c r="F22" i="2" a="1"/>
  <c r="F22" i="2" s="1"/>
  <c r="E22" i="2" s="1"/>
  <c r="G22" i="2" s="1" a="1"/>
  <c r="G22" i="2" s="1"/>
  <c r="H16" i="2"/>
  <c r="P16" i="2"/>
  <c r="K22" i="2" l="1"/>
  <c r="I22" i="2"/>
  <c r="N22" i="2"/>
  <c r="M22" i="2"/>
  <c r="D46" i="2"/>
  <c r="J43" i="2"/>
  <c r="L43" i="2"/>
  <c r="K62" i="2"/>
  <c r="I62" i="2"/>
  <c r="M62" i="2"/>
  <c r="N62" i="2"/>
  <c r="H57" i="2"/>
  <c r="P57" i="2"/>
  <c r="H19" i="2"/>
  <c r="P19" i="2"/>
  <c r="F25" i="2" a="1"/>
  <c r="F25" i="2" s="1"/>
  <c r="E25" i="2" s="1"/>
  <c r="G25" i="2" s="1" a="1"/>
  <c r="G25" i="2" s="1"/>
  <c r="K25" i="2" l="1"/>
  <c r="I25" i="2"/>
  <c r="N25" i="2"/>
  <c r="M25" i="2"/>
  <c r="J46" i="2"/>
  <c r="L46" i="2"/>
  <c r="D49" i="2"/>
  <c r="F28" i="2" a="1"/>
  <c r="F28" i="2" s="1"/>
  <c r="E28" i="2" s="1"/>
  <c r="G28" i="2" s="1" a="1"/>
  <c r="G28" i="2" s="1"/>
  <c r="H22" i="2"/>
  <c r="P22" i="2"/>
  <c r="H62" i="2"/>
  <c r="P62" i="2"/>
  <c r="D53" i="2" l="1"/>
  <c r="J49" i="2"/>
  <c r="L49" i="2"/>
  <c r="K28" i="2"/>
  <c r="I28" i="2"/>
  <c r="M28" i="2"/>
  <c r="N28" i="2"/>
  <c r="H25" i="2"/>
  <c r="P25" i="2"/>
  <c r="F31" i="2" a="1"/>
  <c r="F31" i="2" s="1"/>
  <c r="E31" i="2" s="1"/>
  <c r="G31" i="2" s="1" a="1"/>
  <c r="G31" i="2" s="1"/>
  <c r="K31" i="2" l="1"/>
  <c r="I31" i="2"/>
  <c r="M31" i="2"/>
  <c r="N31" i="2"/>
  <c r="D58" i="2"/>
  <c r="J53" i="2"/>
  <c r="L53" i="2"/>
  <c r="F53" i="2" a="1"/>
  <c r="F53" i="2" s="1"/>
  <c r="D54" i="2"/>
  <c r="H28" i="2"/>
  <c r="P28" i="2"/>
  <c r="F34" i="2" a="1"/>
  <c r="F34" i="2" s="1"/>
  <c r="E34" i="2" s="1"/>
  <c r="G34" i="2" s="1" a="1"/>
  <c r="G34" i="2" s="1"/>
  <c r="K34" i="2" l="1"/>
  <c r="I34" i="2"/>
  <c r="N34" i="2"/>
  <c r="M34" i="2"/>
  <c r="E53" i="2"/>
  <c r="G53" i="2" s="1" a="1"/>
  <c r="G53" i="2" s="1"/>
  <c r="F58" i="2" a="1"/>
  <c r="F58" i="2" s="1"/>
  <c r="D59" i="2"/>
  <c r="J54" i="2"/>
  <c r="L54" i="2"/>
  <c r="J58" i="2"/>
  <c r="L58" i="2"/>
  <c r="P31" i="2"/>
  <c r="H31" i="2"/>
  <c r="F37" i="2" a="1"/>
  <c r="F37" i="2" s="1"/>
  <c r="E37" i="2" s="1"/>
  <c r="G37" i="2" s="1" a="1"/>
  <c r="G37" i="2" s="1"/>
  <c r="D63" i="2" l="1"/>
  <c r="F63" i="2" s="1" a="1"/>
  <c r="F63" i="2" s="1"/>
  <c r="J59" i="2"/>
  <c r="L59" i="2"/>
  <c r="E58" i="2"/>
  <c r="G58" i="2" s="1" a="1"/>
  <c r="G58" i="2" s="1"/>
  <c r="K53" i="2"/>
  <c r="I53" i="2"/>
  <c r="P53" i="2" s="1"/>
  <c r="N53" i="2"/>
  <c r="M53" i="2"/>
  <c r="H53" i="2"/>
  <c r="K37" i="2"/>
  <c r="I37" i="2"/>
  <c r="N37" i="2"/>
  <c r="M37" i="2"/>
  <c r="P34" i="2"/>
  <c r="H34" i="2"/>
  <c r="F40" i="2" a="1"/>
  <c r="F40" i="2" s="1"/>
  <c r="E40" i="2" s="1"/>
  <c r="G40" i="2" s="1" a="1"/>
  <c r="G40" i="2" s="1"/>
  <c r="K40" i="2" l="1"/>
  <c r="I40" i="2"/>
  <c r="N40" i="2"/>
  <c r="M40" i="2"/>
  <c r="E63" i="2"/>
  <c r="G63" i="2" s="1" a="1"/>
  <c r="G63" i="2" s="1"/>
  <c r="K58" i="2"/>
  <c r="I58" i="2"/>
  <c r="N58" i="2"/>
  <c r="M58" i="2"/>
  <c r="H58" i="2"/>
  <c r="D64" i="2"/>
  <c r="J63" i="2"/>
  <c r="L63" i="2"/>
  <c r="P37" i="2"/>
  <c r="H37" i="2"/>
  <c r="F43" i="2" a="1"/>
  <c r="F43" i="2" s="1"/>
  <c r="E43" i="2" s="1"/>
  <c r="G43" i="2" s="1" a="1"/>
  <c r="G43" i="2" s="1"/>
  <c r="P58" i="2" l="1"/>
  <c r="K43" i="2"/>
  <c r="I43" i="2"/>
  <c r="N43" i="2"/>
  <c r="M43" i="2"/>
  <c r="K63" i="2"/>
  <c r="I63" i="2"/>
  <c r="P63" i="2" s="1"/>
  <c r="M63" i="2"/>
  <c r="N63" i="2"/>
  <c r="H63" i="2"/>
  <c r="D67" i="2"/>
  <c r="J64" i="2"/>
  <c r="L64" i="2"/>
  <c r="F46" i="2" a="1"/>
  <c r="F46" i="2" s="1"/>
  <c r="E46" i="2" s="1"/>
  <c r="G46" i="2" s="1" a="1"/>
  <c r="G46" i="2" s="1"/>
  <c r="P40" i="2"/>
  <c r="H40" i="2"/>
  <c r="D68" i="2" l="1"/>
  <c r="J67" i="2"/>
  <c r="L67" i="2"/>
  <c r="F67" i="2" a="1"/>
  <c r="F67" i="2" s="1"/>
  <c r="K46" i="2"/>
  <c r="I46" i="2"/>
  <c r="M46" i="2"/>
  <c r="N46" i="2"/>
  <c r="H43" i="2"/>
  <c r="P43" i="2"/>
  <c r="F49" i="2" a="1"/>
  <c r="F49" i="2" s="1"/>
  <c r="E49" i="2" s="1"/>
  <c r="G49" i="2" s="1" a="1"/>
  <c r="G49" i="2" s="1"/>
  <c r="K49" i="2" l="1"/>
  <c r="I49" i="2"/>
  <c r="M49" i="2"/>
  <c r="N49" i="2"/>
  <c r="E67" i="2"/>
  <c r="G67" i="2" s="1" a="1"/>
  <c r="G67" i="2" s="1"/>
  <c r="D69" i="2"/>
  <c r="J68" i="2"/>
  <c r="L68" i="2"/>
  <c r="D73" i="2"/>
  <c r="F68" i="2" a="1"/>
  <c r="F68" i="2" s="1"/>
  <c r="F54" i="2" a="1"/>
  <c r="F54" i="2" s="1"/>
  <c r="E54" i="2" s="1"/>
  <c r="G54" i="2" s="1" a="1"/>
  <c r="G54" i="2" s="1"/>
  <c r="H46" i="2"/>
  <c r="P46" i="2"/>
  <c r="D74" i="2" l="1"/>
  <c r="J73" i="2"/>
  <c r="L73" i="2"/>
  <c r="E68" i="2"/>
  <c r="G68" i="2" s="1" a="1"/>
  <c r="G68" i="2" s="1"/>
  <c r="F73" i="2" a="1"/>
  <c r="F73" i="2" s="1"/>
  <c r="D72" i="2"/>
  <c r="J69" i="2"/>
  <c r="L69" i="2"/>
  <c r="K67" i="2"/>
  <c r="I67" i="2"/>
  <c r="P67" i="2" s="1"/>
  <c r="N67" i="2"/>
  <c r="M67" i="2"/>
  <c r="H67" i="2"/>
  <c r="K54" i="2"/>
  <c r="I54" i="2"/>
  <c r="N54" i="2"/>
  <c r="M54" i="2"/>
  <c r="H49" i="2"/>
  <c r="P49" i="2"/>
  <c r="F59" i="2" a="1"/>
  <c r="F59" i="2" s="1"/>
  <c r="E59" i="2" s="1"/>
  <c r="G59" i="2" s="1" a="1"/>
  <c r="G59" i="2" s="1"/>
  <c r="K59" i="2" l="1"/>
  <c r="I59" i="2"/>
  <c r="N59" i="2"/>
  <c r="M59" i="2"/>
  <c r="J72" i="2"/>
  <c r="L72" i="2"/>
  <c r="F72" i="2" a="1"/>
  <c r="F72" i="2" s="1"/>
  <c r="E73" i="2"/>
  <c r="G73" i="2" s="1" a="1"/>
  <c r="G73" i="2" s="1"/>
  <c r="K68" i="2"/>
  <c r="I68" i="2"/>
  <c r="P68" i="2" s="1"/>
  <c r="N68" i="2"/>
  <c r="M68" i="2"/>
  <c r="H68" i="2"/>
  <c r="D77" i="2"/>
  <c r="J74" i="2"/>
  <c r="L74" i="2"/>
  <c r="P54" i="2"/>
  <c r="H54" i="2"/>
  <c r="F64" i="2" a="1"/>
  <c r="F64" i="2" s="1"/>
  <c r="E64" i="2" s="1"/>
  <c r="G64" i="2" s="1" a="1"/>
  <c r="G64" i="2" s="1"/>
  <c r="E72" i="2" l="1"/>
  <c r="G72" i="2" s="1" a="1"/>
  <c r="G72" i="2" s="1"/>
  <c r="F77" i="2" a="1"/>
  <c r="F77" i="2" s="1"/>
  <c r="K73" i="2"/>
  <c r="I73" i="2"/>
  <c r="P73" i="2" s="1"/>
  <c r="N73" i="2"/>
  <c r="M73" i="2"/>
  <c r="H73" i="2"/>
  <c r="D78" i="2"/>
  <c r="J77" i="2"/>
  <c r="L77" i="2"/>
  <c r="K64" i="2"/>
  <c r="I64" i="2"/>
  <c r="M64" i="2"/>
  <c r="N64" i="2"/>
  <c r="H59" i="2"/>
  <c r="P59" i="2"/>
  <c r="F69" i="2" a="1"/>
  <c r="F69" i="2" s="1"/>
  <c r="E69" i="2" s="1"/>
  <c r="G69" i="2" s="1" a="1"/>
  <c r="G69" i="2" s="1"/>
  <c r="K69" i="2" l="1"/>
  <c r="I69" i="2"/>
  <c r="N69" i="2"/>
  <c r="M69" i="2"/>
  <c r="D79" i="2"/>
  <c r="J78" i="2"/>
  <c r="L78" i="2"/>
  <c r="F78" i="2" a="1"/>
  <c r="F78" i="2" s="1"/>
  <c r="E77" i="2"/>
  <c r="G77" i="2" s="1" a="1"/>
  <c r="G77" i="2" s="1"/>
  <c r="K72" i="2"/>
  <c r="I72" i="2"/>
  <c r="P72" i="2" s="1"/>
  <c r="N72" i="2"/>
  <c r="M72" i="2"/>
  <c r="H72" i="2"/>
  <c r="H64" i="2"/>
  <c r="P64" i="2"/>
  <c r="F74" i="2" a="1"/>
  <c r="F74" i="2" s="1"/>
  <c r="E74" i="2" s="1"/>
  <c r="G74" i="2" s="1" a="1"/>
  <c r="G74" i="2" s="1"/>
  <c r="K74" i="2" l="1"/>
  <c r="I74" i="2"/>
  <c r="N74" i="2"/>
  <c r="M74" i="2"/>
  <c r="K77" i="2"/>
  <c r="I77" i="2"/>
  <c r="P77" i="2" s="1"/>
  <c r="N77" i="2"/>
  <c r="M77" i="2"/>
  <c r="H77" i="2"/>
  <c r="E78" i="2"/>
  <c r="G78" i="2" s="1" a="1"/>
  <c r="G78" i="2" s="1"/>
  <c r="D82" i="2"/>
  <c r="J79" i="2"/>
  <c r="L79" i="2"/>
  <c r="F79" i="2" a="1"/>
  <c r="F79" i="2" s="1"/>
  <c r="E79" i="2" s="1"/>
  <c r="G79" i="2" s="1" a="1"/>
  <c r="G79" i="2" s="1"/>
  <c r="H69" i="2"/>
  <c r="P69" i="2"/>
  <c r="D83" i="2" l="1"/>
  <c r="J82" i="2"/>
  <c r="L82" i="2"/>
  <c r="D87" i="2"/>
  <c r="D92" i="2" s="1"/>
  <c r="F82" i="2" a="1"/>
  <c r="F82" i="2" s="1"/>
  <c r="K79" i="2"/>
  <c r="I79" i="2"/>
  <c r="M79" i="2"/>
  <c r="N79" i="2"/>
  <c r="K78" i="2"/>
  <c r="I78" i="2"/>
  <c r="P78" i="2" s="1"/>
  <c r="M78" i="2"/>
  <c r="N78" i="2"/>
  <c r="H78" i="2"/>
  <c r="H74" i="2"/>
  <c r="P74" i="2"/>
  <c r="E82" i="2" l="1"/>
  <c r="G82" i="2" s="1" a="1"/>
  <c r="G82" i="2" s="1"/>
  <c r="F87" i="2" a="1"/>
  <c r="F87" i="2" s="1"/>
  <c r="J92" i="2"/>
  <c r="L92" i="2"/>
  <c r="D88" i="2"/>
  <c r="D93" i="2" s="1"/>
  <c r="J87" i="2"/>
  <c r="L87" i="2"/>
  <c r="D97" i="2"/>
  <c r="D84" i="2"/>
  <c r="J83" i="2"/>
  <c r="L83" i="2"/>
  <c r="F83" i="2" a="1"/>
  <c r="F83" i="2" s="1"/>
  <c r="H79" i="2"/>
  <c r="P79" i="2"/>
  <c r="J93" i="2" l="1"/>
  <c r="L93" i="2"/>
  <c r="E83" i="2"/>
  <c r="G83" i="2" s="1" a="1"/>
  <c r="G83" i="2" s="1"/>
  <c r="F88" i="2" a="1"/>
  <c r="F88" i="2" s="1"/>
  <c r="D85" i="2"/>
  <c r="J84" i="2"/>
  <c r="L84" i="2"/>
  <c r="F84" i="2" a="1"/>
  <c r="F84" i="2" s="1"/>
  <c r="D102" i="2"/>
  <c r="J97" i="2"/>
  <c r="L97" i="2"/>
  <c r="D89" i="2"/>
  <c r="J88" i="2"/>
  <c r="L88" i="2"/>
  <c r="E87" i="2"/>
  <c r="G87" i="2" s="1" a="1"/>
  <c r="G87" i="2" s="1"/>
  <c r="F92" i="2" a="1"/>
  <c r="F92" i="2" s="1"/>
  <c r="K82" i="2"/>
  <c r="I82" i="2"/>
  <c r="N82" i="2"/>
  <c r="M82" i="2"/>
  <c r="H82" i="2"/>
  <c r="K87" i="2" l="1"/>
  <c r="I87" i="2"/>
  <c r="P87" i="2" s="1"/>
  <c r="N87" i="2"/>
  <c r="M87" i="2"/>
  <c r="H87" i="2"/>
  <c r="J102" i="2"/>
  <c r="L102" i="2"/>
  <c r="E84" i="2"/>
  <c r="G84" i="2" s="1" a="1"/>
  <c r="G84" i="2" s="1"/>
  <c r="F89" i="2" a="1"/>
  <c r="F89" i="2" s="1"/>
  <c r="D94" i="2"/>
  <c r="J89" i="2"/>
  <c r="L89" i="2"/>
  <c r="D90" i="2"/>
  <c r="J85" i="2"/>
  <c r="L85" i="2"/>
  <c r="F85" i="2" a="1"/>
  <c r="F85" i="2" s="1"/>
  <c r="E88" i="2"/>
  <c r="G88" i="2" s="1" a="1"/>
  <c r="G88" i="2" s="1"/>
  <c r="F93" i="2" a="1"/>
  <c r="F93" i="2" s="1"/>
  <c r="E92" i="2"/>
  <c r="G92" i="2" s="1" a="1"/>
  <c r="G92" i="2" s="1"/>
  <c r="F97" i="2" a="1"/>
  <c r="F97" i="2" s="1"/>
  <c r="K83" i="2"/>
  <c r="I83" i="2"/>
  <c r="P83" i="2" s="1"/>
  <c r="N83" i="2"/>
  <c r="M83" i="2"/>
  <c r="H83" i="2"/>
  <c r="P82" i="2"/>
  <c r="D99" i="2" l="1"/>
  <c r="J94" i="2"/>
  <c r="L94" i="2"/>
  <c r="E89" i="2"/>
  <c r="G89" i="2" s="1" a="1"/>
  <c r="G89" i="2" s="1"/>
  <c r="F94" i="2" a="1"/>
  <c r="F94" i="2" s="1"/>
  <c r="K84" i="2"/>
  <c r="I84" i="2"/>
  <c r="P84" i="2" s="1"/>
  <c r="N84" i="2"/>
  <c r="M84" i="2"/>
  <c r="H84" i="2"/>
  <c r="E97" i="2"/>
  <c r="G97" i="2" s="1" a="1"/>
  <c r="G97" i="2" s="1"/>
  <c r="F102" i="2" a="1"/>
  <c r="F102" i="2" s="1"/>
  <c r="E93" i="2"/>
  <c r="G93" i="2" s="1" a="1"/>
  <c r="G93" i="2" s="1"/>
  <c r="K88" i="2"/>
  <c r="I88" i="2"/>
  <c r="P88" i="2" s="1"/>
  <c r="N88" i="2"/>
  <c r="M88" i="2"/>
  <c r="H88" i="2"/>
  <c r="D91" i="2"/>
  <c r="J90" i="2"/>
  <c r="L90" i="2"/>
  <c r="D95" i="2"/>
  <c r="K92" i="2"/>
  <c r="I92" i="2"/>
  <c r="P92" i="2" s="1"/>
  <c r="M92" i="2"/>
  <c r="N92" i="2"/>
  <c r="H92" i="2"/>
  <c r="E85" i="2"/>
  <c r="G85" i="2" s="1" a="1"/>
  <c r="G85" i="2" s="1"/>
  <c r="F90" i="2" a="1"/>
  <c r="F90" i="2" s="1"/>
  <c r="E90" i="2" l="1"/>
  <c r="G90" i="2" s="1" a="1"/>
  <c r="G90" i="2" s="1"/>
  <c r="F95" i="2" a="1"/>
  <c r="F95" i="2" s="1"/>
  <c r="K85" i="2"/>
  <c r="I85" i="2"/>
  <c r="O85" i="2"/>
  <c r="N85" i="2"/>
  <c r="M85" i="2"/>
  <c r="H85" i="2"/>
  <c r="D100" i="2"/>
  <c r="J95" i="2"/>
  <c r="L95" i="2"/>
  <c r="E94" i="2"/>
  <c r="G94" i="2" s="1" a="1"/>
  <c r="G94" i="2" s="1"/>
  <c r="F99" i="2" a="1"/>
  <c r="F99" i="2" s="1"/>
  <c r="K89" i="2"/>
  <c r="I89" i="2"/>
  <c r="N89" i="2"/>
  <c r="M89" i="2"/>
  <c r="H89" i="2"/>
  <c r="K93" i="2"/>
  <c r="I93" i="2"/>
  <c r="P93" i="2" s="1"/>
  <c r="N93" i="2"/>
  <c r="M93" i="2"/>
  <c r="H93" i="2"/>
  <c r="E102" i="2"/>
  <c r="G102" i="2" s="1" a="1"/>
  <c r="G102" i="2" s="1"/>
  <c r="D96" i="2"/>
  <c r="J91" i="2"/>
  <c r="L91" i="2"/>
  <c r="F91" i="2" a="1"/>
  <c r="F91" i="2" s="1"/>
  <c r="K97" i="2"/>
  <c r="I97" i="2"/>
  <c r="P97" i="2" s="1"/>
  <c r="M97" i="2"/>
  <c r="N97" i="2"/>
  <c r="H97" i="2"/>
  <c r="J99" i="2"/>
  <c r="L99" i="2"/>
  <c r="P89" i="2" l="1"/>
  <c r="E99" i="2"/>
  <c r="G99" i="2" s="1" a="1"/>
  <c r="G99" i="2" s="1"/>
  <c r="J100" i="2"/>
  <c r="L100" i="2"/>
  <c r="K102" i="2"/>
  <c r="I102" i="2"/>
  <c r="N102" i="2"/>
  <c r="M102" i="2"/>
  <c r="H102" i="2"/>
  <c r="J96" i="2"/>
  <c r="L96" i="2"/>
  <c r="D98" i="2"/>
  <c r="D105" i="2"/>
  <c r="D101" i="2"/>
  <c r="E91" i="2"/>
  <c r="G91" i="2" s="1" a="1"/>
  <c r="G91" i="2" s="1"/>
  <c r="F96" i="2" a="1"/>
  <c r="F96" i="2" s="1"/>
  <c r="P85" i="2"/>
  <c r="E95" i="2"/>
  <c r="G95" i="2" s="1" a="1"/>
  <c r="G95" i="2" s="1"/>
  <c r="F100" i="2" a="1"/>
  <c r="F100" i="2" s="1"/>
  <c r="K94" i="2"/>
  <c r="I94" i="2"/>
  <c r="M94" i="2"/>
  <c r="N94" i="2"/>
  <c r="H94" i="2"/>
  <c r="K90" i="2"/>
  <c r="I90" i="2"/>
  <c r="O90" i="2"/>
  <c r="N90" i="2"/>
  <c r="M90" i="2"/>
  <c r="H90" i="2"/>
  <c r="P94" i="2" l="1"/>
  <c r="E96" i="2"/>
  <c r="F101" i="2" a="1"/>
  <c r="F101" i="2" s="1"/>
  <c r="J105" i="2"/>
  <c r="L105" i="2"/>
  <c r="J101" i="2"/>
  <c r="L101" i="2"/>
  <c r="D106" i="2"/>
  <c r="K91" i="2"/>
  <c r="I91" i="2"/>
  <c r="P91" i="2" s="1"/>
  <c r="N91" i="2"/>
  <c r="M91" i="2"/>
  <c r="G96" i="2" a="1"/>
  <c r="G96" i="2" s="1"/>
  <c r="H91" i="2"/>
  <c r="J98" i="2"/>
  <c r="L98" i="2"/>
  <c r="D103" i="2"/>
  <c r="F98" i="2" a="1"/>
  <c r="F98" i="2" s="1"/>
  <c r="P90" i="2"/>
  <c r="P102" i="2"/>
  <c r="E100" i="2"/>
  <c r="G100" i="2" s="1" a="1"/>
  <c r="G100" i="2" s="1"/>
  <c r="F105" i="2" a="1"/>
  <c r="F105" i="2" s="1"/>
  <c r="K95" i="2"/>
  <c r="I95" i="2"/>
  <c r="O95" i="2"/>
  <c r="M95" i="2"/>
  <c r="N95" i="2"/>
  <c r="H95" i="2"/>
  <c r="K99" i="2"/>
  <c r="I99" i="2"/>
  <c r="P99" i="2" s="1"/>
  <c r="N99" i="2"/>
  <c r="M99" i="2"/>
  <c r="H99" i="2"/>
  <c r="D104" i="2" l="1"/>
  <c r="J103" i="2"/>
  <c r="L103" i="2"/>
  <c r="K96" i="2"/>
  <c r="I96" i="2"/>
  <c r="P96" i="2" s="1"/>
  <c r="M96" i="2"/>
  <c r="N96" i="2"/>
  <c r="G101" i="2" a="1"/>
  <c r="G101" i="2" s="1"/>
  <c r="H96" i="2"/>
  <c r="J106" i="2"/>
  <c r="L106" i="2"/>
  <c r="D107" i="2"/>
  <c r="P95" i="2"/>
  <c r="E105" i="2"/>
  <c r="G105" i="2" s="1" a="1"/>
  <c r="G105" i="2" s="1"/>
  <c r="K100" i="2"/>
  <c r="O100" i="2"/>
  <c r="I100" i="2"/>
  <c r="N100" i="2"/>
  <c r="M100" i="2"/>
  <c r="H100" i="2"/>
  <c r="E101" i="2"/>
  <c r="F106" i="2" a="1"/>
  <c r="F106" i="2" s="1"/>
  <c r="E98" i="2"/>
  <c r="G98" i="2" s="1" a="1"/>
  <c r="G98" i="2" s="1"/>
  <c r="F103" i="2" a="1"/>
  <c r="F103" i="2" s="1"/>
  <c r="K105" i="2" l="1"/>
  <c r="I105" i="2"/>
  <c r="O105" i="2"/>
  <c r="N105" i="2"/>
  <c r="M105" i="2"/>
  <c r="H105" i="2"/>
  <c r="E103" i="2"/>
  <c r="G103" i="2" s="1" a="1"/>
  <c r="G103" i="2" s="1"/>
  <c r="F108" i="2" a="1"/>
  <c r="F108" i="2" s="1"/>
  <c r="K98" i="2"/>
  <c r="I98" i="2"/>
  <c r="P98" i="2" s="1"/>
  <c r="N98" i="2"/>
  <c r="M98" i="2"/>
  <c r="H98" i="2"/>
  <c r="E106" i="2"/>
  <c r="K101" i="2"/>
  <c r="I101" i="2"/>
  <c r="N101" i="2"/>
  <c r="M101" i="2"/>
  <c r="G106" i="2" a="1"/>
  <c r="G106" i="2" s="1"/>
  <c r="H101" i="2"/>
  <c r="D108" i="2"/>
  <c r="J107" i="2"/>
  <c r="L107" i="2"/>
  <c r="F107" i="2" a="1"/>
  <c r="F107" i="2" s="1"/>
  <c r="P100" i="2"/>
  <c r="J104" i="2"/>
  <c r="L104" i="2"/>
  <c r="F104" i="2" a="1"/>
  <c r="F104" i="2" s="1"/>
  <c r="E107" i="2" l="1"/>
  <c r="G107" i="2" s="1" a="1"/>
  <c r="G107" i="2" s="1"/>
  <c r="E108" i="2"/>
  <c r="G108" i="2" s="1" a="1"/>
  <c r="G108" i="2" s="1"/>
  <c r="K103" i="2"/>
  <c r="I103" i="2"/>
  <c r="P103" i="2" s="1"/>
  <c r="N103" i="2"/>
  <c r="M103" i="2"/>
  <c r="H103" i="2"/>
  <c r="E104" i="2"/>
  <c r="G104" i="2" s="1" a="1"/>
  <c r="G104" i="2" s="1"/>
  <c r="F109" i="2" a="1"/>
  <c r="F109" i="2" s="1"/>
  <c r="K106" i="2"/>
  <c r="I106" i="2"/>
  <c r="P106" i="2" s="1"/>
  <c r="N106" i="2"/>
  <c r="M106" i="2"/>
  <c r="H106" i="2"/>
  <c r="D109" i="2"/>
  <c r="J108" i="2"/>
  <c r="L108" i="2"/>
  <c r="P105" i="2"/>
  <c r="P101" i="2"/>
  <c r="D110" i="2" l="1"/>
  <c r="J109" i="2"/>
  <c r="L109" i="2"/>
  <c r="K104" i="2"/>
  <c r="I104" i="2"/>
  <c r="P104" i="2" s="1"/>
  <c r="N104" i="2"/>
  <c r="M104" i="2"/>
  <c r="H104" i="2"/>
  <c r="E109" i="2"/>
  <c r="G109" i="2" s="1" a="1"/>
  <c r="G109" i="2" s="1"/>
  <c r="K108" i="2"/>
  <c r="I108" i="2"/>
  <c r="P108" i="2" s="1"/>
  <c r="M108" i="2"/>
  <c r="N108" i="2"/>
  <c r="H108" i="2"/>
  <c r="K107" i="2"/>
  <c r="I107" i="2"/>
  <c r="P107" i="2" s="1"/>
  <c r="N107" i="2"/>
  <c r="M107" i="2"/>
  <c r="H107" i="2"/>
  <c r="K109" i="2" l="1"/>
  <c r="I109" i="2"/>
  <c r="P109" i="2" s="1"/>
  <c r="N109" i="2"/>
  <c r="M109" i="2"/>
  <c r="H109" i="2"/>
  <c r="D111" i="2"/>
  <c r="J110" i="2"/>
  <c r="L110" i="2"/>
  <c r="F110" i="2" a="1"/>
  <c r="F110" i="2" s="1"/>
  <c r="E110" i="2" l="1"/>
  <c r="G110" i="2" s="1" a="1"/>
  <c r="G110" i="2" s="1"/>
  <c r="D112" i="2"/>
  <c r="J111" i="2"/>
  <c r="L111" i="2"/>
  <c r="F111" i="2" a="1"/>
  <c r="F111" i="2" s="1"/>
  <c r="E111" i="2" l="1"/>
  <c r="G111" i="2" s="1" a="1"/>
  <c r="G111" i="2" s="1"/>
  <c r="D113" i="2"/>
  <c r="J112" i="2"/>
  <c r="L112" i="2"/>
  <c r="F112" i="2" a="1"/>
  <c r="F112" i="2" s="1"/>
  <c r="K110" i="2"/>
  <c r="O110" i="2"/>
  <c r="I110" i="2"/>
  <c r="N110" i="2"/>
  <c r="M110" i="2"/>
  <c r="H110" i="2"/>
  <c r="P110" i="2" l="1"/>
  <c r="E112" i="2"/>
  <c r="G112" i="2" s="1" a="1"/>
  <c r="G112" i="2" s="1"/>
  <c r="D114" i="2"/>
  <c r="J113" i="2"/>
  <c r="L113" i="2"/>
  <c r="F113" i="2" a="1"/>
  <c r="F113" i="2" s="1"/>
  <c r="K111" i="2"/>
  <c r="I111" i="2"/>
  <c r="P111" i="2" s="1"/>
  <c r="M111" i="2"/>
  <c r="N111" i="2"/>
  <c r="H111" i="2"/>
  <c r="E113" i="2" l="1"/>
  <c r="G113" i="2" s="1" a="1"/>
  <c r="G113" i="2" s="1"/>
  <c r="D115" i="2"/>
  <c r="J114" i="2"/>
  <c r="L114" i="2"/>
  <c r="F114" i="2" a="1"/>
  <c r="F114" i="2" s="1"/>
  <c r="K112" i="2"/>
  <c r="I112" i="2"/>
  <c r="P112" i="2" s="1"/>
  <c r="M112" i="2"/>
  <c r="N112" i="2"/>
  <c r="H112" i="2"/>
  <c r="E114" i="2" l="1"/>
  <c r="G114" i="2" s="1" a="1"/>
  <c r="G114" i="2" s="1"/>
  <c r="D116" i="2"/>
  <c r="J115" i="2"/>
  <c r="L115" i="2"/>
  <c r="F115" i="2" a="1"/>
  <c r="F115" i="2" s="1"/>
  <c r="K113" i="2"/>
  <c r="I113" i="2"/>
  <c r="P113" i="2" s="1"/>
  <c r="M113" i="2"/>
  <c r="N113" i="2"/>
  <c r="H113" i="2"/>
  <c r="E115" i="2" l="1"/>
  <c r="G115" i="2" s="1" a="1"/>
  <c r="G115" i="2" s="1"/>
  <c r="D117" i="2"/>
  <c r="J116" i="2"/>
  <c r="L116" i="2"/>
  <c r="F116" i="2" a="1"/>
  <c r="F116" i="2" s="1"/>
  <c r="K114" i="2"/>
  <c r="I114" i="2"/>
  <c r="P114" i="2" s="1"/>
  <c r="N114" i="2"/>
  <c r="M114" i="2"/>
  <c r="H114" i="2"/>
  <c r="E116" i="2" l="1"/>
  <c r="G116" i="2" s="1" a="1"/>
  <c r="G116" i="2" s="1"/>
  <c r="D118" i="2"/>
  <c r="J117" i="2"/>
  <c r="L117" i="2"/>
  <c r="F117" i="2" a="1"/>
  <c r="F117" i="2" s="1"/>
  <c r="K115" i="2"/>
  <c r="I115" i="2"/>
  <c r="O115" i="2"/>
  <c r="N115" i="2"/>
  <c r="M115" i="2"/>
  <c r="H115" i="2"/>
  <c r="P115" i="2" l="1"/>
  <c r="E117" i="2"/>
  <c r="G117" i="2" s="1" a="1"/>
  <c r="G117" i="2" s="1"/>
  <c r="D119" i="2"/>
  <c r="J118" i="2"/>
  <c r="L118" i="2"/>
  <c r="F118" i="2" a="1"/>
  <c r="F118" i="2" s="1"/>
  <c r="K116" i="2"/>
  <c r="I116" i="2"/>
  <c r="P116" i="2" s="1"/>
  <c r="N116" i="2"/>
  <c r="M116" i="2"/>
  <c r="H116" i="2"/>
  <c r="E118" i="2" l="1"/>
  <c r="G118" i="2" s="1" a="1"/>
  <c r="G118" i="2" s="1"/>
  <c r="D120" i="2"/>
  <c r="J119" i="2"/>
  <c r="L119" i="2"/>
  <c r="F119" i="2" a="1"/>
  <c r="F119" i="2" s="1"/>
  <c r="K117" i="2"/>
  <c r="I117" i="2"/>
  <c r="P117" i="2" s="1"/>
  <c r="N117" i="2"/>
  <c r="M117" i="2"/>
  <c r="H117" i="2"/>
  <c r="E119" i="2" l="1"/>
  <c r="G119" i="2" s="1" a="1"/>
  <c r="G119" i="2" s="1"/>
  <c r="D121" i="2"/>
  <c r="J120" i="2"/>
  <c r="L120" i="2"/>
  <c r="F120" i="2" a="1"/>
  <c r="F120" i="2" s="1"/>
  <c r="K118" i="2"/>
  <c r="I118" i="2"/>
  <c r="N118" i="2"/>
  <c r="M118" i="2"/>
  <c r="H118" i="2"/>
  <c r="P118" i="2" l="1"/>
  <c r="E120" i="2"/>
  <c r="G120" i="2" s="1" a="1"/>
  <c r="G120" i="2" s="1"/>
  <c r="D122" i="2"/>
  <c r="J121" i="2"/>
  <c r="L121" i="2"/>
  <c r="F121" i="2" a="1"/>
  <c r="F121" i="2" s="1"/>
  <c r="K119" i="2"/>
  <c r="I119" i="2"/>
  <c r="P119" i="2" s="1"/>
  <c r="N119" i="2"/>
  <c r="M119" i="2"/>
  <c r="H119" i="2"/>
  <c r="E121" i="2" l="1"/>
  <c r="G121" i="2" s="1" a="1"/>
  <c r="G121" i="2" s="1"/>
  <c r="D123" i="2"/>
  <c r="J122" i="2"/>
  <c r="L122" i="2"/>
  <c r="F122" i="2" a="1"/>
  <c r="F122" i="2" s="1"/>
  <c r="K120" i="2"/>
  <c r="I120" i="2"/>
  <c r="O120" i="2"/>
  <c r="N120" i="2"/>
  <c r="M120" i="2"/>
  <c r="H120" i="2"/>
  <c r="P120" i="2" l="1"/>
  <c r="E122" i="2"/>
  <c r="G122" i="2" s="1" a="1"/>
  <c r="G122" i="2" s="1"/>
  <c r="D124" i="2"/>
  <c r="J123" i="2"/>
  <c r="L123" i="2"/>
  <c r="F123" i="2" a="1"/>
  <c r="F123" i="2" s="1"/>
  <c r="K121" i="2"/>
  <c r="I121" i="2"/>
  <c r="P121" i="2" s="1"/>
  <c r="N121" i="2"/>
  <c r="M121" i="2"/>
  <c r="H121" i="2"/>
  <c r="E123" i="2" l="1"/>
  <c r="G123" i="2" s="1" a="1"/>
  <c r="G123" i="2" s="1"/>
  <c r="D125" i="2"/>
  <c r="J124" i="2"/>
  <c r="L124" i="2"/>
  <c r="F124" i="2" a="1"/>
  <c r="F124" i="2" s="1"/>
  <c r="K122" i="2"/>
  <c r="I122" i="2"/>
  <c r="P122" i="2" s="1"/>
  <c r="N122" i="2"/>
  <c r="M122" i="2"/>
  <c r="H122" i="2"/>
  <c r="E124" i="2" l="1"/>
  <c r="G124" i="2" s="1" a="1"/>
  <c r="G124" i="2" s="1"/>
  <c r="D126" i="2"/>
  <c r="J125" i="2"/>
  <c r="L125" i="2"/>
  <c r="F125" i="2" a="1"/>
  <c r="F125" i="2" s="1"/>
  <c r="K123" i="2"/>
  <c r="I123" i="2"/>
  <c r="P123" i="2" s="1"/>
  <c r="N123" i="2"/>
  <c r="M123" i="2"/>
  <c r="H123" i="2"/>
  <c r="E125" i="2" l="1"/>
  <c r="G125" i="2" s="1" a="1"/>
  <c r="G125" i="2" s="1"/>
  <c r="D127" i="2"/>
  <c r="J126" i="2"/>
  <c r="L126" i="2"/>
  <c r="F126" i="2" a="1"/>
  <c r="F126" i="2" s="1"/>
  <c r="K124" i="2"/>
  <c r="I124" i="2"/>
  <c r="P124" i="2" s="1"/>
  <c r="N124" i="2"/>
  <c r="M124" i="2"/>
  <c r="H124" i="2"/>
  <c r="E126" i="2" l="1"/>
  <c r="G126" i="2" s="1" a="1"/>
  <c r="G126" i="2" s="1"/>
  <c r="D128" i="2"/>
  <c r="J127" i="2"/>
  <c r="L127" i="2"/>
  <c r="F127" i="2" a="1"/>
  <c r="F127" i="2" s="1"/>
  <c r="K125" i="2"/>
  <c r="O125" i="2"/>
  <c r="I125" i="2"/>
  <c r="N125" i="2"/>
  <c r="M125" i="2"/>
  <c r="H125" i="2"/>
  <c r="P125" i="2" l="1"/>
  <c r="E127" i="2"/>
  <c r="G127" i="2" s="1" a="1"/>
  <c r="G127" i="2" s="1"/>
  <c r="D129" i="2"/>
  <c r="J128" i="2"/>
  <c r="L128" i="2"/>
  <c r="F128" i="2" a="1"/>
  <c r="F128" i="2" s="1"/>
  <c r="K126" i="2"/>
  <c r="I126" i="2"/>
  <c r="P126" i="2" s="1"/>
  <c r="M126" i="2"/>
  <c r="N126" i="2"/>
  <c r="H126" i="2"/>
  <c r="E128" i="2" l="1"/>
  <c r="G128" i="2" s="1" a="1"/>
  <c r="G128" i="2" s="1"/>
  <c r="D130" i="2"/>
  <c r="J129" i="2"/>
  <c r="L129" i="2"/>
  <c r="F129" i="2" a="1"/>
  <c r="F129" i="2" s="1"/>
  <c r="K127" i="2"/>
  <c r="I127" i="2"/>
  <c r="P127" i="2" s="1"/>
  <c r="M127" i="2"/>
  <c r="N127" i="2"/>
  <c r="H127" i="2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Z3" i="4"/>
  <c r="Z2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U2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E129" i="2" l="1"/>
  <c r="G129" i="2" s="1" a="1"/>
  <c r="G129" i="2" s="1"/>
  <c r="D131" i="2"/>
  <c r="J130" i="2"/>
  <c r="L130" i="2"/>
  <c r="F130" i="2" a="1"/>
  <c r="F130" i="2" s="1"/>
  <c r="K128" i="2"/>
  <c r="I128" i="2"/>
  <c r="P128" i="2" s="1"/>
  <c r="M128" i="2"/>
  <c r="N128" i="2"/>
  <c r="H128" i="2"/>
  <c r="K129" i="2" l="1"/>
  <c r="I129" i="2"/>
  <c r="M129" i="2"/>
  <c r="N129" i="2"/>
  <c r="H129" i="2"/>
  <c r="E130" i="2"/>
  <c r="G130" i="2" s="1" a="1"/>
  <c r="G130" i="2" s="1"/>
  <c r="D132" i="2"/>
  <c r="J131" i="2"/>
  <c r="L131" i="2"/>
  <c r="F131" i="2" a="1"/>
  <c r="F131" i="2" s="1"/>
  <c r="P129" i="2" l="1"/>
  <c r="E131" i="2"/>
  <c r="G131" i="2" s="1" a="1"/>
  <c r="G131" i="2" s="1"/>
  <c r="K130" i="2"/>
  <c r="I130" i="2"/>
  <c r="O130" i="2"/>
  <c r="N130" i="2"/>
  <c r="M130" i="2"/>
  <c r="H130" i="2"/>
  <c r="D133" i="2"/>
  <c r="J132" i="2"/>
  <c r="L132" i="2"/>
  <c r="F132" i="2" a="1"/>
  <c r="F132" i="2" s="1"/>
  <c r="E132" i="2" l="1"/>
  <c r="G132" i="2" s="1" a="1"/>
  <c r="G132" i="2" s="1"/>
  <c r="D134" i="2"/>
  <c r="J133" i="2"/>
  <c r="L133" i="2"/>
  <c r="F133" i="2" a="1"/>
  <c r="F133" i="2" s="1"/>
  <c r="P130" i="2"/>
  <c r="K131" i="2"/>
  <c r="I131" i="2"/>
  <c r="P131" i="2" s="1"/>
  <c r="N131" i="2"/>
  <c r="M131" i="2"/>
  <c r="H131" i="2"/>
  <c r="E133" i="2" l="1"/>
  <c r="G133" i="2" s="1" a="1"/>
  <c r="G133" i="2" s="1"/>
  <c r="D135" i="2"/>
  <c r="J134" i="2"/>
  <c r="L134" i="2"/>
  <c r="F134" i="2" a="1"/>
  <c r="F134" i="2" s="1"/>
  <c r="K132" i="2"/>
  <c r="I132" i="2"/>
  <c r="N132" i="2"/>
  <c r="M132" i="2"/>
  <c r="H132" i="2"/>
  <c r="P132" i="2" l="1"/>
  <c r="E134" i="2"/>
  <c r="G134" i="2" s="1" a="1"/>
  <c r="G134" i="2" s="1"/>
  <c r="D136" i="2"/>
  <c r="J135" i="2"/>
  <c r="L135" i="2"/>
  <c r="F135" i="2" a="1"/>
  <c r="F135" i="2" s="1"/>
  <c r="K133" i="2"/>
  <c r="I133" i="2"/>
  <c r="P133" i="2" s="1"/>
  <c r="N133" i="2"/>
  <c r="M133" i="2"/>
  <c r="H133" i="2"/>
  <c r="E135" i="2" l="1"/>
  <c r="G135" i="2" s="1" a="1"/>
  <c r="G135" i="2" s="1"/>
  <c r="D137" i="2"/>
  <c r="J136" i="2"/>
  <c r="L136" i="2"/>
  <c r="F136" i="2" a="1"/>
  <c r="F136" i="2" s="1"/>
  <c r="K134" i="2"/>
  <c r="I134" i="2"/>
  <c r="P134" i="2" s="1"/>
  <c r="N134" i="2"/>
  <c r="M134" i="2"/>
  <c r="H134" i="2"/>
  <c r="E136" i="2" l="1"/>
  <c r="G136" i="2" s="1" a="1"/>
  <c r="G136" i="2" s="1"/>
  <c r="D138" i="2"/>
  <c r="J137" i="2"/>
  <c r="L137" i="2"/>
  <c r="F137" i="2" a="1"/>
  <c r="F137" i="2" s="1"/>
  <c r="K135" i="2"/>
  <c r="I135" i="2"/>
  <c r="O135" i="2"/>
  <c r="N135" i="2"/>
  <c r="M135" i="2"/>
  <c r="H135" i="2"/>
  <c r="P135" i="2" l="1"/>
  <c r="E137" i="2"/>
  <c r="G137" i="2" s="1" a="1"/>
  <c r="G137" i="2" s="1"/>
  <c r="D139" i="2"/>
  <c r="J138" i="2"/>
  <c r="L138" i="2"/>
  <c r="F138" i="2" a="1"/>
  <c r="F138" i="2" s="1"/>
  <c r="K136" i="2"/>
  <c r="I136" i="2"/>
  <c r="P136" i="2" s="1"/>
  <c r="N136" i="2"/>
  <c r="M136" i="2"/>
  <c r="H136" i="2"/>
  <c r="E138" i="2" l="1"/>
  <c r="G138" i="2" s="1" a="1"/>
  <c r="G138" i="2" s="1"/>
  <c r="D140" i="2"/>
  <c r="J139" i="2"/>
  <c r="L139" i="2"/>
  <c r="F139" i="2" a="1"/>
  <c r="F139" i="2" s="1"/>
  <c r="K137" i="2"/>
  <c r="I137" i="2"/>
  <c r="P137" i="2" s="1"/>
  <c r="N137" i="2"/>
  <c r="M137" i="2"/>
  <c r="H137" i="2"/>
  <c r="E139" i="2" l="1"/>
  <c r="G139" i="2" s="1" a="1"/>
  <c r="G139" i="2" s="1"/>
  <c r="D141" i="2"/>
  <c r="J140" i="2"/>
  <c r="L140" i="2"/>
  <c r="F140" i="2" a="1"/>
  <c r="F140" i="2" s="1"/>
  <c r="K138" i="2"/>
  <c r="I138" i="2"/>
  <c r="P138" i="2" s="1"/>
  <c r="N138" i="2"/>
  <c r="M138" i="2"/>
  <c r="H138" i="2"/>
  <c r="E140" i="2" l="1"/>
  <c r="G140" i="2" s="1" a="1"/>
  <c r="G140" i="2" s="1"/>
  <c r="D142" i="2"/>
  <c r="J141" i="2"/>
  <c r="L141" i="2"/>
  <c r="F141" i="2" a="1"/>
  <c r="F141" i="2" s="1"/>
  <c r="K139" i="2"/>
  <c r="I139" i="2"/>
  <c r="N139" i="2"/>
  <c r="M139" i="2"/>
  <c r="H139" i="2"/>
  <c r="P139" i="2" l="1"/>
  <c r="E141" i="2"/>
  <c r="G141" i="2" s="1" a="1"/>
  <c r="G141" i="2" s="1"/>
  <c r="D143" i="2"/>
  <c r="J142" i="2"/>
  <c r="L142" i="2"/>
  <c r="F142" i="2" a="1"/>
  <c r="F142" i="2" s="1"/>
  <c r="K140" i="2"/>
  <c r="O140" i="2"/>
  <c r="I140" i="2"/>
  <c r="M140" i="2"/>
  <c r="N140" i="2"/>
  <c r="H140" i="2"/>
  <c r="P140" i="2" l="1"/>
  <c r="E142" i="2"/>
  <c r="G142" i="2" s="1" a="1"/>
  <c r="G142" i="2" s="1"/>
  <c r="D144" i="2"/>
  <c r="J143" i="2"/>
  <c r="L143" i="2"/>
  <c r="F143" i="2" a="1"/>
  <c r="F143" i="2" s="1"/>
  <c r="K141" i="2"/>
  <c r="I141" i="2"/>
  <c r="P141" i="2" s="1"/>
  <c r="N141" i="2"/>
  <c r="M141" i="2"/>
  <c r="H141" i="2"/>
  <c r="E143" i="2" l="1"/>
  <c r="G143" i="2" s="1" a="1"/>
  <c r="G143" i="2" s="1"/>
  <c r="D145" i="2"/>
  <c r="J144" i="2"/>
  <c r="L144" i="2"/>
  <c r="F144" i="2" a="1"/>
  <c r="F144" i="2" s="1"/>
  <c r="K142" i="2"/>
  <c r="I142" i="2"/>
  <c r="P142" i="2" s="1"/>
  <c r="N142" i="2"/>
  <c r="M142" i="2"/>
  <c r="H142" i="2"/>
  <c r="E144" i="2" l="1"/>
  <c r="G144" i="2" s="1" a="1"/>
  <c r="G144" i="2" s="1"/>
  <c r="D146" i="2"/>
  <c r="J145" i="2"/>
  <c r="L145" i="2"/>
  <c r="F145" i="2" a="1"/>
  <c r="F145" i="2" s="1"/>
  <c r="K143" i="2"/>
  <c r="I143" i="2"/>
  <c r="P143" i="2" s="1"/>
  <c r="M143" i="2"/>
  <c r="N143" i="2"/>
  <c r="H143" i="2"/>
  <c r="E145" i="2" l="1"/>
  <c r="G145" i="2" s="1" a="1"/>
  <c r="G145" i="2" s="1"/>
  <c r="D147" i="2"/>
  <c r="J146" i="2"/>
  <c r="L146" i="2"/>
  <c r="F146" i="2" a="1"/>
  <c r="F146" i="2" s="1"/>
  <c r="K144" i="2"/>
  <c r="I144" i="2"/>
  <c r="P144" i="2" s="1"/>
  <c r="M144" i="2"/>
  <c r="N144" i="2"/>
  <c r="H144" i="2"/>
  <c r="E146" i="2" l="1"/>
  <c r="G146" i="2" s="1" a="1"/>
  <c r="G146" i="2" s="1"/>
  <c r="D148" i="2"/>
  <c r="J147" i="2"/>
  <c r="L147" i="2"/>
  <c r="F147" i="2" a="1"/>
  <c r="F147" i="2" s="1"/>
  <c r="K145" i="2"/>
  <c r="I145" i="2"/>
  <c r="O145" i="2"/>
  <c r="M145" i="2"/>
  <c r="N145" i="2"/>
  <c r="H145" i="2"/>
  <c r="P145" i="2" l="1"/>
  <c r="E147" i="2"/>
  <c r="G147" i="2" s="1" a="1"/>
  <c r="G147" i="2" s="1"/>
  <c r="D149" i="2"/>
  <c r="J148" i="2"/>
  <c r="L148" i="2"/>
  <c r="F148" i="2" a="1"/>
  <c r="F148" i="2" s="1"/>
  <c r="K146" i="2"/>
  <c r="I146" i="2"/>
  <c r="P146" i="2" s="1"/>
  <c r="N146" i="2"/>
  <c r="M146" i="2"/>
  <c r="H146" i="2"/>
  <c r="E148" i="2" l="1"/>
  <c r="G148" i="2" s="1" a="1"/>
  <c r="G148" i="2" s="1"/>
  <c r="D150" i="2"/>
  <c r="J149" i="2"/>
  <c r="L149" i="2"/>
  <c r="F149" i="2" a="1"/>
  <c r="F149" i="2" s="1"/>
  <c r="K147" i="2"/>
  <c r="I147" i="2"/>
  <c r="P147" i="2" s="1"/>
  <c r="N147" i="2"/>
  <c r="M147" i="2"/>
  <c r="H147" i="2"/>
  <c r="E149" i="2" l="1"/>
  <c r="G149" i="2" s="1" a="1"/>
  <c r="G149" i="2" s="1"/>
  <c r="D151" i="2"/>
  <c r="J150" i="2"/>
  <c r="L150" i="2"/>
  <c r="F150" i="2" a="1"/>
  <c r="F150" i="2" s="1"/>
  <c r="K148" i="2"/>
  <c r="I148" i="2"/>
  <c r="P148" i="2" s="1"/>
  <c r="N148" i="2"/>
  <c r="M148" i="2"/>
  <c r="H148" i="2"/>
  <c r="E150" i="2" l="1"/>
  <c r="G150" i="2" s="1" a="1"/>
  <c r="G150" i="2" s="1"/>
  <c r="D152" i="2"/>
  <c r="J151" i="2"/>
  <c r="L151" i="2"/>
  <c r="F151" i="2" a="1"/>
  <c r="F151" i="2" s="1"/>
  <c r="K149" i="2"/>
  <c r="I149" i="2"/>
  <c r="P149" i="2" s="1"/>
  <c r="N149" i="2"/>
  <c r="M149" i="2"/>
  <c r="H149" i="2"/>
  <c r="E151" i="2" l="1"/>
  <c r="G151" i="2" s="1" a="1"/>
  <c r="G151" i="2" s="1"/>
  <c r="D153" i="2"/>
  <c r="J152" i="2"/>
  <c r="L152" i="2"/>
  <c r="F152" i="2" a="1"/>
  <c r="F152" i="2" s="1"/>
  <c r="K150" i="2"/>
  <c r="I150" i="2"/>
  <c r="O150" i="2"/>
  <c r="N150" i="2"/>
  <c r="M150" i="2"/>
  <c r="H150" i="2"/>
  <c r="P150" i="2" l="1"/>
  <c r="E152" i="2"/>
  <c r="G152" i="2" s="1" a="1"/>
  <c r="G152" i="2" s="1"/>
  <c r="D154" i="2"/>
  <c r="J153" i="2"/>
  <c r="L153" i="2"/>
  <c r="F153" i="2" a="1"/>
  <c r="F153" i="2" s="1"/>
  <c r="K151" i="2"/>
  <c r="I151" i="2"/>
  <c r="P151" i="2" s="1"/>
  <c r="N151" i="2"/>
  <c r="M151" i="2"/>
  <c r="H151" i="2"/>
  <c r="E153" i="2" l="1"/>
  <c r="G153" i="2" s="1" a="1"/>
  <c r="G153" i="2" s="1"/>
  <c r="D155" i="2"/>
  <c r="J154" i="2"/>
  <c r="L154" i="2"/>
  <c r="F154" i="2" a="1"/>
  <c r="F154" i="2" s="1"/>
  <c r="K152" i="2"/>
  <c r="I152" i="2"/>
  <c r="P152" i="2" s="1"/>
  <c r="N152" i="2"/>
  <c r="M152" i="2"/>
  <c r="H152" i="2"/>
  <c r="E154" i="2" l="1"/>
  <c r="G154" i="2" s="1" a="1"/>
  <c r="G154" i="2" s="1"/>
  <c r="D156" i="2"/>
  <c r="J155" i="2"/>
  <c r="L155" i="2"/>
  <c r="F155" i="2" a="1"/>
  <c r="F155" i="2" s="1"/>
  <c r="K153" i="2"/>
  <c r="I153" i="2"/>
  <c r="P153" i="2" s="1"/>
  <c r="N153" i="2"/>
  <c r="M153" i="2"/>
  <c r="H153" i="2"/>
  <c r="E155" i="2" l="1"/>
  <c r="G155" i="2" s="1" a="1"/>
  <c r="G155" i="2" s="1"/>
  <c r="D157" i="2"/>
  <c r="J156" i="2"/>
  <c r="L156" i="2"/>
  <c r="F156" i="2" a="1"/>
  <c r="F156" i="2" s="1"/>
  <c r="K154" i="2"/>
  <c r="I154" i="2"/>
  <c r="P154" i="2" s="1"/>
  <c r="N154" i="2"/>
  <c r="M154" i="2"/>
  <c r="H154" i="2"/>
  <c r="E156" i="2" l="1"/>
  <c r="G156" i="2" s="1" a="1"/>
  <c r="G156" i="2" s="1"/>
  <c r="D158" i="2"/>
  <c r="J157" i="2"/>
  <c r="L157" i="2"/>
  <c r="F157" i="2" a="1"/>
  <c r="F157" i="2" s="1"/>
  <c r="K155" i="2"/>
  <c r="O155" i="2"/>
  <c r="I155" i="2"/>
  <c r="N155" i="2"/>
  <c r="M155" i="2"/>
  <c r="H155" i="2"/>
  <c r="E157" i="2" l="1"/>
  <c r="G157" i="2" s="1" a="1"/>
  <c r="G157" i="2" s="1"/>
  <c r="P155" i="2"/>
  <c r="D159" i="2"/>
  <c r="J158" i="2"/>
  <c r="L158" i="2"/>
  <c r="F158" i="2" a="1"/>
  <c r="F158" i="2" s="1"/>
  <c r="K156" i="2"/>
  <c r="I156" i="2"/>
  <c r="P156" i="2" s="1"/>
  <c r="M156" i="2"/>
  <c r="N156" i="2"/>
  <c r="H156" i="2"/>
  <c r="E158" i="2" l="1"/>
  <c r="G158" i="2" s="1" a="1"/>
  <c r="G158" i="2" s="1"/>
  <c r="D160" i="2"/>
  <c r="J159" i="2"/>
  <c r="L159" i="2"/>
  <c r="F159" i="2" a="1"/>
  <c r="F159" i="2" s="1"/>
  <c r="K157" i="2"/>
  <c r="I157" i="2"/>
  <c r="P157" i="2" s="1"/>
  <c r="N157" i="2"/>
  <c r="M157" i="2"/>
  <c r="H157" i="2"/>
  <c r="E159" i="2" l="1"/>
  <c r="G159" i="2" s="1" a="1"/>
  <c r="G159" i="2" s="1"/>
  <c r="D161" i="2"/>
  <c r="J160" i="2"/>
  <c r="L160" i="2"/>
  <c r="F160" i="2" a="1"/>
  <c r="F160" i="2" s="1"/>
  <c r="K158" i="2"/>
  <c r="I158" i="2"/>
  <c r="P158" i="2" s="1"/>
  <c r="M158" i="2"/>
  <c r="N158" i="2"/>
  <c r="H158" i="2"/>
  <c r="E160" i="2" l="1"/>
  <c r="G160" i="2" s="1" a="1"/>
  <c r="G160" i="2" s="1"/>
  <c r="D162" i="2"/>
  <c r="J161" i="2"/>
  <c r="L161" i="2"/>
  <c r="F161" i="2" a="1"/>
  <c r="F161" i="2" s="1"/>
  <c r="K159" i="2"/>
  <c r="I159" i="2"/>
  <c r="P159" i="2" s="1"/>
  <c r="M159" i="2"/>
  <c r="N159" i="2"/>
  <c r="H159" i="2"/>
  <c r="E161" i="2" l="1"/>
  <c r="G161" i="2" s="1" a="1"/>
  <c r="G161" i="2" s="1"/>
  <c r="D163" i="2"/>
  <c r="J162" i="2"/>
  <c r="L162" i="2"/>
  <c r="F162" i="2" a="1"/>
  <c r="F162" i="2" s="1"/>
  <c r="K160" i="2"/>
  <c r="I160" i="2"/>
  <c r="O160" i="2"/>
  <c r="M160" i="2"/>
  <c r="N160" i="2"/>
  <c r="H160" i="2"/>
  <c r="E162" i="2" l="1"/>
  <c r="G162" i="2" s="1" a="1"/>
  <c r="G162" i="2" s="1"/>
  <c r="P160" i="2"/>
  <c r="D164" i="2"/>
  <c r="J163" i="2"/>
  <c r="L163" i="2"/>
  <c r="F163" i="2" a="1"/>
  <c r="F163" i="2" s="1"/>
  <c r="K161" i="2"/>
  <c r="I161" i="2"/>
  <c r="P161" i="2" s="1"/>
  <c r="M161" i="2"/>
  <c r="N161" i="2"/>
  <c r="H161" i="2"/>
  <c r="E163" i="2" l="1"/>
  <c r="G163" i="2" s="1" a="1"/>
  <c r="G163" i="2" s="1"/>
  <c r="D165" i="2"/>
  <c r="J164" i="2"/>
  <c r="L164" i="2"/>
  <c r="F164" i="2" a="1"/>
  <c r="F164" i="2" s="1"/>
  <c r="K162" i="2"/>
  <c r="I162" i="2"/>
  <c r="P162" i="2" s="1"/>
  <c r="N162" i="2"/>
  <c r="M162" i="2"/>
  <c r="H162" i="2"/>
  <c r="E164" i="2" l="1"/>
  <c r="G164" i="2" s="1" a="1"/>
  <c r="G164" i="2" s="1"/>
  <c r="D166" i="2"/>
  <c r="J165" i="2"/>
  <c r="L165" i="2"/>
  <c r="F165" i="2" a="1"/>
  <c r="F165" i="2" s="1"/>
  <c r="K163" i="2"/>
  <c r="I163" i="2"/>
  <c r="P163" i="2" s="1"/>
  <c r="N163" i="2"/>
  <c r="M163" i="2"/>
  <c r="H163" i="2"/>
  <c r="E165" i="2" l="1"/>
  <c r="G165" i="2" s="1" a="1"/>
  <c r="G165" i="2" s="1"/>
  <c r="D167" i="2"/>
  <c r="J166" i="2"/>
  <c r="L166" i="2"/>
  <c r="F166" i="2" a="1"/>
  <c r="F166" i="2" s="1"/>
  <c r="K164" i="2"/>
  <c r="I164" i="2"/>
  <c r="P164" i="2" s="1"/>
  <c r="N164" i="2"/>
  <c r="M164" i="2"/>
  <c r="H164" i="2"/>
  <c r="E166" i="2" l="1"/>
  <c r="G166" i="2" s="1" a="1"/>
  <c r="G166" i="2" s="1"/>
  <c r="D168" i="2"/>
  <c r="J167" i="2"/>
  <c r="L167" i="2"/>
  <c r="F167" i="2" a="1"/>
  <c r="F167" i="2" s="1"/>
  <c r="K165" i="2"/>
  <c r="I165" i="2"/>
  <c r="O165" i="2"/>
  <c r="N165" i="2"/>
  <c r="M165" i="2"/>
  <c r="H165" i="2"/>
  <c r="P165" i="2" l="1"/>
  <c r="E167" i="2"/>
  <c r="G167" i="2" s="1" a="1"/>
  <c r="G167" i="2" s="1"/>
  <c r="D169" i="2"/>
  <c r="J168" i="2"/>
  <c r="L168" i="2"/>
  <c r="F168" i="2" a="1"/>
  <c r="F168" i="2" s="1"/>
  <c r="K166" i="2"/>
  <c r="I166" i="2"/>
  <c r="N166" i="2"/>
  <c r="M166" i="2"/>
  <c r="H166" i="2"/>
  <c r="P166" i="2" l="1"/>
  <c r="E168" i="2"/>
  <c r="G168" i="2" s="1" a="1"/>
  <c r="G168" i="2" s="1"/>
  <c r="D170" i="2"/>
  <c r="J169" i="2"/>
  <c r="L169" i="2"/>
  <c r="F169" i="2" a="1"/>
  <c r="F169" i="2" s="1"/>
  <c r="K167" i="2"/>
  <c r="I167" i="2"/>
  <c r="P167" i="2" s="1"/>
  <c r="N167" i="2"/>
  <c r="M167" i="2"/>
  <c r="H167" i="2"/>
  <c r="E169" i="2" l="1"/>
  <c r="G169" i="2" s="1" a="1"/>
  <c r="G169" i="2" s="1"/>
  <c r="D171" i="2"/>
  <c r="J170" i="2"/>
  <c r="L170" i="2"/>
  <c r="F170" i="2" a="1"/>
  <c r="F170" i="2" s="1"/>
  <c r="K168" i="2"/>
  <c r="I168" i="2"/>
  <c r="P168" i="2" s="1"/>
  <c r="N168" i="2"/>
  <c r="M168" i="2"/>
  <c r="H168" i="2"/>
  <c r="E170" i="2" l="1"/>
  <c r="G170" i="2" s="1" a="1"/>
  <c r="G170" i="2" s="1"/>
  <c r="D172" i="2"/>
  <c r="J171" i="2"/>
  <c r="L171" i="2"/>
  <c r="F171" i="2" a="1"/>
  <c r="F171" i="2" s="1"/>
  <c r="K169" i="2"/>
  <c r="I169" i="2"/>
  <c r="P169" i="2" s="1"/>
  <c r="N169" i="2"/>
  <c r="M169" i="2"/>
  <c r="H169" i="2"/>
  <c r="E171" i="2" l="1"/>
  <c r="G171" i="2" s="1" a="1"/>
  <c r="G171" i="2" s="1"/>
  <c r="D173" i="2"/>
  <c r="J172" i="2"/>
  <c r="L172" i="2"/>
  <c r="F172" i="2" a="1"/>
  <c r="F172" i="2" s="1"/>
  <c r="K170" i="2"/>
  <c r="I170" i="2"/>
  <c r="O170" i="2"/>
  <c r="N170" i="2"/>
  <c r="M170" i="2"/>
  <c r="H170" i="2"/>
  <c r="P170" i="2" l="1"/>
  <c r="E172" i="2"/>
  <c r="G172" i="2" s="1" a="1"/>
  <c r="G172" i="2" s="1"/>
  <c r="D174" i="2"/>
  <c r="J173" i="2"/>
  <c r="L173" i="2"/>
  <c r="F173" i="2" a="1"/>
  <c r="F173" i="2" s="1"/>
  <c r="K171" i="2"/>
  <c r="I171" i="2"/>
  <c r="P171" i="2" s="1"/>
  <c r="N171" i="2"/>
  <c r="M171" i="2"/>
  <c r="H171" i="2"/>
  <c r="E173" i="2" l="1"/>
  <c r="G173" i="2" s="1" a="1"/>
  <c r="G173" i="2" s="1"/>
  <c r="D175" i="2"/>
  <c r="J174" i="2"/>
  <c r="L174" i="2"/>
  <c r="F174" i="2" a="1"/>
  <c r="F174" i="2" s="1"/>
  <c r="K172" i="2"/>
  <c r="I172" i="2"/>
  <c r="N172" i="2"/>
  <c r="M172" i="2"/>
  <c r="H172" i="2"/>
  <c r="P172" i="2" l="1"/>
  <c r="E174" i="2"/>
  <c r="G174" i="2" s="1" a="1"/>
  <c r="G174" i="2" s="1"/>
  <c r="D176" i="2"/>
  <c r="J175" i="2"/>
  <c r="L175" i="2"/>
  <c r="F175" i="2" a="1"/>
  <c r="F175" i="2" s="1"/>
  <c r="K173" i="2"/>
  <c r="I173" i="2"/>
  <c r="P173" i="2" s="1"/>
  <c r="N173" i="2"/>
  <c r="M173" i="2"/>
  <c r="H173" i="2"/>
  <c r="E175" i="2" l="1"/>
  <c r="G175" i="2" s="1" a="1"/>
  <c r="G175" i="2" s="1"/>
  <c r="D177" i="2"/>
  <c r="J176" i="2"/>
  <c r="L176" i="2"/>
  <c r="F176" i="2" a="1"/>
  <c r="F176" i="2" s="1"/>
  <c r="K174" i="2"/>
  <c r="I174" i="2"/>
  <c r="P174" i="2" s="1"/>
  <c r="M174" i="2"/>
  <c r="N174" i="2"/>
  <c r="H174" i="2"/>
  <c r="E176" i="2" l="1"/>
  <c r="G176" i="2" s="1" a="1"/>
  <c r="G176" i="2" s="1"/>
  <c r="D178" i="2"/>
  <c r="J177" i="2"/>
  <c r="L177" i="2"/>
  <c r="F177" i="2" a="1"/>
  <c r="F177" i="2" s="1"/>
  <c r="K175" i="2"/>
  <c r="I175" i="2"/>
  <c r="O175" i="2"/>
  <c r="M175" i="2"/>
  <c r="N175" i="2"/>
  <c r="H175" i="2"/>
  <c r="P175" i="2" l="1"/>
  <c r="E177" i="2"/>
  <c r="G177" i="2" s="1" a="1"/>
  <c r="G177" i="2" s="1"/>
  <c r="D179" i="2"/>
  <c r="J178" i="2"/>
  <c r="L178" i="2"/>
  <c r="F178" i="2" a="1"/>
  <c r="F178" i="2" s="1"/>
  <c r="K176" i="2"/>
  <c r="I176" i="2"/>
  <c r="P176" i="2" s="1"/>
  <c r="M176" i="2"/>
  <c r="N176" i="2"/>
  <c r="H176" i="2"/>
  <c r="E178" i="2" l="1"/>
  <c r="G178" i="2" s="1" a="1"/>
  <c r="G178" i="2" s="1"/>
  <c r="D180" i="2"/>
  <c r="J179" i="2"/>
  <c r="L179" i="2"/>
  <c r="F179" i="2" a="1"/>
  <c r="F179" i="2" s="1"/>
  <c r="K177" i="2"/>
  <c r="I177" i="2"/>
  <c r="P177" i="2" s="1"/>
  <c r="N177" i="2"/>
  <c r="M177" i="2"/>
  <c r="H177" i="2"/>
  <c r="E179" i="2" l="1"/>
  <c r="G179" i="2" s="1" a="1"/>
  <c r="G179" i="2" s="1"/>
  <c r="D181" i="2"/>
  <c r="J180" i="2"/>
  <c r="L180" i="2"/>
  <c r="F180" i="2" a="1"/>
  <c r="F180" i="2" s="1"/>
  <c r="K178" i="2"/>
  <c r="I178" i="2"/>
  <c r="P178" i="2" s="1"/>
  <c r="N178" i="2"/>
  <c r="M178" i="2"/>
  <c r="H178" i="2"/>
  <c r="E180" i="2" l="1"/>
  <c r="G180" i="2" s="1" a="1"/>
  <c r="G180" i="2" s="1"/>
  <c r="D182" i="2"/>
  <c r="J181" i="2"/>
  <c r="L181" i="2"/>
  <c r="F181" i="2" a="1"/>
  <c r="F181" i="2" s="1"/>
  <c r="K179" i="2"/>
  <c r="I179" i="2"/>
  <c r="P179" i="2" s="1"/>
  <c r="N179" i="2"/>
  <c r="M179" i="2"/>
  <c r="H179" i="2"/>
  <c r="E181" i="2" l="1"/>
  <c r="G181" i="2" s="1" a="1"/>
  <c r="G181" i="2" s="1"/>
  <c r="D183" i="2"/>
  <c r="J182" i="2"/>
  <c r="L182" i="2"/>
  <c r="F182" i="2" a="1"/>
  <c r="F182" i="2" s="1"/>
  <c r="K180" i="2"/>
  <c r="O180" i="2"/>
  <c r="I180" i="2"/>
  <c r="N180" i="2"/>
  <c r="M180" i="2"/>
  <c r="H180" i="2"/>
  <c r="P180" i="2" l="1"/>
  <c r="E182" i="2"/>
  <c r="G182" i="2" s="1" a="1"/>
  <c r="G182" i="2" s="1"/>
  <c r="D184" i="2"/>
  <c r="J183" i="2"/>
  <c r="L183" i="2"/>
  <c r="F183" i="2" a="1"/>
  <c r="F183" i="2" s="1"/>
  <c r="K181" i="2"/>
  <c r="I181" i="2"/>
  <c r="P181" i="2" s="1"/>
  <c r="N181" i="2"/>
  <c r="M181" i="2"/>
  <c r="H181" i="2"/>
  <c r="E183" i="2" l="1"/>
  <c r="G183" i="2" s="1" a="1"/>
  <c r="G183" i="2" s="1"/>
  <c r="D185" i="2"/>
  <c r="J184" i="2"/>
  <c r="L184" i="2"/>
  <c r="F184" i="2" a="1"/>
  <c r="F184" i="2" s="1"/>
  <c r="K182" i="2"/>
  <c r="I182" i="2"/>
  <c r="P182" i="2" s="1"/>
  <c r="N182" i="2"/>
  <c r="M182" i="2"/>
  <c r="H182" i="2"/>
  <c r="E184" i="2" l="1"/>
  <c r="G184" i="2" s="1" a="1"/>
  <c r="G184" i="2" s="1"/>
  <c r="D186" i="2"/>
  <c r="J185" i="2"/>
  <c r="L185" i="2"/>
  <c r="F185" i="2" a="1"/>
  <c r="F185" i="2" s="1"/>
  <c r="K183" i="2"/>
  <c r="I183" i="2"/>
  <c r="P183" i="2" s="1"/>
  <c r="N183" i="2"/>
  <c r="M183" i="2"/>
  <c r="H183" i="2"/>
  <c r="E185" i="2" l="1"/>
  <c r="G185" i="2" s="1" a="1"/>
  <c r="G185" i="2" s="1"/>
  <c r="D187" i="2"/>
  <c r="J186" i="2"/>
  <c r="L186" i="2"/>
  <c r="F186" i="2" a="1"/>
  <c r="F186" i="2" s="1"/>
  <c r="K184" i="2"/>
  <c r="I184" i="2"/>
  <c r="P184" i="2" s="1"/>
  <c r="N184" i="2"/>
  <c r="M184" i="2"/>
  <c r="H184" i="2"/>
  <c r="E186" i="2" l="1"/>
  <c r="G186" i="2" s="1" a="1"/>
  <c r="G186" i="2" s="1"/>
  <c r="D188" i="2"/>
  <c r="J187" i="2"/>
  <c r="L187" i="2"/>
  <c r="F187" i="2" a="1"/>
  <c r="F187" i="2" s="1"/>
  <c r="K185" i="2"/>
  <c r="I185" i="2"/>
  <c r="O185" i="2"/>
  <c r="N185" i="2"/>
  <c r="M185" i="2"/>
  <c r="H185" i="2"/>
  <c r="E187" i="2" l="1"/>
  <c r="G187" i="2" s="1" a="1"/>
  <c r="G187" i="2" s="1"/>
  <c r="P185" i="2"/>
  <c r="D189" i="2"/>
  <c r="J188" i="2"/>
  <c r="L188" i="2"/>
  <c r="F188" i="2" a="1"/>
  <c r="F188" i="2" s="1"/>
  <c r="K186" i="2"/>
  <c r="I186" i="2"/>
  <c r="P186" i="2" s="1"/>
  <c r="N186" i="2"/>
  <c r="M186" i="2"/>
  <c r="H186" i="2"/>
  <c r="E188" i="2" l="1"/>
  <c r="G188" i="2" s="1" a="1"/>
  <c r="G188" i="2" s="1"/>
  <c r="D190" i="2"/>
  <c r="J189" i="2"/>
  <c r="L189" i="2"/>
  <c r="F189" i="2" a="1"/>
  <c r="F189" i="2" s="1"/>
  <c r="K187" i="2"/>
  <c r="I187" i="2"/>
  <c r="P187" i="2" s="1"/>
  <c r="N187" i="2"/>
  <c r="M187" i="2"/>
  <c r="H187" i="2"/>
  <c r="E189" i="2" l="1"/>
  <c r="G189" i="2" s="1" a="1"/>
  <c r="G189" i="2" s="1"/>
  <c r="D191" i="2"/>
  <c r="J190" i="2"/>
  <c r="L190" i="2"/>
  <c r="F190" i="2" a="1"/>
  <c r="F190" i="2" s="1"/>
  <c r="K188" i="2"/>
  <c r="I188" i="2"/>
  <c r="P188" i="2" s="1"/>
  <c r="M188" i="2"/>
  <c r="N188" i="2"/>
  <c r="H188" i="2"/>
  <c r="E190" i="2" l="1"/>
  <c r="G190" i="2" s="1" a="1"/>
  <c r="G190" i="2" s="1"/>
  <c r="D192" i="2"/>
  <c r="J191" i="2"/>
  <c r="L191" i="2"/>
  <c r="F191" i="2" a="1"/>
  <c r="F191" i="2" s="1"/>
  <c r="K189" i="2"/>
  <c r="I189" i="2"/>
  <c r="P189" i="2" s="1"/>
  <c r="N189" i="2"/>
  <c r="M189" i="2"/>
  <c r="H189" i="2"/>
  <c r="E191" i="2" l="1"/>
  <c r="G191" i="2" s="1" a="1"/>
  <c r="G191" i="2" s="1"/>
  <c r="D193" i="2"/>
  <c r="J192" i="2"/>
  <c r="L192" i="2"/>
  <c r="F192" i="2" a="1"/>
  <c r="F192" i="2" s="1"/>
  <c r="K190" i="2"/>
  <c r="O190" i="2"/>
  <c r="I190" i="2"/>
  <c r="M190" i="2"/>
  <c r="N190" i="2"/>
  <c r="H190" i="2"/>
  <c r="P190" i="2" l="1"/>
  <c r="E192" i="2"/>
  <c r="G192" i="2" s="1" a="1"/>
  <c r="G192" i="2" s="1"/>
  <c r="D194" i="2"/>
  <c r="J193" i="2"/>
  <c r="L193" i="2"/>
  <c r="F193" i="2" a="1"/>
  <c r="F193" i="2" s="1"/>
  <c r="K191" i="2"/>
  <c r="I191" i="2"/>
  <c r="P191" i="2" s="1"/>
  <c r="M191" i="2"/>
  <c r="N191" i="2"/>
  <c r="H191" i="2"/>
  <c r="E193" i="2" l="1"/>
  <c r="G193" i="2" s="1" a="1"/>
  <c r="G193" i="2" s="1"/>
  <c r="D195" i="2"/>
  <c r="J194" i="2"/>
  <c r="L194" i="2"/>
  <c r="F194" i="2" a="1"/>
  <c r="F194" i="2" s="1"/>
  <c r="K192" i="2"/>
  <c r="I192" i="2"/>
  <c r="M192" i="2"/>
  <c r="N192" i="2"/>
  <c r="H192" i="2"/>
  <c r="P192" i="2" l="1"/>
  <c r="E194" i="2"/>
  <c r="G194" i="2" s="1" a="1"/>
  <c r="G194" i="2" s="1"/>
  <c r="D196" i="2"/>
  <c r="J195" i="2"/>
  <c r="L195" i="2"/>
  <c r="F195" i="2" a="1"/>
  <c r="F195" i="2" s="1"/>
  <c r="K193" i="2"/>
  <c r="I193" i="2"/>
  <c r="P193" i="2" s="1"/>
  <c r="M193" i="2"/>
  <c r="N193" i="2"/>
  <c r="H193" i="2"/>
  <c r="E195" i="2" l="1"/>
  <c r="G195" i="2" s="1" a="1"/>
  <c r="G195" i="2" s="1"/>
  <c r="D197" i="2"/>
  <c r="J196" i="2"/>
  <c r="L196" i="2"/>
  <c r="F196" i="2" a="1"/>
  <c r="F196" i="2" s="1"/>
  <c r="K194" i="2"/>
  <c r="I194" i="2"/>
  <c r="P194" i="2" s="1"/>
  <c r="N194" i="2"/>
  <c r="M194" i="2"/>
  <c r="H194" i="2"/>
  <c r="E196" i="2" l="1"/>
  <c r="G196" i="2" s="1" a="1"/>
  <c r="G196" i="2" s="1"/>
  <c r="D198" i="2"/>
  <c r="J197" i="2"/>
  <c r="L197" i="2"/>
  <c r="F197" i="2" a="1"/>
  <c r="F197" i="2" s="1"/>
  <c r="K195" i="2"/>
  <c r="I195" i="2"/>
  <c r="O195" i="2"/>
  <c r="N195" i="2"/>
  <c r="M195" i="2"/>
  <c r="H195" i="2"/>
  <c r="P195" i="2" l="1"/>
  <c r="E197" i="2"/>
  <c r="G197" i="2" s="1" a="1"/>
  <c r="G197" i="2" s="1"/>
  <c r="D199" i="2"/>
  <c r="J198" i="2"/>
  <c r="L198" i="2"/>
  <c r="F198" i="2" a="1"/>
  <c r="F198" i="2" s="1"/>
  <c r="K196" i="2"/>
  <c r="I196" i="2"/>
  <c r="P196" i="2" s="1"/>
  <c r="N196" i="2"/>
  <c r="M196" i="2"/>
  <c r="H196" i="2"/>
  <c r="E198" i="2" l="1"/>
  <c r="G198" i="2" s="1" a="1"/>
  <c r="G198" i="2" s="1"/>
  <c r="D200" i="2"/>
  <c r="J199" i="2"/>
  <c r="L199" i="2"/>
  <c r="F199" i="2" a="1"/>
  <c r="F199" i="2" s="1"/>
  <c r="K197" i="2"/>
  <c r="I197" i="2"/>
  <c r="P197" i="2" s="1"/>
  <c r="N197" i="2"/>
  <c r="M197" i="2"/>
  <c r="H197" i="2"/>
  <c r="E199" i="2" l="1"/>
  <c r="G199" i="2" s="1" a="1"/>
  <c r="G199" i="2" s="1"/>
  <c r="D201" i="2"/>
  <c r="J200" i="2"/>
  <c r="L200" i="2"/>
  <c r="F200" i="2" a="1"/>
  <c r="F200" i="2" s="1"/>
  <c r="K198" i="2"/>
  <c r="I198" i="2"/>
  <c r="P198" i="2" s="1"/>
  <c r="N198" i="2"/>
  <c r="M198" i="2"/>
  <c r="H198" i="2"/>
  <c r="E200" i="2" l="1"/>
  <c r="G200" i="2" s="1" a="1"/>
  <c r="G200" i="2" s="1"/>
  <c r="D202" i="2"/>
  <c r="J201" i="2"/>
  <c r="L201" i="2"/>
  <c r="F201" i="2" a="1"/>
  <c r="F201" i="2" s="1"/>
  <c r="K199" i="2"/>
  <c r="I199" i="2"/>
  <c r="P199" i="2" s="1"/>
  <c r="N199" i="2"/>
  <c r="M199" i="2"/>
  <c r="H199" i="2"/>
  <c r="E201" i="2" l="1"/>
  <c r="G201" i="2" s="1" a="1"/>
  <c r="G201" i="2" s="1"/>
  <c r="D203" i="2"/>
  <c r="J202" i="2"/>
  <c r="L202" i="2"/>
  <c r="F202" i="2" a="1"/>
  <c r="F202" i="2" s="1"/>
  <c r="K200" i="2"/>
  <c r="O200" i="2"/>
  <c r="I200" i="2"/>
  <c r="N200" i="2"/>
  <c r="M200" i="2"/>
  <c r="H200" i="2"/>
  <c r="P200" i="2" l="1"/>
  <c r="E202" i="2"/>
  <c r="G202" i="2" s="1" a="1"/>
  <c r="G202" i="2" s="1"/>
  <c r="D204" i="2"/>
  <c r="J203" i="2"/>
  <c r="L203" i="2"/>
  <c r="F203" i="2" a="1"/>
  <c r="F203" i="2" s="1"/>
  <c r="K201" i="2"/>
  <c r="I201" i="2"/>
  <c r="P201" i="2" s="1"/>
  <c r="N201" i="2"/>
  <c r="M201" i="2"/>
  <c r="H201" i="2"/>
  <c r="E203" i="2" l="1"/>
  <c r="G203" i="2" s="1" a="1"/>
  <c r="G203" i="2" s="1"/>
  <c r="D205" i="2"/>
  <c r="J204" i="2"/>
  <c r="L204" i="2"/>
  <c r="F204" i="2" a="1"/>
  <c r="F204" i="2" s="1"/>
  <c r="K202" i="2"/>
  <c r="I202" i="2"/>
  <c r="P202" i="2" s="1"/>
  <c r="N202" i="2"/>
  <c r="M202" i="2"/>
  <c r="H202" i="2"/>
  <c r="E204" i="2" l="1"/>
  <c r="G204" i="2" s="1" a="1"/>
  <c r="G204" i="2" s="1"/>
  <c r="D206" i="2"/>
  <c r="J205" i="2"/>
  <c r="L205" i="2"/>
  <c r="F205" i="2" a="1"/>
  <c r="F205" i="2" s="1"/>
  <c r="K203" i="2"/>
  <c r="I203" i="2"/>
  <c r="P203" i="2" s="1"/>
  <c r="N203" i="2"/>
  <c r="M203" i="2"/>
  <c r="H203" i="2"/>
  <c r="E205" i="2" l="1"/>
  <c r="G205" i="2" s="1" a="1"/>
  <c r="G205" i="2" s="1"/>
  <c r="D207" i="2"/>
  <c r="J206" i="2"/>
  <c r="L206" i="2"/>
  <c r="F206" i="2" a="1"/>
  <c r="F206" i="2" s="1"/>
  <c r="K204" i="2"/>
  <c r="I204" i="2"/>
  <c r="P204" i="2" s="1"/>
  <c r="M204" i="2"/>
  <c r="N204" i="2"/>
  <c r="H204" i="2"/>
  <c r="E206" i="2" l="1"/>
  <c r="G206" i="2" s="1" a="1"/>
  <c r="G206" i="2" s="1"/>
  <c r="D208" i="2"/>
  <c r="J207" i="2"/>
  <c r="L207" i="2"/>
  <c r="F207" i="2" a="1"/>
  <c r="F207" i="2" s="1"/>
  <c r="K205" i="2"/>
  <c r="O205" i="2"/>
  <c r="I205" i="2"/>
  <c r="N205" i="2"/>
  <c r="M205" i="2"/>
  <c r="H205" i="2"/>
  <c r="P205" i="2" l="1"/>
  <c r="E207" i="2"/>
  <c r="G207" i="2" s="1" a="1"/>
  <c r="G207" i="2" s="1"/>
  <c r="D209" i="2"/>
  <c r="J208" i="2"/>
  <c r="L208" i="2"/>
  <c r="F208" i="2" a="1"/>
  <c r="F208" i="2" s="1"/>
  <c r="K206" i="2"/>
  <c r="I206" i="2"/>
  <c r="P206" i="2" s="1"/>
  <c r="M206" i="2"/>
  <c r="N206" i="2"/>
  <c r="H206" i="2"/>
  <c r="E208" i="2" l="1"/>
  <c r="G208" i="2" s="1" a="1"/>
  <c r="G208" i="2" s="1"/>
  <c r="D210" i="2"/>
  <c r="J209" i="2"/>
  <c r="L209" i="2"/>
  <c r="F209" i="2" a="1"/>
  <c r="F209" i="2" s="1"/>
  <c r="K207" i="2"/>
  <c r="I207" i="2"/>
  <c r="P207" i="2" s="1"/>
  <c r="M207" i="2"/>
  <c r="N207" i="2"/>
  <c r="H207" i="2"/>
  <c r="E209" i="2" l="1"/>
  <c r="G209" i="2" s="1" a="1"/>
  <c r="G209" i="2" s="1"/>
  <c r="D211" i="2"/>
  <c r="J210" i="2"/>
  <c r="L210" i="2"/>
  <c r="F210" i="2" a="1"/>
  <c r="F210" i="2" s="1"/>
  <c r="K208" i="2"/>
  <c r="I208" i="2"/>
  <c r="P208" i="2" s="1"/>
  <c r="M208" i="2"/>
  <c r="N208" i="2"/>
  <c r="H208" i="2"/>
  <c r="E210" i="2" l="1"/>
  <c r="G210" i="2" s="1" a="1"/>
  <c r="G210" i="2" s="1"/>
  <c r="D212" i="2"/>
  <c r="J211" i="2"/>
  <c r="L211" i="2"/>
  <c r="F211" i="2" a="1"/>
  <c r="F211" i="2" s="1"/>
  <c r="K209" i="2"/>
  <c r="I209" i="2"/>
  <c r="P209" i="2" s="1"/>
  <c r="M209" i="2"/>
  <c r="N209" i="2"/>
  <c r="H209" i="2"/>
  <c r="E211" i="2" l="1"/>
  <c r="G211" i="2" s="1" a="1"/>
  <c r="G211" i="2" s="1"/>
  <c r="D213" i="2"/>
  <c r="J212" i="2"/>
  <c r="L212" i="2"/>
  <c r="F212" i="2" a="1"/>
  <c r="F212" i="2" s="1"/>
  <c r="K210" i="2"/>
  <c r="I210" i="2"/>
  <c r="O210" i="2"/>
  <c r="N210" i="2"/>
  <c r="M210" i="2"/>
  <c r="H210" i="2"/>
  <c r="E212" i="2" l="1"/>
  <c r="G212" i="2" s="1" a="1"/>
  <c r="G212" i="2" s="1"/>
  <c r="P210" i="2"/>
  <c r="D214" i="2"/>
  <c r="J213" i="2"/>
  <c r="L213" i="2"/>
  <c r="F213" i="2" a="1"/>
  <c r="F213" i="2" s="1"/>
  <c r="K211" i="2"/>
  <c r="I211" i="2"/>
  <c r="P211" i="2" s="1"/>
  <c r="N211" i="2"/>
  <c r="M211" i="2"/>
  <c r="H211" i="2"/>
  <c r="E213" i="2" l="1"/>
  <c r="G213" i="2" s="1" a="1"/>
  <c r="G213" i="2" s="1"/>
  <c r="D215" i="2"/>
  <c r="J214" i="2"/>
  <c r="L214" i="2"/>
  <c r="F214" i="2" a="1"/>
  <c r="F214" i="2" s="1"/>
  <c r="K212" i="2"/>
  <c r="I212" i="2"/>
  <c r="P212" i="2" s="1"/>
  <c r="N212" i="2"/>
  <c r="M212" i="2"/>
  <c r="H212" i="2"/>
  <c r="E214" i="2" l="1"/>
  <c r="G214" i="2" s="1" a="1"/>
  <c r="G214" i="2" s="1"/>
  <c r="D216" i="2"/>
  <c r="J215" i="2"/>
  <c r="L215" i="2"/>
  <c r="F215" i="2" a="1"/>
  <c r="F215" i="2" s="1"/>
  <c r="K213" i="2"/>
  <c r="I213" i="2"/>
  <c r="N213" i="2"/>
  <c r="M213" i="2"/>
  <c r="H213" i="2"/>
  <c r="P213" i="2" l="1"/>
  <c r="E215" i="2"/>
  <c r="G215" i="2" s="1" a="1"/>
  <c r="G215" i="2" s="1"/>
  <c r="D217" i="2"/>
  <c r="J216" i="2"/>
  <c r="L216" i="2"/>
  <c r="F216" i="2" a="1"/>
  <c r="F216" i="2" s="1"/>
  <c r="K214" i="2"/>
  <c r="I214" i="2"/>
  <c r="P214" i="2" s="1"/>
  <c r="N214" i="2"/>
  <c r="M214" i="2"/>
  <c r="H214" i="2"/>
  <c r="E216" i="2" l="1"/>
  <c r="G216" i="2" s="1" a="1"/>
  <c r="G216" i="2" s="1"/>
  <c r="D218" i="2"/>
  <c r="J217" i="2"/>
  <c r="L217" i="2"/>
  <c r="F217" i="2" a="1"/>
  <c r="F217" i="2" s="1"/>
  <c r="K215" i="2"/>
  <c r="I215" i="2"/>
  <c r="O215" i="2"/>
  <c r="N215" i="2"/>
  <c r="M215" i="2"/>
  <c r="H215" i="2"/>
  <c r="P215" i="2" l="1"/>
  <c r="E217" i="2"/>
  <c r="G217" i="2" s="1" a="1"/>
  <c r="G217" i="2" s="1"/>
  <c r="D219" i="2"/>
  <c r="J218" i="2"/>
  <c r="L218" i="2"/>
  <c r="F218" i="2" a="1"/>
  <c r="F218" i="2" s="1"/>
  <c r="K216" i="2"/>
  <c r="I216" i="2"/>
  <c r="P216" i="2" s="1"/>
  <c r="N216" i="2"/>
  <c r="M216" i="2"/>
  <c r="H216" i="2"/>
  <c r="E218" i="2" l="1"/>
  <c r="G218" i="2" s="1" a="1"/>
  <c r="G218" i="2" s="1"/>
  <c r="D220" i="2"/>
  <c r="J219" i="2"/>
  <c r="L219" i="2"/>
  <c r="F219" i="2" a="1"/>
  <c r="F219" i="2" s="1"/>
  <c r="K217" i="2"/>
  <c r="I217" i="2"/>
  <c r="P217" i="2" s="1"/>
  <c r="N217" i="2"/>
  <c r="M217" i="2"/>
  <c r="H217" i="2"/>
  <c r="E219" i="2" l="1"/>
  <c r="G219" i="2" s="1" a="1"/>
  <c r="G219" i="2" s="1"/>
  <c r="D221" i="2"/>
  <c r="J220" i="2"/>
  <c r="L220" i="2"/>
  <c r="F220" i="2" a="1"/>
  <c r="F220" i="2" s="1"/>
  <c r="K218" i="2"/>
  <c r="I218" i="2"/>
  <c r="P218" i="2" s="1"/>
  <c r="N218" i="2"/>
  <c r="M218" i="2"/>
  <c r="H218" i="2"/>
  <c r="E220" i="2" l="1"/>
  <c r="G220" i="2" s="1" a="1"/>
  <c r="G220" i="2" s="1"/>
  <c r="D222" i="2"/>
  <c r="J221" i="2"/>
  <c r="L221" i="2"/>
  <c r="F221" i="2" a="1"/>
  <c r="F221" i="2" s="1"/>
  <c r="K219" i="2"/>
  <c r="I219" i="2"/>
  <c r="P219" i="2" s="1"/>
  <c r="N219" i="2"/>
  <c r="M219" i="2"/>
  <c r="H219" i="2"/>
  <c r="E221" i="2" l="1"/>
  <c r="G221" i="2" s="1" a="1"/>
  <c r="G221" i="2" s="1"/>
  <c r="D223" i="2"/>
  <c r="J222" i="2"/>
  <c r="L222" i="2"/>
  <c r="F222" i="2" a="1"/>
  <c r="F222" i="2" s="1"/>
  <c r="K220" i="2"/>
  <c r="O220" i="2"/>
  <c r="I220" i="2"/>
  <c r="M220" i="2"/>
  <c r="N220" i="2"/>
  <c r="H220" i="2"/>
  <c r="P220" i="2" l="1"/>
  <c r="E222" i="2"/>
  <c r="G222" i="2" s="1" a="1"/>
  <c r="G222" i="2" s="1"/>
  <c r="D224" i="2"/>
  <c r="J223" i="2"/>
  <c r="L223" i="2"/>
  <c r="F223" i="2" a="1"/>
  <c r="F223" i="2" s="1"/>
  <c r="K221" i="2"/>
  <c r="I221" i="2"/>
  <c r="P221" i="2" s="1"/>
  <c r="N221" i="2"/>
  <c r="M221" i="2"/>
  <c r="H221" i="2"/>
  <c r="E223" i="2" l="1"/>
  <c r="G223" i="2" s="1" a="1"/>
  <c r="G223" i="2" s="1"/>
  <c r="D225" i="2"/>
  <c r="J224" i="2"/>
  <c r="L224" i="2"/>
  <c r="F224" i="2" a="1"/>
  <c r="F224" i="2" s="1"/>
  <c r="K222" i="2"/>
  <c r="I222" i="2"/>
  <c r="P222" i="2" s="1"/>
  <c r="M222" i="2"/>
  <c r="N222" i="2"/>
  <c r="H222" i="2"/>
  <c r="E224" i="2" l="1"/>
  <c r="G224" i="2" s="1" a="1"/>
  <c r="G224" i="2" s="1"/>
  <c r="D226" i="2"/>
  <c r="J225" i="2"/>
  <c r="L225" i="2"/>
  <c r="F225" i="2" a="1"/>
  <c r="F225" i="2" s="1"/>
  <c r="E225" i="2" s="1"/>
  <c r="G225" i="2" s="1" a="1"/>
  <c r="G225" i="2" s="1"/>
  <c r="K223" i="2"/>
  <c r="I223" i="2"/>
  <c r="P223" i="2" s="1"/>
  <c r="M223" i="2"/>
  <c r="N223" i="2"/>
  <c r="H223" i="2"/>
  <c r="K225" i="2" l="1"/>
  <c r="I225" i="2"/>
  <c r="O225" i="2"/>
  <c r="M225" i="2"/>
  <c r="N225" i="2"/>
  <c r="H225" i="2"/>
  <c r="D227" i="2"/>
  <c r="J226" i="2"/>
  <c r="L226" i="2"/>
  <c r="F226" i="2" a="1"/>
  <c r="F226" i="2" s="1"/>
  <c r="E226" i="2" s="1"/>
  <c r="G226" i="2" s="1" a="1"/>
  <c r="G226" i="2" s="1"/>
  <c r="K224" i="2"/>
  <c r="I224" i="2"/>
  <c r="P224" i="2" s="1"/>
  <c r="M224" i="2"/>
  <c r="N224" i="2"/>
  <c r="H224" i="2"/>
  <c r="D228" i="2" l="1"/>
  <c r="J227" i="2"/>
  <c r="L227" i="2"/>
  <c r="F227" i="2" a="1"/>
  <c r="F227" i="2" s="1"/>
  <c r="E227" i="2" s="1"/>
  <c r="G227" i="2" s="1" a="1"/>
  <c r="G227" i="2" s="1"/>
  <c r="K226" i="2"/>
  <c r="I226" i="2"/>
  <c r="P226" i="2" s="1"/>
  <c r="N226" i="2"/>
  <c r="M226" i="2"/>
  <c r="H226" i="2"/>
  <c r="P225" i="2"/>
  <c r="K227" i="2" l="1"/>
  <c r="I227" i="2"/>
  <c r="P227" i="2" s="1"/>
  <c r="N227" i="2"/>
  <c r="M227" i="2"/>
  <c r="H227" i="2"/>
  <c r="D229" i="2"/>
  <c r="J228" i="2"/>
  <c r="L228" i="2"/>
  <c r="F228" i="2" a="1"/>
  <c r="F228" i="2" s="1"/>
  <c r="E228" i="2" s="1"/>
  <c r="G228" i="2" s="1" a="1"/>
  <c r="G228" i="2" s="1"/>
  <c r="K228" i="2" l="1"/>
  <c r="I228" i="2"/>
  <c r="P228" i="2" s="1"/>
  <c r="N228" i="2"/>
  <c r="M228" i="2"/>
  <c r="H228" i="2"/>
  <c r="J229" i="2"/>
  <c r="L229" i="2"/>
  <c r="F229" i="2" a="1"/>
  <c r="F229" i="2" s="1"/>
  <c r="E229" i="2" s="1"/>
  <c r="G229" i="2" s="1" a="1"/>
  <c r="G229" i="2" s="1"/>
  <c r="K229" i="2" l="1"/>
  <c r="I229" i="2"/>
  <c r="P229" i="2" s="1"/>
  <c r="N229" i="2"/>
  <c r="M229" i="2"/>
  <c r="H22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<sst xmlns="http://schemas.openxmlformats.org/spreadsheetml/2006/main" count="834" uniqueCount="148">
  <si>
    <t>BS'D</t>
  </si>
  <si>
    <t>Billing Code</t>
  </si>
  <si>
    <t>Revenue per Patient</t>
  </si>
  <si>
    <t>Active (Checkbox)</t>
  </si>
  <si>
    <t>Revenue Calc</t>
  </si>
  <si>
    <t>Reccurring billing codes</t>
  </si>
  <si>
    <t>N/A</t>
  </si>
  <si>
    <t>Time in Minutes</t>
  </si>
  <si>
    <t>Time factor</t>
  </si>
  <si>
    <t>Time Calc in Minutes</t>
  </si>
  <si>
    <t>Non Reccurring billing codes</t>
  </si>
  <si>
    <t>Total Revenues</t>
  </si>
  <si>
    <t>Recurring</t>
  </si>
  <si>
    <t>Non Reccuring</t>
  </si>
  <si>
    <t>Labor</t>
  </si>
  <si>
    <t>Clinician annual salary</t>
  </si>
  <si>
    <t>Nurse annual salary</t>
  </si>
  <si>
    <t>Doctor annual salary</t>
  </si>
  <si>
    <t>Title</t>
  </si>
  <si>
    <t>Annual Salary</t>
  </si>
  <si>
    <t>Hours Per Week</t>
  </si>
  <si>
    <t>Hourly Wage</t>
  </si>
  <si>
    <t>Per Clinician</t>
  </si>
  <si>
    <t>Billable Hours Unit Economic</t>
  </si>
  <si>
    <t>Hours to Process Billing</t>
  </si>
  <si>
    <t>Clinician Cost</t>
  </si>
  <si>
    <t>Nurse Cost</t>
  </si>
  <si>
    <t>Doctor Cost</t>
  </si>
  <si>
    <t>Labor Cost</t>
  </si>
  <si>
    <t>Admin Cost</t>
  </si>
  <si>
    <t>Monthly Salary and OverHead</t>
  </si>
  <si>
    <t>Misc</t>
  </si>
  <si>
    <t>Monthly Cost</t>
  </si>
  <si>
    <t>Hourly Cost</t>
  </si>
  <si>
    <t>Reccurring Revenues</t>
  </si>
  <si>
    <t>Total Rec Revenues</t>
  </si>
  <si>
    <t>Months</t>
  </si>
  <si>
    <t>State</t>
  </si>
  <si>
    <t>New Patients</t>
  </si>
  <si>
    <t>Churn</t>
  </si>
  <si>
    <t>Total Patients</t>
  </si>
  <si>
    <t>Market Penetration</t>
  </si>
  <si>
    <t>Reccurring Revenue</t>
  </si>
  <si>
    <t>Non Reccuring Revenue</t>
  </si>
  <si>
    <t>Non Reccuring Cost</t>
  </si>
  <si>
    <t>EBITDA</t>
  </si>
  <si>
    <t>Category</t>
  </si>
  <si>
    <t>Variable</t>
  </si>
  <si>
    <t>Value</t>
  </si>
  <si>
    <t>Notes/Description</t>
  </si>
  <si>
    <t>Timeline</t>
  </si>
  <si>
    <t>Simulation Period (Months)</t>
  </si>
  <si>
    <t>Total number of months for the simulation.</t>
  </si>
  <si>
    <t>Start Month - Virginia</t>
  </si>
  <si>
    <t>Virginia starts operations in Month 1.</t>
  </si>
  <si>
    <t>Start Month - Florida</t>
  </si>
  <si>
    <t>Florida starts operations in Month 13.</t>
  </si>
  <si>
    <t>Start Month - Texas</t>
  </si>
  <si>
    <t>Texas starts operations in Month 13.</t>
  </si>
  <si>
    <t>Start Month - New York</t>
  </si>
  <si>
    <t>New York starts operations in Month 25.</t>
  </si>
  <si>
    <t>Start Month - California</t>
  </si>
  <si>
    <t>California starts operations in Month 25.</t>
  </si>
  <si>
    <t>Growth</t>
  </si>
  <si>
    <t>Target Market Penetration (%)</t>
  </si>
  <si>
    <t>Maximum market penetration to reach by Month 60.</t>
  </si>
  <si>
    <t>Monthly Growth Rate</t>
  </si>
  <si>
    <t>Monthly patient acquisition growth rate.</t>
  </si>
  <si>
    <t>Annual Churn Rate (%)</t>
  </si>
  <si>
    <t>Total churn per year.</t>
  </si>
  <si>
    <t>Market Size</t>
  </si>
  <si>
    <t>Virginia Market Size</t>
  </si>
  <si>
    <t>Total addressable market for Virginia.</t>
  </si>
  <si>
    <t>Florida Market Size</t>
  </si>
  <si>
    <t>Total addressable market for Florida.</t>
  </si>
  <si>
    <t>Texas Market Size</t>
  </si>
  <si>
    <t>Total addressable market for Texas.</t>
  </si>
  <si>
    <t>New York Market Size</t>
  </si>
  <si>
    <t>Total addressable market for New York.</t>
  </si>
  <si>
    <t>California Market Size</t>
  </si>
  <si>
    <t>Total addressable market for California.</t>
  </si>
  <si>
    <t>Financial Metrics</t>
  </si>
  <si>
    <t>Recurring Revenue per Patient</t>
  </si>
  <si>
    <t>Recurring revenue per patient per month.</t>
  </si>
  <si>
    <t>Non-Recurring Revenue per Patient</t>
  </si>
  <si>
    <t>One-time setup revenue per new patient.</t>
  </si>
  <si>
    <t>Platform Fee per Patient</t>
  </si>
  <si>
    <t>Hardware Cost per New Patient</t>
  </si>
  <si>
    <t>Start Month</t>
  </si>
  <si>
    <t>Virginia</t>
  </si>
  <si>
    <t>Florida</t>
  </si>
  <si>
    <t>Texas</t>
  </si>
  <si>
    <t>New York</t>
  </si>
  <si>
    <t>California</t>
  </si>
  <si>
    <t/>
  </si>
  <si>
    <t>`</t>
  </si>
  <si>
    <t>month</t>
  </si>
  <si>
    <t>states</t>
  </si>
  <si>
    <t>Monthly Churn Rate (%)</t>
  </si>
  <si>
    <t>Total Churn pr month</t>
  </si>
  <si>
    <t>Temporary Total Patients</t>
  </si>
  <si>
    <t>Starting patients for Month 1.</t>
  </si>
  <si>
    <t>Initial Patients (New States)</t>
  </si>
  <si>
    <t>Starting patients for new states.</t>
  </si>
  <si>
    <t>Initial Patients (Existing)</t>
  </si>
  <si>
    <t>Patient per week</t>
  </si>
  <si>
    <t xml:space="preserve">Efficiency </t>
  </si>
  <si>
    <t>Adj. patient per week</t>
  </si>
  <si>
    <t>Number of patient per clinician per month</t>
  </si>
  <si>
    <t>Number of nurse per clinician per month</t>
  </si>
  <si>
    <t>Overhead</t>
  </si>
  <si>
    <t>Hardware / Software</t>
  </si>
  <si>
    <t xml:space="preserve">Monthly cost per clinician </t>
  </si>
  <si>
    <t>Number of doctor per clinician per month</t>
  </si>
  <si>
    <t>Nurse cost per clincian per month</t>
  </si>
  <si>
    <t>Doctor cost per clinician per month</t>
  </si>
  <si>
    <t>Potentially charge Membership</t>
  </si>
  <si>
    <t>Platform Cost per Patient</t>
  </si>
  <si>
    <t>Software Rev</t>
  </si>
  <si>
    <t>Software Cost</t>
  </si>
  <si>
    <t>IT Cost</t>
  </si>
  <si>
    <t>One-time hardware cost per new patient. (Corr)</t>
  </si>
  <si>
    <t>Total</t>
  </si>
  <si>
    <t>Overhead cap</t>
  </si>
  <si>
    <t>Additional Overhead per 1,000 patient</t>
  </si>
  <si>
    <t>OverHead &amp;  Operations</t>
  </si>
  <si>
    <t>GPCI</t>
  </si>
  <si>
    <t>Year</t>
  </si>
  <si>
    <t>Initial Cash Balance</t>
  </si>
  <si>
    <t>C-Suite and Administrative Salaries</t>
  </si>
  <si>
    <t>IT Development (MVP and Beta Testing)</t>
  </si>
  <si>
    <t>Device Manufacturing (Initial Deployment)</t>
  </si>
  <si>
    <t>Contingency Fund</t>
  </si>
  <si>
    <t>Total Use of Proceeds</t>
  </si>
  <si>
    <t>Use of Proceeds</t>
  </si>
  <si>
    <t>Month</t>
  </si>
  <si>
    <t>Salaries ($)</t>
  </si>
  <si>
    <t>IT Development ($)</t>
  </si>
  <si>
    <t>Device Manufacturing ($)</t>
  </si>
  <si>
    <t>Clinical Staffing ($)</t>
  </si>
  <si>
    <t>Sales &amp; Marketing ($)</t>
  </si>
  <si>
    <t>Contingency ($)</t>
  </si>
  <si>
    <t>Total Spend ($)</t>
  </si>
  <si>
    <t>Remaining Cash ($)</t>
  </si>
  <si>
    <t>Clinical Staffing and Training Salaries</t>
  </si>
  <si>
    <t>Sales and Marketing Budget</t>
  </si>
  <si>
    <t>Cash Balance</t>
  </si>
  <si>
    <t>Remaining Cash end of 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</si>
</sst>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  <numFmt numFmtId="174" formatCode="&quot;$&quot;#,##0.00"/>
    <numFmt numFmtId="176" formatCode="&quot;$&quot;#,##0"/>
  </numFmts>
  <fonts count="2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</font>
    <font>
      <b/>
      <sz val="12"/>
      <color theme="3" tint="0.499984740745262"/>
      <name val="Calibri"/>
      <family val="2"/>
    </font>
    <font>
      <sz val="12"/>
      <color theme="0" tint="-0.499984740745262"/>
      <name val="Calibri"/>
      <family val="2"/>
    </font>
    <font>
      <b/>
      <sz val="12"/>
      <color rgb="FFC0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rgb="FF0000FF"/>
      <name val="Calibri"/>
      <family val="2"/>
    </font>
    <font>
      <i/>
      <sz val="12"/>
      <color theme="1"/>
      <name val="Calibri"/>
      <family val="2"/>
    </font>
    <font>
      <b/>
      <i/>
      <sz val="12"/>
      <color rgb="FF0000FF"/>
      <name val="Calibri"/>
      <family val="2"/>
    </font>
    <font>
      <b/>
      <sz val="12"/>
      <name val="Calibri"/>
      <family val="2"/>
    </font>
    <font>
      <sz val="12"/>
      <color rgb="FF0000FF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2" fontId="9" fillId="0" borderId="0" xfId="0" applyNumberFormat="1" applyFont="1"/>
    <xf numFmtId="0" fontId="10" fillId="0" borderId="0" xfId="0" applyFont="1"/>
    <xf numFmtId="0" fontId="9" fillId="0" borderId="0" xfId="0" applyFont="1"/>
    <xf numFmtId="0" fontId="4" fillId="2" borderId="0" xfId="0" applyFont="1" applyFill="1"/>
    <xf numFmtId="2" fontId="9" fillId="2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 applyFill="1" applyBorder="1" applyAlignment="1">
      <alignment horizontal="left" indent="1"/>
    </xf>
    <xf numFmtId="164" fontId="4" fillId="0" borderId="0" xfId="1" applyNumberFormat="1" applyFont="1" applyFill="1" applyBorder="1"/>
    <xf numFmtId="2" fontId="11" fillId="0" borderId="0" xfId="0" applyNumberFormat="1" applyFont="1"/>
    <xf numFmtId="0" fontId="4" fillId="0" borderId="1" xfId="0" applyFont="1" applyBorder="1"/>
    <xf numFmtId="2" fontId="11" fillId="0" borderId="1" xfId="0" applyNumberFormat="1" applyFont="1" applyBorder="1"/>
    <xf numFmtId="0" fontId="6" fillId="0" borderId="0" xfId="0" applyFont="1" applyFill="1" applyBorder="1"/>
    <xf numFmtId="0" fontId="4" fillId="0" borderId="1" xfId="0" applyFont="1" applyFill="1" applyBorder="1" applyAlignment="1">
      <alignment horizontal="left" indent="1"/>
    </xf>
    <xf numFmtId="2" fontId="9" fillId="0" borderId="1" xfId="0" applyNumberFormat="1" applyFont="1" applyBorder="1"/>
    <xf numFmtId="0" fontId="12" fillId="4" borderId="0" xfId="0" applyFont="1" applyFill="1"/>
    <xf numFmtId="0" fontId="13" fillId="4" borderId="0" xfId="0" applyFont="1" applyFill="1"/>
    <xf numFmtId="9" fontId="4" fillId="0" borderId="0" xfId="0" applyNumberFormat="1" applyFont="1"/>
    <xf numFmtId="43" fontId="4" fillId="0" borderId="0" xfId="1" applyFont="1"/>
    <xf numFmtId="10" fontId="14" fillId="0" borderId="0" xfId="2" applyNumberFormat="1" applyFont="1"/>
    <xf numFmtId="0" fontId="6" fillId="0" borderId="2" xfId="0" applyFont="1" applyBorder="1"/>
    <xf numFmtId="0" fontId="4" fillId="0" borderId="2" xfId="0" applyFont="1" applyBorder="1"/>
    <xf numFmtId="164" fontId="14" fillId="2" borderId="2" xfId="1" applyNumberFormat="1" applyFont="1" applyFill="1" applyBorder="1"/>
    <xf numFmtId="0" fontId="6" fillId="0" borderId="0" xfId="0" applyFont="1" applyAlignment="1"/>
    <xf numFmtId="43" fontId="4" fillId="0" borderId="0" xfId="0" applyNumberFormat="1" applyFont="1"/>
    <xf numFmtId="0" fontId="15" fillId="0" borderId="0" xfId="0" applyFont="1" applyAlignment="1">
      <alignment horizontal="left" indent="1"/>
    </xf>
    <xf numFmtId="0" fontId="4" fillId="0" borderId="0" xfId="0" applyFont="1" applyBorder="1"/>
    <xf numFmtId="164" fontId="4" fillId="0" borderId="0" xfId="0" applyNumberFormat="1" applyFont="1"/>
    <xf numFmtId="164" fontId="9" fillId="0" borderId="0" xfId="1" applyNumberFormat="1" applyFont="1"/>
    <xf numFmtId="1" fontId="9" fillId="0" borderId="0" xfId="0" applyNumberFormat="1" applyFont="1"/>
    <xf numFmtId="0" fontId="6" fillId="0" borderId="0" xfId="0" applyFont="1" applyBorder="1"/>
    <xf numFmtId="164" fontId="14" fillId="2" borderId="0" xfId="1" applyNumberFormat="1" applyFont="1" applyFill="1" applyBorder="1"/>
    <xf numFmtId="166" fontId="4" fillId="0" borderId="0" xfId="3" applyNumberFormat="1" applyFont="1"/>
    <xf numFmtId="44" fontId="14" fillId="2" borderId="0" xfId="3" applyFont="1" applyFill="1" applyBorder="1"/>
    <xf numFmtId="43" fontId="4" fillId="0" borderId="0" xfId="1" applyFont="1" applyAlignment="1">
      <alignment horizontal="center"/>
    </xf>
    <xf numFmtId="164" fontId="14" fillId="0" borderId="0" xfId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2" xfId="0" applyFont="1" applyFill="1" applyBorder="1" applyAlignment="1">
      <alignment horizontal="left" indent="1"/>
    </xf>
    <xf numFmtId="8" fontId="17" fillId="5" borderId="2" xfId="0" applyNumberFormat="1" applyFont="1" applyFill="1" applyBorder="1"/>
    <xf numFmtId="8" fontId="17" fillId="5" borderId="0" xfId="0" applyNumberFormat="1" applyFont="1" applyFill="1"/>
    <xf numFmtId="8" fontId="4" fillId="0" borderId="0" xfId="0" applyNumberFormat="1" applyFont="1"/>
    <xf numFmtId="44" fontId="4" fillId="0" borderId="0" xfId="0" applyNumberFormat="1" applyFont="1"/>
    <xf numFmtId="164" fontId="17" fillId="2" borderId="2" xfId="1" applyNumberFormat="1" applyFont="1" applyFill="1" applyBorder="1"/>
    <xf numFmtId="164" fontId="17" fillId="2" borderId="0" xfId="1" applyNumberFormat="1" applyFont="1" applyFill="1"/>
    <xf numFmtId="9" fontId="17" fillId="2" borderId="2" xfId="0" applyNumberFormat="1" applyFont="1" applyFill="1" applyBorder="1"/>
    <xf numFmtId="10" fontId="17" fillId="2" borderId="0" xfId="0" applyNumberFormat="1" applyFont="1" applyFill="1"/>
    <xf numFmtId="9" fontId="17" fillId="2" borderId="0" xfId="0" applyNumberFormat="1" applyFont="1" applyFill="1"/>
    <xf numFmtId="0" fontId="6" fillId="3" borderId="0" xfId="0" applyFont="1" applyFill="1" applyAlignment="1">
      <alignment horizontal="left"/>
    </xf>
    <xf numFmtId="8" fontId="17" fillId="5" borderId="1" xfId="0" applyNumberFormat="1" applyFont="1" applyFill="1" applyBorder="1"/>
    <xf numFmtId="166" fontId="17" fillId="2" borderId="0" xfId="3" applyNumberFormat="1" applyFont="1" applyFill="1"/>
    <xf numFmtId="43" fontId="18" fillId="0" borderId="0" xfId="1" applyFont="1"/>
    <xf numFmtId="10" fontId="18" fillId="0" borderId="0" xfId="2" applyNumberFormat="1" applyFont="1"/>
    <xf numFmtId="8" fontId="18" fillId="0" borderId="0" xfId="0" applyNumberFormat="1" applyFont="1"/>
    <xf numFmtId="2" fontId="17" fillId="2" borderId="2" xfId="0" applyNumberFormat="1" applyFont="1" applyFill="1" applyBorder="1"/>
    <xf numFmtId="2" fontId="17" fillId="2" borderId="0" xfId="0" applyNumberFormat="1" applyFont="1" applyFill="1"/>
    <xf numFmtId="2" fontId="17" fillId="2" borderId="0" xfId="0" applyNumberFormat="1" applyFont="1" applyFill="1" applyBorder="1"/>
    <xf numFmtId="0" fontId="4" fillId="0" borderId="4" xfId="0" applyFont="1" applyBorder="1"/>
    <xf numFmtId="0" fontId="4" fillId="0" borderId="4" xfId="0" applyFont="1" applyFill="1" applyBorder="1" applyAlignment="1">
      <alignment horizontal="left" indent="1"/>
    </xf>
    <xf numFmtId="2" fontId="17" fillId="2" borderId="4" xfId="0" applyNumberFormat="1" applyFont="1" applyFill="1" applyBorder="1"/>
    <xf numFmtId="174" fontId="14" fillId="2" borderId="2" xfId="3" applyNumberFormat="1" applyFont="1" applyFill="1" applyBorder="1"/>
    <xf numFmtId="174" fontId="14" fillId="2" borderId="0" xfId="3" applyNumberFormat="1" applyFont="1" applyFill="1"/>
    <xf numFmtId="174" fontId="14" fillId="2" borderId="3" xfId="3" applyNumberFormat="1" applyFont="1" applyFill="1" applyBorder="1"/>
    <xf numFmtId="174" fontId="16" fillId="2" borderId="0" xfId="3" applyNumberFormat="1" applyFont="1" applyFill="1"/>
    <xf numFmtId="176" fontId="14" fillId="2" borderId="0" xfId="0" applyNumberFormat="1" applyFont="1" applyFill="1"/>
    <xf numFmtId="0" fontId="4" fillId="0" borderId="5" xfId="0" applyFont="1" applyBorder="1"/>
    <xf numFmtId="176" fontId="6" fillId="2" borderId="5" xfId="0" applyNumberFormat="1" applyFont="1" applyFill="1" applyBorder="1"/>
    <xf numFmtId="176" fontId="19" fillId="2" borderId="0" xfId="0" applyNumberFormat="1" applyFont="1" applyFill="1" applyAlignment="1">
      <alignment horizontal="left" indent="1"/>
    </xf>
    <xf numFmtId="0" fontId="15" fillId="0" borderId="1" xfId="0" applyFont="1" applyBorder="1" applyAlignment="1">
      <alignment horizontal="left" indent="1"/>
    </xf>
    <xf numFmtId="176" fontId="19" fillId="2" borderId="1" xfId="0" applyNumberFormat="1" applyFont="1" applyFill="1" applyBorder="1" applyAlignment="1">
      <alignment horizontal="left" indent="1"/>
    </xf>
    <xf numFmtId="0" fontId="20" fillId="0" borderId="6" xfId="0" applyFont="1" applyBorder="1" applyAlignment="1">
      <alignment horizontal="center" vertical="top"/>
    </xf>
    <xf numFmtId="176" fontId="4" fillId="0" borderId="0" xfId="0" applyNumberFormat="1" applyFont="1"/>
    <xf numFmtId="176" fontId="18" fillId="0" borderId="0" xfId="0" applyNumberFormat="1" applyFont="1"/>
    <xf numFmtId="176" fontId="0" fillId="0" borderId="0" xfId="0" applyNumberFormat="1"/>
    <xf numFmtId="6" fontId="17" fillId="5" borderId="4" xfId="0" applyNumberFormat="1" applyFont="1" applyFill="1" applyBorder="1"/>
    <xf numFmtId="8" fontId="4" fillId="5" borderId="0" xfId="0" applyNumberFormat="1" applyFont="1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E6" lockText="1" noThreeD="1"/>
</file>

<file path=xl/ctrlProps/ctrlProp2.xml><?xml version="1.0" encoding="utf-8"?>
<formControlPr xmlns="http://schemas.microsoft.com/office/spreadsheetml/2009/9/main" objectType="CheckBox" checked="Checked" fmlaLink="E5" lockText="1" noThreeD="1"/>
</file>

<file path=xl/ctrlProps/ctrlProp3.xml><?xml version="1.0" encoding="utf-8"?>
<formControlPr xmlns="http://schemas.microsoft.com/office/spreadsheetml/2009/9/main" objectType="CheckBox" checked="Checked" fmlaLink="E7" lockText="1" noThreeD="1"/>
</file>

<file path=xl/ctrlProps/ctrlProp4.xml><?xml version="1.0" encoding="utf-8"?>
<formControlPr xmlns="http://schemas.microsoft.com/office/spreadsheetml/2009/9/main" objectType="CheckBox" checked="Checked" fmlaLink="E8" lockText="1" noThreeD="1"/>
</file>

<file path=xl/ctrlProps/ctrlProp5.xml><?xml version="1.0" encoding="utf-8"?>
<formControlPr xmlns="http://schemas.microsoft.com/office/spreadsheetml/2009/9/main" objectType="CheckBox" fmlaLink="E9" lockText="1" noThreeD="1"/>
</file>

<file path=xl/ctrlProps/ctrlProp6.xml><?xml version="1.0" encoding="utf-8"?>
<formControlPr xmlns="http://schemas.microsoft.com/office/spreadsheetml/2009/9/main" objectType="CheckBox" checked="Checked" fmlaLink="E10" lockText="1" noThreeD="1"/>
</file>

<file path=xl/ctrlProps/ctrlProp7.xml><?xml version="1.0" encoding="utf-8"?>
<formControlPr xmlns="http://schemas.microsoft.com/office/spreadsheetml/2009/9/main" objectType="CheckBox" checked="Checked" fmlaLink="E16" lockText="1" noThreeD="1"/>
</file>

<file path=xl/ctrlProps/ctrlProp8.xml><?xml version="1.0" encoding="utf-8"?>
<formControlPr xmlns="http://schemas.microsoft.com/office/spreadsheetml/2009/9/main" objectType="CheckBox" checked="Checked" fmlaLink="E1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</xdr:row>
          <xdr:rowOff>161925</xdr:rowOff>
        </xdr:from>
        <xdr:to>
          <xdr:col>4</xdr:col>
          <xdr:colOff>1600200</xdr:colOff>
          <xdr:row>6</xdr:row>
          <xdr:rowOff>133350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3</xdr:row>
          <xdr:rowOff>123825</xdr:rowOff>
        </xdr:from>
        <xdr:to>
          <xdr:col>4</xdr:col>
          <xdr:colOff>1600200</xdr:colOff>
          <xdr:row>5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5</xdr:row>
          <xdr:rowOff>152400</xdr:rowOff>
        </xdr:from>
        <xdr:to>
          <xdr:col>4</xdr:col>
          <xdr:colOff>1600200</xdr:colOff>
          <xdr:row>7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123825</xdr:rowOff>
        </xdr:from>
        <xdr:to>
          <xdr:col>4</xdr:col>
          <xdr:colOff>1600200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114300</xdr:rowOff>
        </xdr:from>
        <xdr:to>
          <xdr:col>4</xdr:col>
          <xdr:colOff>1600200</xdr:colOff>
          <xdr:row>9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</xdr:row>
          <xdr:rowOff>123825</xdr:rowOff>
        </xdr:from>
        <xdr:to>
          <xdr:col>4</xdr:col>
          <xdr:colOff>1600200</xdr:colOff>
          <xdr:row>10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14</xdr:row>
          <xdr:rowOff>161925</xdr:rowOff>
        </xdr:from>
        <xdr:to>
          <xdr:col>4</xdr:col>
          <xdr:colOff>1600200</xdr:colOff>
          <xdr:row>16</xdr:row>
          <xdr:rowOff>133350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13</xdr:row>
          <xdr:rowOff>123825</xdr:rowOff>
        </xdr:from>
        <xdr:to>
          <xdr:col>4</xdr:col>
          <xdr:colOff>1600200</xdr:colOff>
          <xdr:row>15</xdr:row>
          <xdr:rowOff>104775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0"/>
  <sheetViews>
    <sheetView topLeftCell="K1" zoomScale="87" zoomScaleNormal="127" workbookViewId="0">
      <selection activeCell="AA1" sqref="AA1:AB1048576"/>
    </sheetView>
  </sheetViews>
  <sheetFormatPr defaultColWidth="11.5546875" defaultRowHeight="15"/>
  <sheetData>
    <row r="1" spans="1:28" ht="15.75">
      <c r="A1" cm="1">
        <f t="array" ref="A1:A60">_xlfn.SEQUENCE(60, 1, 1, 1)</f>
        <v>1</v>
      </c>
      <c r="B1" t="str">
        <f>IF(A1 &gt;= Assumptions!$C$3, "Virginia", IF(A1 &gt;= Assumptions!#REF!, "Florida", IF(A1 &gt;= Assumptions!$C$5, "Texas", IF(A1 &gt;= Assumptions!$C$6, "New York", IF(A1 &gt;= Assumptions!$C$7, "California", "")))))</f>
        <v>Virginia</v>
      </c>
      <c r="D1" s="1" t="s">
        <v>37</v>
      </c>
      <c r="E1" s="1" t="s">
        <v>88</v>
      </c>
      <c r="Q1" cm="1">
        <f t="array" ref="Q1:Q60">_xlfn._xlws.FILTER(F:F, F:F&lt;&gt;"")</f>
        <v>1</v>
      </c>
      <c r="R1" cm="1">
        <f t="array" ref="R1:R48">_xlfn._xlws.FILTER(H:H, H:H&lt;&gt;"")</f>
        <v>13</v>
      </c>
      <c r="S1" cm="1">
        <f t="array" ref="S1:S48">_xlfn._xlws.FILTER(J:J, J:J&lt;&gt;"")</f>
        <v>13</v>
      </c>
      <c r="T1" cm="1">
        <f t="array" ref="T1:T36">_xlfn._xlws.FILTER(L:L, L:L&lt;&gt;"")</f>
        <v>25</v>
      </c>
      <c r="U1" cm="1">
        <f t="array" ref="U1:U36">_xlfn._xlws.FILTER(N:N, N:N&lt;&gt;"")</f>
        <v>25</v>
      </c>
      <c r="V1" t="str" cm="1">
        <f t="array" ref="V1:V60">_xlfn._xlws.FILTER(G:G, G:G&lt;&gt;"")</f>
        <v>Virginia</v>
      </c>
      <c r="W1" t="str" cm="1">
        <f t="array" ref="W1:W48">_xlfn._xlws.FILTER(I:I, I:I&lt;&gt;"")</f>
        <v>Florida</v>
      </c>
      <c r="X1" t="str" cm="1">
        <f t="array" ref="X1:X48">_xlfn._xlws.FILTER(K:K, K:K&lt;&gt;"")</f>
        <v>Texas</v>
      </c>
      <c r="Y1" t="str" cm="1">
        <f t="array" ref="Y1:Y36">_xlfn._xlws.FILTER(M:M, O:O&lt;&gt;"")</f>
        <v>New York</v>
      </c>
      <c r="Z1" t="str" cm="1">
        <f t="array" ref="Z1:Z36">_xlfn._xlws.FILTER(O:O,O:O&lt;&gt;"")</f>
        <v>California</v>
      </c>
      <c r="AA1" cm="1">
        <f t="array" ref="AA1">IF(INDEX($Q$1:$U$60, INT((ROW(A1)-1)/COLUMNS($Q$1:$U$60))+1, MOD(ROW(A1)-1, COLUMNS($Q$1:$U$60))+1)="", "", INDEX($Q$1:$U$60, INT((ROW(A1)-1)/COLUMNS($Q$1:$U$60))+1, MOD(ROW(A1)-1, COLUMNS($Q$1:$U$60))+1))</f>
        <v>1</v>
      </c>
      <c r="AB1" t="str" cm="1">
        <f t="array" ref="AB1">IF(INDEX($V$1:$Z$60, INT((ROW(A1)-1)/COLUMNS($V$1:$Z$60))+1, MOD(ROW(A1)-1, COLUMNS($V$1:$Z$60))+1)="", "", INDEX($V$1:$Z$60, INT((ROW(A1)-1)/COLUMNS($V$1:$Z$60))+1, MOD(ROW(A1)-1, COLUMNS($V$1:$Z$60))+1))</f>
        <v>Virginia</v>
      </c>
    </row>
    <row r="2" spans="1:28">
      <c r="A2">
        <v>2</v>
      </c>
      <c r="B2" t="str">
        <f>IF(A2 &gt;= Assumptions!$C$3, "Virginia", IF(A2 &gt;= Assumptions!#REF!, "Florida", IF(A2 &gt;= Assumptions!$C$5, "Texas", IF(A2 &gt;= Assumptions!$C$6, "New York", IF(A2 &gt;= Assumptions!$C$7, "California", "")))))</f>
        <v>Virginia</v>
      </c>
      <c r="D2" t="s">
        <v>89</v>
      </c>
      <c r="E2">
        <v>1</v>
      </c>
      <c r="F2" cm="1">
        <f t="array" ref="F2:F61">_xlfn.SEQUENCE(60 - E2 + 1, 1, E2, 1)</f>
        <v>1</v>
      </c>
      <c r="G2" t="str">
        <f>$D$2</f>
        <v>Virginia</v>
      </c>
      <c r="H2" cm="1">
        <f t="array" ref="H2:H49">_xlfn.SEQUENCE(60 - E3 + 1, 1, E3, 1)</f>
        <v>13</v>
      </c>
      <c r="I2" t="str">
        <f>$D$3</f>
        <v>Florida</v>
      </c>
      <c r="J2" cm="1">
        <f t="array" ref="J2:J49">_xlfn.SEQUENCE(60 - E4 + 1, 1, E4, 1)</f>
        <v>13</v>
      </c>
      <c r="K2" t="str">
        <f>$D$4</f>
        <v>Texas</v>
      </c>
      <c r="L2" cm="1">
        <f t="array" ref="L2:L37">_xlfn.SEQUENCE(60 - E5 + 1, 1, E5, 1)</f>
        <v>25</v>
      </c>
      <c r="M2" t="str">
        <f>$D$5</f>
        <v>New York</v>
      </c>
      <c r="N2" cm="1">
        <f t="array" ref="N2:N37">_xlfn.SEQUENCE(60 - E6 + 1, 1, E6, 1)</f>
        <v>25</v>
      </c>
      <c r="O2" t="str">
        <f>$D$6</f>
        <v>California</v>
      </c>
      <c r="Q2">
        <v>2</v>
      </c>
      <c r="R2">
        <v>14</v>
      </c>
      <c r="S2">
        <v>14</v>
      </c>
      <c r="T2">
        <v>26</v>
      </c>
      <c r="U2">
        <v>26</v>
      </c>
      <c r="V2" t="str">
        <v>Virginia</v>
      </c>
      <c r="W2" t="str">
        <v>Florida</v>
      </c>
      <c r="X2" t="str">
        <v>Texas</v>
      </c>
      <c r="Y2" t="str">
        <v>New York</v>
      </c>
      <c r="Z2" t="str">
        <v>California</v>
      </c>
      <c r="AA2" cm="1">
        <f t="array" ref="AA2">IF(INDEX($Q$1:$U$60, INT((ROW(A2)-1)/COLUMNS($Q$1:$U$60))+1, MOD(ROW(A2)-1, COLUMNS($Q$1:$U$60))+1)="", "", INDEX($Q$1:$U$60, INT((ROW(A2)-1)/COLUMNS($Q$1:$U$60))+1, MOD(ROW(A2)-1, COLUMNS($Q$1:$U$60))+1))</f>
        <v>13</v>
      </c>
      <c r="AB2" t="str" cm="1">
        <f t="array" ref="AB2">IF(INDEX($V$1:$Z$60, INT((ROW(A2)-1)/COLUMNS($V$1:$Z$60))+1, MOD(ROW(A2)-1, COLUMNS($V$1:$Z$60))+1)="", "", INDEX($V$1:$Z$60, INT((ROW(A2)-1)/COLUMNS($V$1:$Z$60))+1, MOD(ROW(A2)-1, COLUMNS($V$1:$Z$60))+1))</f>
        <v>Florida</v>
      </c>
    </row>
    <row r="3" spans="1:28">
      <c r="A3">
        <v>3</v>
      </c>
      <c r="B3" t="str">
        <f>IF(A3 &gt;= Assumptions!$C$3, "Virginia", IF(A3 &gt;= Assumptions!#REF!, "Florida", IF(A3 &gt;= Assumptions!$C$5, "Texas", IF(A3 &gt;= Assumptions!$C$6, "New York", IF(A3 &gt;= Assumptions!$C$7, "California", "")))))</f>
        <v>Virginia</v>
      </c>
      <c r="D3" t="s">
        <v>90</v>
      </c>
      <c r="E3">
        <v>13</v>
      </c>
      <c r="F3">
        <v>2</v>
      </c>
      <c r="G3" t="str">
        <f t="shared" ref="G3:G61" si="0">$D$2</f>
        <v>Virginia</v>
      </c>
      <c r="H3">
        <v>14</v>
      </c>
      <c r="I3" t="str">
        <f t="shared" ref="I3:I49" si="1">$D$3</f>
        <v>Florida</v>
      </c>
      <c r="J3">
        <v>14</v>
      </c>
      <c r="K3" t="str">
        <f t="shared" ref="K3:K49" si="2">$D$4</f>
        <v>Texas</v>
      </c>
      <c r="L3">
        <v>26</v>
      </c>
      <c r="M3" t="str">
        <f t="shared" ref="M3:M37" si="3">$D$5</f>
        <v>New York</v>
      </c>
      <c r="N3">
        <v>26</v>
      </c>
      <c r="O3" t="str">
        <f t="shared" ref="O3:O37" si="4">$D$6</f>
        <v>California</v>
      </c>
      <c r="Q3">
        <v>3</v>
      </c>
      <c r="R3">
        <v>15</v>
      </c>
      <c r="S3">
        <v>15</v>
      </c>
      <c r="T3">
        <v>27</v>
      </c>
      <c r="U3">
        <v>27</v>
      </c>
      <c r="V3" t="str">
        <v>Virginia</v>
      </c>
      <c r="W3" t="str">
        <v>Florida</v>
      </c>
      <c r="X3" t="str">
        <v>Texas</v>
      </c>
      <c r="Y3" t="str">
        <v>New York</v>
      </c>
      <c r="Z3" t="str">
        <v>California</v>
      </c>
      <c r="AA3" cm="1">
        <f t="array" ref="AA3">IF(INDEX($Q$1:$U$60, INT((ROW(A3)-1)/COLUMNS($Q$1:$U$60))+1, MOD(ROW(A3)-1, COLUMNS($Q$1:$U$60))+1)="", "", INDEX($Q$1:$U$60, INT((ROW(A3)-1)/COLUMNS($Q$1:$U$60))+1, MOD(ROW(A3)-1, COLUMNS($Q$1:$U$60))+1))</f>
        <v>13</v>
      </c>
      <c r="AB3" t="str" cm="1">
        <f t="array" ref="AB3">IF(INDEX($V$1:$Z$60, INT((ROW(A3)-1)/COLUMNS($V$1:$Z$60))+1, MOD(ROW(A3)-1, COLUMNS($V$1:$Z$60))+1)="", "", INDEX($V$1:$Z$60, INT((ROW(A3)-1)/COLUMNS($V$1:$Z$60))+1, MOD(ROW(A3)-1, COLUMNS($V$1:$Z$60))+1))</f>
        <v>Texas</v>
      </c>
    </row>
    <row r="4" spans="1:28">
      <c r="A4">
        <v>4</v>
      </c>
      <c r="B4" t="str">
        <f>IF(A4 &gt;= Assumptions!$C$3, "Virginia", IF(A4 &gt;= Assumptions!#REF!, "Florida", IF(A4 &gt;= Assumptions!$C$5, "Texas", IF(A4 &gt;= Assumptions!$C$6, "New York", IF(A4 &gt;= Assumptions!$C$7, "California", "")))))</f>
        <v>Virginia</v>
      </c>
      <c r="D4" t="s">
        <v>91</v>
      </c>
      <c r="E4">
        <v>13</v>
      </c>
      <c r="F4">
        <v>3</v>
      </c>
      <c r="G4" t="str">
        <f t="shared" si="0"/>
        <v>Virginia</v>
      </c>
      <c r="H4">
        <v>15</v>
      </c>
      <c r="I4" t="str">
        <f t="shared" si="1"/>
        <v>Florida</v>
      </c>
      <c r="J4">
        <v>15</v>
      </c>
      <c r="K4" t="str">
        <f t="shared" si="2"/>
        <v>Texas</v>
      </c>
      <c r="L4">
        <v>27</v>
      </c>
      <c r="M4" t="str">
        <f t="shared" si="3"/>
        <v>New York</v>
      </c>
      <c r="N4">
        <v>27</v>
      </c>
      <c r="O4" t="str">
        <f t="shared" si="4"/>
        <v>California</v>
      </c>
      <c r="Q4">
        <v>4</v>
      </c>
      <c r="R4">
        <v>16</v>
      </c>
      <c r="S4">
        <v>16</v>
      </c>
      <c r="T4">
        <v>28</v>
      </c>
      <c r="U4">
        <v>28</v>
      </c>
      <c r="V4" t="str">
        <v>Virginia</v>
      </c>
      <c r="W4" t="str">
        <v>Florida</v>
      </c>
      <c r="X4" t="str">
        <v>Texas</v>
      </c>
      <c r="Y4" t="str">
        <v>New York</v>
      </c>
      <c r="Z4" t="str">
        <v>California</v>
      </c>
      <c r="AA4" cm="1">
        <f t="array" ref="AA4">IF(INDEX($Q$1:$U$60, INT((ROW(A4)-1)/COLUMNS($Q$1:$U$60))+1, MOD(ROW(A4)-1, COLUMNS($Q$1:$U$60))+1)="", "", INDEX($Q$1:$U$60, INT((ROW(A4)-1)/COLUMNS($Q$1:$U$60))+1, MOD(ROW(A4)-1, COLUMNS($Q$1:$U$60))+1))</f>
        <v>25</v>
      </c>
      <c r="AB4" t="str" cm="1">
        <f t="array" ref="AB4">IF(INDEX($V$1:$Z$60, INT((ROW(A4)-1)/COLUMNS($V$1:$Z$60))+1, MOD(ROW(A4)-1, COLUMNS($V$1:$Z$60))+1)="", "", INDEX($V$1:$Z$60, INT((ROW(A4)-1)/COLUMNS($V$1:$Z$60))+1, MOD(ROW(A4)-1, COLUMNS($V$1:$Z$60))+1))</f>
        <v>New York</v>
      </c>
    </row>
    <row r="5" spans="1:28">
      <c r="A5">
        <v>5</v>
      </c>
      <c r="B5" t="str">
        <f>IF(A5 &gt;= Assumptions!$C$3, "Virginia", IF(A5 &gt;= Assumptions!#REF!, "Florida", IF(A5 &gt;= Assumptions!$C$5, "Texas", IF(A5 &gt;= Assumptions!$C$6, "New York", IF(A5 &gt;= Assumptions!$C$7, "California", "")))))</f>
        <v>Virginia</v>
      </c>
      <c r="D5" t="s">
        <v>92</v>
      </c>
      <c r="E5">
        <v>25</v>
      </c>
      <c r="F5">
        <v>4</v>
      </c>
      <c r="G5" t="str">
        <f t="shared" si="0"/>
        <v>Virginia</v>
      </c>
      <c r="H5">
        <v>16</v>
      </c>
      <c r="I5" t="str">
        <f t="shared" si="1"/>
        <v>Florida</v>
      </c>
      <c r="J5">
        <v>16</v>
      </c>
      <c r="K5" t="str">
        <f t="shared" si="2"/>
        <v>Texas</v>
      </c>
      <c r="L5">
        <v>28</v>
      </c>
      <c r="M5" t="str">
        <f t="shared" si="3"/>
        <v>New York</v>
      </c>
      <c r="N5">
        <v>28</v>
      </c>
      <c r="O5" t="str">
        <f t="shared" si="4"/>
        <v>California</v>
      </c>
      <c r="Q5">
        <v>5</v>
      </c>
      <c r="R5">
        <v>17</v>
      </c>
      <c r="S5">
        <v>17</v>
      </c>
      <c r="T5">
        <v>29</v>
      </c>
      <c r="U5">
        <v>29</v>
      </c>
      <c r="V5" t="str">
        <v>Virginia</v>
      </c>
      <c r="W5" t="str">
        <v>Florida</v>
      </c>
      <c r="X5" t="str">
        <v>Texas</v>
      </c>
      <c r="Y5" t="str">
        <v>New York</v>
      </c>
      <c r="Z5" t="str">
        <v>California</v>
      </c>
      <c r="AA5" cm="1">
        <f t="array" ref="AA5">IF(INDEX($Q$1:$U$60, INT((ROW(A5)-1)/COLUMNS($Q$1:$U$60))+1, MOD(ROW(A5)-1, COLUMNS($Q$1:$U$60))+1)="", "", INDEX($Q$1:$U$60, INT((ROW(A5)-1)/COLUMNS($Q$1:$U$60))+1, MOD(ROW(A5)-1, COLUMNS($Q$1:$U$60))+1))</f>
        <v>25</v>
      </c>
      <c r="AB5" t="str" cm="1">
        <f t="array" ref="AB5">IF(INDEX($V$1:$Z$60, INT((ROW(A5)-1)/COLUMNS($V$1:$Z$60))+1, MOD(ROW(A5)-1, COLUMNS($V$1:$Z$60))+1)="", "", INDEX($V$1:$Z$60, INT((ROW(A5)-1)/COLUMNS($V$1:$Z$60))+1, MOD(ROW(A5)-1, COLUMNS($V$1:$Z$60))+1))</f>
        <v>California</v>
      </c>
    </row>
    <row r="6" spans="1:28">
      <c r="A6">
        <v>6</v>
      </c>
      <c r="B6" t="str">
        <f>IF(A6 &gt;= Assumptions!$C$3, "Virginia", IF(A6 &gt;= Assumptions!#REF!, "Florida", IF(A6 &gt;= Assumptions!$C$5, "Texas", IF(A6 &gt;= Assumptions!$C$6, "New York", IF(A6 &gt;= Assumptions!$C$7, "California", "")))))</f>
        <v>Virginia</v>
      </c>
      <c r="D6" t="s">
        <v>93</v>
      </c>
      <c r="E6">
        <v>25</v>
      </c>
      <c r="F6">
        <v>5</v>
      </c>
      <c r="G6" t="str">
        <f t="shared" si="0"/>
        <v>Virginia</v>
      </c>
      <c r="H6">
        <v>17</v>
      </c>
      <c r="I6" t="str">
        <f t="shared" si="1"/>
        <v>Florida</v>
      </c>
      <c r="J6">
        <v>17</v>
      </c>
      <c r="K6" t="str">
        <f t="shared" si="2"/>
        <v>Texas</v>
      </c>
      <c r="L6">
        <v>29</v>
      </c>
      <c r="M6" t="str">
        <f t="shared" si="3"/>
        <v>New York</v>
      </c>
      <c r="N6">
        <v>29</v>
      </c>
      <c r="O6" t="str">
        <f t="shared" si="4"/>
        <v>California</v>
      </c>
      <c r="Q6">
        <v>6</v>
      </c>
      <c r="R6">
        <v>18</v>
      </c>
      <c r="S6">
        <v>18</v>
      </c>
      <c r="T6">
        <v>30</v>
      </c>
      <c r="U6">
        <v>30</v>
      </c>
      <c r="V6" t="str">
        <v>Virginia</v>
      </c>
      <c r="W6" t="str">
        <v>Florida</v>
      </c>
      <c r="X6" t="str">
        <v>Texas</v>
      </c>
      <c r="Y6" t="str">
        <v>New York</v>
      </c>
      <c r="Z6" t="str">
        <v>California</v>
      </c>
      <c r="AA6" cm="1">
        <f t="array" ref="AA6">IF(INDEX($Q$1:$U$60, INT((ROW(A6)-1)/COLUMNS($Q$1:$U$60))+1, MOD(ROW(A6)-1, COLUMNS($Q$1:$U$60))+1)="", "", INDEX($Q$1:$U$60, INT((ROW(A6)-1)/COLUMNS($Q$1:$U$60))+1, MOD(ROW(A6)-1, COLUMNS($Q$1:$U$60))+1))</f>
        <v>2</v>
      </c>
      <c r="AB6" t="str" cm="1">
        <f t="array" ref="AB6">IF(INDEX($V$1:$Z$60, INT((ROW(A6)-1)/COLUMNS($V$1:$Z$60))+1, MOD(ROW(A6)-1, COLUMNS($V$1:$Z$60))+1)="", "", INDEX($V$1:$Z$60, INT((ROW(A6)-1)/COLUMNS($V$1:$Z$60))+1, MOD(ROW(A6)-1, COLUMNS($V$1:$Z$60))+1))</f>
        <v>Virginia</v>
      </c>
    </row>
    <row r="7" spans="1:28">
      <c r="A7">
        <v>7</v>
      </c>
      <c r="B7" t="str">
        <f>IF(A7 &gt;= Assumptions!$C$3, "Virginia", IF(A7 &gt;= Assumptions!#REF!, "Florida", IF(A7 &gt;= Assumptions!$C$5, "Texas", IF(A7 &gt;= Assumptions!$C$6, "New York", IF(A7 &gt;= Assumptions!$C$7, "California", "")))))</f>
        <v>Virginia</v>
      </c>
      <c r="F7">
        <v>6</v>
      </c>
      <c r="G7" t="str">
        <f t="shared" si="0"/>
        <v>Virginia</v>
      </c>
      <c r="H7">
        <v>18</v>
      </c>
      <c r="I7" t="str">
        <f t="shared" si="1"/>
        <v>Florida</v>
      </c>
      <c r="J7">
        <v>18</v>
      </c>
      <c r="K7" t="str">
        <f t="shared" si="2"/>
        <v>Texas</v>
      </c>
      <c r="L7">
        <v>30</v>
      </c>
      <c r="M7" t="str">
        <f t="shared" si="3"/>
        <v>New York</v>
      </c>
      <c r="N7">
        <v>30</v>
      </c>
      <c r="O7" t="str">
        <f t="shared" si="4"/>
        <v>California</v>
      </c>
      <c r="Q7">
        <v>7</v>
      </c>
      <c r="R7">
        <v>19</v>
      </c>
      <c r="S7">
        <v>19</v>
      </c>
      <c r="T7">
        <v>31</v>
      </c>
      <c r="U7">
        <v>31</v>
      </c>
      <c r="V7" t="str">
        <v>Virginia</v>
      </c>
      <c r="W7" t="str">
        <v>Florida</v>
      </c>
      <c r="X7" t="str">
        <v>Texas</v>
      </c>
      <c r="Y7" t="str">
        <v>New York</v>
      </c>
      <c r="Z7" t="str">
        <v>California</v>
      </c>
      <c r="AA7" cm="1">
        <f t="array" ref="AA7">IF(INDEX($Q$1:$U$60, INT((ROW(A7)-1)/COLUMNS($Q$1:$U$60))+1, MOD(ROW(A7)-1, COLUMNS($Q$1:$U$60))+1)="", "", INDEX($Q$1:$U$60, INT((ROW(A7)-1)/COLUMNS($Q$1:$U$60))+1, MOD(ROW(A7)-1, COLUMNS($Q$1:$U$60))+1))</f>
        <v>14</v>
      </c>
      <c r="AB7" t="str" cm="1">
        <f t="array" ref="AB7">IF(INDEX($V$1:$Z$60, INT((ROW(A7)-1)/COLUMNS($V$1:$Z$60))+1, MOD(ROW(A7)-1, COLUMNS($V$1:$Z$60))+1)="", "", INDEX($V$1:$Z$60, INT((ROW(A7)-1)/COLUMNS($V$1:$Z$60))+1, MOD(ROW(A7)-1, COLUMNS($V$1:$Z$60))+1))</f>
        <v>Florida</v>
      </c>
    </row>
    <row r="8" spans="1:28">
      <c r="A8">
        <v>8</v>
      </c>
      <c r="B8" t="str">
        <f>IF(A8 &gt;= Assumptions!$C$3, "Virginia", IF(A8 &gt;= Assumptions!#REF!, "Florida", IF(A8 &gt;= Assumptions!$C$5, "Texas", IF(A8 &gt;= Assumptions!$C$6, "New York", IF(A8 &gt;= Assumptions!$C$7, "California", "")))))</f>
        <v>Virginia</v>
      </c>
      <c r="F8">
        <v>7</v>
      </c>
      <c r="G8" t="str">
        <f t="shared" si="0"/>
        <v>Virginia</v>
      </c>
      <c r="H8">
        <v>19</v>
      </c>
      <c r="I8" t="str">
        <f t="shared" si="1"/>
        <v>Florida</v>
      </c>
      <c r="J8">
        <v>19</v>
      </c>
      <c r="K8" t="str">
        <f t="shared" si="2"/>
        <v>Texas</v>
      </c>
      <c r="L8">
        <v>31</v>
      </c>
      <c r="M8" t="str">
        <f t="shared" si="3"/>
        <v>New York</v>
      </c>
      <c r="N8">
        <v>31</v>
      </c>
      <c r="O8" t="str">
        <f t="shared" si="4"/>
        <v>California</v>
      </c>
      <c r="Q8">
        <v>8</v>
      </c>
      <c r="R8">
        <v>20</v>
      </c>
      <c r="S8">
        <v>20</v>
      </c>
      <c r="T8">
        <v>32</v>
      </c>
      <c r="U8">
        <v>32</v>
      </c>
      <c r="V8" t="str">
        <v>Virginia</v>
      </c>
      <c r="W8" t="str">
        <v>Florida</v>
      </c>
      <c r="X8" t="str">
        <v>Texas</v>
      </c>
      <c r="Y8" t="str">
        <v>New York</v>
      </c>
      <c r="Z8" t="str">
        <v>California</v>
      </c>
      <c r="AA8" cm="1">
        <f t="array" ref="AA8">IF(INDEX($Q$1:$U$60, INT((ROW(A8)-1)/COLUMNS($Q$1:$U$60))+1, MOD(ROW(A8)-1, COLUMNS($Q$1:$U$60))+1)="", "", INDEX($Q$1:$U$60, INT((ROW(A8)-1)/COLUMNS($Q$1:$U$60))+1, MOD(ROW(A8)-1, COLUMNS($Q$1:$U$60))+1))</f>
        <v>14</v>
      </c>
      <c r="AB8" t="str" cm="1">
        <f t="array" ref="AB8">IF(INDEX($V$1:$Z$60, INT((ROW(A8)-1)/COLUMNS($V$1:$Z$60))+1, MOD(ROW(A8)-1, COLUMNS($V$1:$Z$60))+1)="", "", INDEX($V$1:$Z$60, INT((ROW(A8)-1)/COLUMNS($V$1:$Z$60))+1, MOD(ROW(A8)-1, COLUMNS($V$1:$Z$60))+1))</f>
        <v>Texas</v>
      </c>
    </row>
    <row r="9" spans="1:28">
      <c r="A9">
        <v>9</v>
      </c>
      <c r="B9" t="str">
        <f>IF(A9 &gt;= Assumptions!$C$3, "Virginia", IF(A9 &gt;= Assumptions!#REF!, "Florida", IF(A9 &gt;= Assumptions!$C$5, "Texas", IF(A9 &gt;= Assumptions!$C$6, "New York", IF(A9 &gt;= Assumptions!$C$7, "California", "")))))</f>
        <v>Virginia</v>
      </c>
      <c r="F9">
        <v>8</v>
      </c>
      <c r="G9" t="str">
        <f t="shared" si="0"/>
        <v>Virginia</v>
      </c>
      <c r="H9">
        <v>20</v>
      </c>
      <c r="I9" t="str">
        <f t="shared" si="1"/>
        <v>Florida</v>
      </c>
      <c r="J9">
        <v>20</v>
      </c>
      <c r="K9" t="str">
        <f t="shared" si="2"/>
        <v>Texas</v>
      </c>
      <c r="L9">
        <v>32</v>
      </c>
      <c r="M9" t="str">
        <f t="shared" si="3"/>
        <v>New York</v>
      </c>
      <c r="N9">
        <v>32</v>
      </c>
      <c r="O9" t="str">
        <f t="shared" si="4"/>
        <v>California</v>
      </c>
      <c r="Q9">
        <v>9</v>
      </c>
      <c r="R9">
        <v>21</v>
      </c>
      <c r="S9">
        <v>21</v>
      </c>
      <c r="T9">
        <v>33</v>
      </c>
      <c r="U9">
        <v>33</v>
      </c>
      <c r="V9" t="str">
        <v>Virginia</v>
      </c>
      <c r="W9" t="str">
        <v>Florida</v>
      </c>
      <c r="X9" t="str">
        <v>Texas</v>
      </c>
      <c r="Y9" t="str">
        <v>New York</v>
      </c>
      <c r="Z9" t="str">
        <v>California</v>
      </c>
      <c r="AA9" cm="1">
        <f t="array" ref="AA9">IF(INDEX($Q$1:$U$60, INT((ROW(A9)-1)/COLUMNS($Q$1:$U$60))+1, MOD(ROW(A9)-1, COLUMNS($Q$1:$U$60))+1)="", "", INDEX($Q$1:$U$60, INT((ROW(A9)-1)/COLUMNS($Q$1:$U$60))+1, MOD(ROW(A9)-1, COLUMNS($Q$1:$U$60))+1))</f>
        <v>26</v>
      </c>
      <c r="AB9" t="str" cm="1">
        <f t="array" ref="AB9">IF(INDEX($V$1:$Z$60, INT((ROW(A9)-1)/COLUMNS($V$1:$Z$60))+1, MOD(ROW(A9)-1, COLUMNS($V$1:$Z$60))+1)="", "", INDEX($V$1:$Z$60, INT((ROW(A9)-1)/COLUMNS($V$1:$Z$60))+1, MOD(ROW(A9)-1, COLUMNS($V$1:$Z$60))+1))</f>
        <v>New York</v>
      </c>
    </row>
    <row r="10" spans="1:28">
      <c r="A10">
        <v>10</v>
      </c>
      <c r="B10" t="str">
        <f>IF(A10 &gt;= Assumptions!$C$3, "Virginia", IF(A10 &gt;= Assumptions!#REF!, "Florida", IF(A10 &gt;= Assumptions!$C$5, "Texas", IF(A10 &gt;= Assumptions!$C$6, "New York", IF(A10 &gt;= Assumptions!$C$7, "California", "")))))</f>
        <v>Virginia</v>
      </c>
      <c r="F10">
        <v>9</v>
      </c>
      <c r="G10" t="str">
        <f t="shared" si="0"/>
        <v>Virginia</v>
      </c>
      <c r="H10">
        <v>21</v>
      </c>
      <c r="I10" t="str">
        <f t="shared" si="1"/>
        <v>Florida</v>
      </c>
      <c r="J10">
        <v>21</v>
      </c>
      <c r="K10" t="str">
        <f t="shared" si="2"/>
        <v>Texas</v>
      </c>
      <c r="L10">
        <v>33</v>
      </c>
      <c r="M10" t="str">
        <f t="shared" si="3"/>
        <v>New York</v>
      </c>
      <c r="N10">
        <v>33</v>
      </c>
      <c r="O10" t="str">
        <f t="shared" si="4"/>
        <v>California</v>
      </c>
      <c r="Q10">
        <v>10</v>
      </c>
      <c r="R10">
        <v>22</v>
      </c>
      <c r="S10">
        <v>22</v>
      </c>
      <c r="T10">
        <v>34</v>
      </c>
      <c r="U10">
        <v>34</v>
      </c>
      <c r="V10" t="str">
        <v>Virginia</v>
      </c>
      <c r="W10" t="str">
        <v>Florida</v>
      </c>
      <c r="X10" t="str">
        <v>Texas</v>
      </c>
      <c r="Y10" t="str">
        <v>New York</v>
      </c>
      <c r="Z10" t="str">
        <v>California</v>
      </c>
      <c r="AA10" cm="1">
        <f t="array" ref="AA10">IF(INDEX($Q$1:$U$60, INT((ROW(A10)-1)/COLUMNS($Q$1:$U$60))+1, MOD(ROW(A10)-1, COLUMNS($Q$1:$U$60))+1)="", "", INDEX($Q$1:$U$60, INT((ROW(A10)-1)/COLUMNS($Q$1:$U$60))+1, MOD(ROW(A10)-1, COLUMNS($Q$1:$U$60))+1))</f>
        <v>26</v>
      </c>
      <c r="AB10" t="str" cm="1">
        <f t="array" ref="AB10">IF(INDEX($V$1:$Z$60, INT((ROW(A10)-1)/COLUMNS($V$1:$Z$60))+1, MOD(ROW(A10)-1, COLUMNS($V$1:$Z$60))+1)="", "", INDEX($V$1:$Z$60, INT((ROW(A10)-1)/COLUMNS($V$1:$Z$60))+1, MOD(ROW(A10)-1, COLUMNS($V$1:$Z$60))+1))</f>
        <v>California</v>
      </c>
    </row>
    <row r="11" spans="1:28">
      <c r="A11">
        <v>11</v>
      </c>
      <c r="B11" t="str">
        <f>IF(A11 &gt;= Assumptions!$C$3, "Virginia", IF(A11 &gt;= Assumptions!#REF!, "Florida", IF(A11 &gt;= Assumptions!$C$5, "Texas", IF(A11 &gt;= Assumptions!$C$6, "New York", IF(A11 &gt;= Assumptions!$C$7, "California", "")))))</f>
        <v>Virginia</v>
      </c>
      <c r="F11">
        <v>10</v>
      </c>
      <c r="G11" t="str">
        <f t="shared" si="0"/>
        <v>Virginia</v>
      </c>
      <c r="H11">
        <v>22</v>
      </c>
      <c r="I11" t="str">
        <f t="shared" si="1"/>
        <v>Florida</v>
      </c>
      <c r="J11">
        <v>22</v>
      </c>
      <c r="K11" t="str">
        <f t="shared" si="2"/>
        <v>Texas</v>
      </c>
      <c r="L11">
        <v>34</v>
      </c>
      <c r="M11" t="str">
        <f t="shared" si="3"/>
        <v>New York</v>
      </c>
      <c r="N11">
        <v>34</v>
      </c>
      <c r="O11" t="str">
        <f t="shared" si="4"/>
        <v>California</v>
      </c>
      <c r="Q11">
        <v>11</v>
      </c>
      <c r="R11">
        <v>23</v>
      </c>
      <c r="S11">
        <v>23</v>
      </c>
      <c r="T11">
        <v>35</v>
      </c>
      <c r="U11">
        <v>35</v>
      </c>
      <c r="V11" t="str">
        <v>Virginia</v>
      </c>
      <c r="W11" t="str">
        <v>Florida</v>
      </c>
      <c r="X11" t="str">
        <v>Texas</v>
      </c>
      <c r="Y11" t="str">
        <v>New York</v>
      </c>
      <c r="Z11" t="str">
        <v>California</v>
      </c>
      <c r="AA11" cm="1">
        <f t="array" ref="AA11">IF(INDEX($Q$1:$U$60, INT((ROW(A11)-1)/COLUMNS($Q$1:$U$60))+1, MOD(ROW(A11)-1, COLUMNS($Q$1:$U$60))+1)="", "", INDEX($Q$1:$U$60, INT((ROW(A11)-1)/COLUMNS($Q$1:$U$60))+1, MOD(ROW(A11)-1, COLUMNS($Q$1:$U$60))+1))</f>
        <v>3</v>
      </c>
      <c r="AB11" t="str" cm="1">
        <f t="array" ref="AB11">IF(INDEX($V$1:$Z$60, INT((ROW(A11)-1)/COLUMNS($V$1:$Z$60))+1, MOD(ROW(A11)-1, COLUMNS($V$1:$Z$60))+1)="", "", INDEX($V$1:$Z$60, INT((ROW(A11)-1)/COLUMNS($V$1:$Z$60))+1, MOD(ROW(A11)-1, COLUMNS($V$1:$Z$60))+1))</f>
        <v>Virginia</v>
      </c>
    </row>
    <row r="12" spans="1:28">
      <c r="A12">
        <v>12</v>
      </c>
      <c r="B12" t="str">
        <f>IF(A12 &gt;= Assumptions!$C$3, "Virginia", IF(A12 &gt;= Assumptions!#REF!, "Florida", IF(A12 &gt;= Assumptions!$C$5, "Texas", IF(A12 &gt;= Assumptions!$C$6, "New York", IF(A12 &gt;= Assumptions!$C$7, "California", "")))))</f>
        <v>Virginia</v>
      </c>
      <c r="F12">
        <v>11</v>
      </c>
      <c r="G12" t="str">
        <f t="shared" si="0"/>
        <v>Virginia</v>
      </c>
      <c r="H12">
        <v>23</v>
      </c>
      <c r="I12" t="str">
        <f t="shared" si="1"/>
        <v>Florida</v>
      </c>
      <c r="J12">
        <v>23</v>
      </c>
      <c r="K12" t="str">
        <f t="shared" si="2"/>
        <v>Texas</v>
      </c>
      <c r="L12">
        <v>35</v>
      </c>
      <c r="M12" t="str">
        <f t="shared" si="3"/>
        <v>New York</v>
      </c>
      <c r="N12">
        <v>35</v>
      </c>
      <c r="O12" t="str">
        <f t="shared" si="4"/>
        <v>California</v>
      </c>
      <c r="Q12">
        <v>12</v>
      </c>
      <c r="R12">
        <v>24</v>
      </c>
      <c r="S12">
        <v>24</v>
      </c>
      <c r="T12">
        <v>36</v>
      </c>
      <c r="U12">
        <v>36</v>
      </c>
      <c r="V12" t="str">
        <v>Virginia</v>
      </c>
      <c r="W12" t="str">
        <v>Florida</v>
      </c>
      <c r="X12" t="str">
        <v>Texas</v>
      </c>
      <c r="Y12" t="str">
        <v>New York</v>
      </c>
      <c r="Z12" t="str">
        <v>California</v>
      </c>
      <c r="AA12" cm="1">
        <f t="array" ref="AA12">IF(INDEX($Q$1:$U$60, INT((ROW(A12)-1)/COLUMNS($Q$1:$U$60))+1, MOD(ROW(A12)-1, COLUMNS($Q$1:$U$60))+1)="", "", INDEX($Q$1:$U$60, INT((ROW(A12)-1)/COLUMNS($Q$1:$U$60))+1, MOD(ROW(A12)-1, COLUMNS($Q$1:$U$60))+1))</f>
        <v>15</v>
      </c>
      <c r="AB12" t="str" cm="1">
        <f t="array" ref="AB12">IF(INDEX($V$1:$Z$60, INT((ROW(A12)-1)/COLUMNS($V$1:$Z$60))+1, MOD(ROW(A12)-1, COLUMNS($V$1:$Z$60))+1)="", "", INDEX($V$1:$Z$60, INT((ROW(A12)-1)/COLUMNS($V$1:$Z$60))+1, MOD(ROW(A12)-1, COLUMNS($V$1:$Z$60))+1))</f>
        <v>Florida</v>
      </c>
    </row>
    <row r="13" spans="1:28">
      <c r="A13">
        <v>13</v>
      </c>
      <c r="B13" t="str">
        <f>IF(A13 &gt;= Assumptions!$C$3, "Virginia", IF(A13 &gt;= Assumptions!#REF!, "Florida", IF(A13 &gt;= Assumptions!$C$5, "Texas", IF(A13 &gt;= Assumptions!$C$6, "New York", IF(A13 &gt;= Assumptions!$C$7, "California", "")))))</f>
        <v>Virginia</v>
      </c>
      <c r="F13">
        <v>12</v>
      </c>
      <c r="G13" t="str">
        <f t="shared" si="0"/>
        <v>Virginia</v>
      </c>
      <c r="H13">
        <v>24</v>
      </c>
      <c r="I13" t="str">
        <f t="shared" si="1"/>
        <v>Florida</v>
      </c>
      <c r="J13">
        <v>24</v>
      </c>
      <c r="K13" t="str">
        <f t="shared" si="2"/>
        <v>Texas</v>
      </c>
      <c r="L13">
        <v>36</v>
      </c>
      <c r="M13" t="str">
        <f t="shared" si="3"/>
        <v>New York</v>
      </c>
      <c r="N13">
        <v>36</v>
      </c>
      <c r="O13" t="str">
        <f t="shared" si="4"/>
        <v>California</v>
      </c>
      <c r="Q13">
        <v>13</v>
      </c>
      <c r="R13">
        <v>25</v>
      </c>
      <c r="S13">
        <v>25</v>
      </c>
      <c r="T13">
        <v>37</v>
      </c>
      <c r="U13">
        <v>37</v>
      </c>
      <c r="V13" t="str">
        <v>Virginia</v>
      </c>
      <c r="W13" t="str">
        <v>Florida</v>
      </c>
      <c r="X13" t="str">
        <v>Texas</v>
      </c>
      <c r="Y13" t="str">
        <v>New York</v>
      </c>
      <c r="Z13" t="str">
        <v>California</v>
      </c>
      <c r="AA13" cm="1">
        <f t="array" ref="AA13">IF(INDEX($Q$1:$U$60, INT((ROW(A13)-1)/COLUMNS($Q$1:$U$60))+1, MOD(ROW(A13)-1, COLUMNS($Q$1:$U$60))+1)="", "", INDEX($Q$1:$U$60, INT((ROW(A13)-1)/COLUMNS($Q$1:$U$60))+1, MOD(ROW(A13)-1, COLUMNS($Q$1:$U$60))+1))</f>
        <v>15</v>
      </c>
      <c r="AB13" t="str" cm="1">
        <f t="array" ref="AB13">IF(INDEX($V$1:$Z$60, INT((ROW(A13)-1)/COLUMNS($V$1:$Z$60))+1, MOD(ROW(A13)-1, COLUMNS($V$1:$Z$60))+1)="", "", INDEX($V$1:$Z$60, INT((ROW(A13)-1)/COLUMNS($V$1:$Z$60))+1, MOD(ROW(A13)-1, COLUMNS($V$1:$Z$60))+1))</f>
        <v>Texas</v>
      </c>
    </row>
    <row r="14" spans="1:28">
      <c r="A14">
        <v>14</v>
      </c>
      <c r="B14" t="str">
        <f>IF(A14 &gt;= Assumptions!$C$3, "Virginia", IF(A14 &gt;= Assumptions!#REF!, "Florida", IF(A14 &gt;= Assumptions!$C$5, "Texas", IF(A14 &gt;= Assumptions!$C$6, "New York", IF(A14 &gt;= Assumptions!$C$7, "California", "")))))</f>
        <v>Virginia</v>
      </c>
      <c r="F14">
        <v>13</v>
      </c>
      <c r="G14" t="str">
        <f t="shared" si="0"/>
        <v>Virginia</v>
      </c>
      <c r="H14">
        <v>25</v>
      </c>
      <c r="I14" t="str">
        <f t="shared" si="1"/>
        <v>Florida</v>
      </c>
      <c r="J14">
        <v>25</v>
      </c>
      <c r="K14" t="str">
        <f t="shared" si="2"/>
        <v>Texas</v>
      </c>
      <c r="L14">
        <v>37</v>
      </c>
      <c r="M14" t="str">
        <f t="shared" si="3"/>
        <v>New York</v>
      </c>
      <c r="N14">
        <v>37</v>
      </c>
      <c r="O14" t="str">
        <f t="shared" si="4"/>
        <v>California</v>
      </c>
      <c r="Q14">
        <v>14</v>
      </c>
      <c r="R14">
        <v>26</v>
      </c>
      <c r="S14">
        <v>26</v>
      </c>
      <c r="T14">
        <v>38</v>
      </c>
      <c r="U14">
        <v>38</v>
      </c>
      <c r="V14" t="str">
        <v>Virginia</v>
      </c>
      <c r="W14" t="str">
        <v>Florida</v>
      </c>
      <c r="X14" t="str">
        <v>Texas</v>
      </c>
      <c r="Y14" t="str">
        <v>New York</v>
      </c>
      <c r="Z14" t="str">
        <v>California</v>
      </c>
      <c r="AA14" cm="1">
        <f t="array" ref="AA14">IF(INDEX($Q$1:$U$60, INT((ROW(A14)-1)/COLUMNS($Q$1:$U$60))+1, MOD(ROW(A14)-1, COLUMNS($Q$1:$U$60))+1)="", "", INDEX($Q$1:$U$60, INT((ROW(A14)-1)/COLUMNS($Q$1:$U$60))+1, MOD(ROW(A14)-1, COLUMNS($Q$1:$U$60))+1))</f>
        <v>27</v>
      </c>
      <c r="AB14" t="str" cm="1">
        <f t="array" ref="AB14">IF(INDEX($V$1:$Z$60, INT((ROW(A14)-1)/COLUMNS($V$1:$Z$60))+1, MOD(ROW(A14)-1, COLUMNS($V$1:$Z$60))+1)="", "", INDEX($V$1:$Z$60, INT((ROW(A14)-1)/COLUMNS($V$1:$Z$60))+1, MOD(ROW(A14)-1, COLUMNS($V$1:$Z$60))+1))</f>
        <v>New York</v>
      </c>
    </row>
    <row r="15" spans="1:28">
      <c r="A15">
        <v>15</v>
      </c>
      <c r="B15" t="str">
        <f>IF(A15 &gt;= Assumptions!$C$3, "Virginia", IF(A15 &gt;= Assumptions!#REF!, "Florida", IF(A15 &gt;= Assumptions!$C$5, "Texas", IF(A15 &gt;= Assumptions!$C$6, "New York", IF(A15 &gt;= Assumptions!$C$7, "California", "")))))</f>
        <v>Virginia</v>
      </c>
      <c r="F15">
        <v>14</v>
      </c>
      <c r="G15" t="str">
        <f t="shared" si="0"/>
        <v>Virginia</v>
      </c>
      <c r="H15">
        <v>26</v>
      </c>
      <c r="I15" t="str">
        <f t="shared" si="1"/>
        <v>Florida</v>
      </c>
      <c r="J15">
        <v>26</v>
      </c>
      <c r="K15" t="str">
        <f t="shared" si="2"/>
        <v>Texas</v>
      </c>
      <c r="L15">
        <v>38</v>
      </c>
      <c r="M15" t="str">
        <f t="shared" si="3"/>
        <v>New York</v>
      </c>
      <c r="N15">
        <v>38</v>
      </c>
      <c r="O15" t="str">
        <f t="shared" si="4"/>
        <v>California</v>
      </c>
      <c r="Q15">
        <v>15</v>
      </c>
      <c r="R15">
        <v>27</v>
      </c>
      <c r="S15">
        <v>27</v>
      </c>
      <c r="T15">
        <v>39</v>
      </c>
      <c r="U15">
        <v>39</v>
      </c>
      <c r="V15" t="str">
        <v>Virginia</v>
      </c>
      <c r="W15" t="str">
        <v>Florida</v>
      </c>
      <c r="X15" t="str">
        <v>Texas</v>
      </c>
      <c r="Y15" t="str">
        <v>New York</v>
      </c>
      <c r="Z15" t="str">
        <v>California</v>
      </c>
      <c r="AA15" cm="1">
        <f t="array" ref="AA15">IF(INDEX($Q$1:$U$60, INT((ROW(A15)-1)/COLUMNS($Q$1:$U$60))+1, MOD(ROW(A15)-1, COLUMNS($Q$1:$U$60))+1)="", "", INDEX($Q$1:$U$60, INT((ROW(A15)-1)/COLUMNS($Q$1:$U$60))+1, MOD(ROW(A15)-1, COLUMNS($Q$1:$U$60))+1))</f>
        <v>27</v>
      </c>
      <c r="AB15" t="str" cm="1">
        <f t="array" ref="AB15">IF(INDEX($V$1:$Z$60, INT((ROW(A15)-1)/COLUMNS($V$1:$Z$60))+1, MOD(ROW(A15)-1, COLUMNS($V$1:$Z$60))+1)="", "", INDEX($V$1:$Z$60, INT((ROW(A15)-1)/COLUMNS($V$1:$Z$60))+1, MOD(ROW(A15)-1, COLUMNS($V$1:$Z$60))+1))</f>
        <v>California</v>
      </c>
    </row>
    <row r="16" spans="1:28">
      <c r="A16">
        <v>16</v>
      </c>
      <c r="B16" t="str">
        <f>IF(A16 &gt;= Assumptions!$C$3, "Virginia", IF(A16 &gt;= Assumptions!#REF!, "Florida", IF(A16 &gt;= Assumptions!$C$5, "Texas", IF(A16 &gt;= Assumptions!$C$6, "New York", IF(A16 &gt;= Assumptions!$C$7, "California", "")))))</f>
        <v>Virginia</v>
      </c>
      <c r="F16">
        <v>15</v>
      </c>
      <c r="G16" t="str">
        <f t="shared" si="0"/>
        <v>Virginia</v>
      </c>
      <c r="H16">
        <v>27</v>
      </c>
      <c r="I16" t="str">
        <f t="shared" si="1"/>
        <v>Florida</v>
      </c>
      <c r="J16">
        <v>27</v>
      </c>
      <c r="K16" t="str">
        <f t="shared" si="2"/>
        <v>Texas</v>
      </c>
      <c r="L16">
        <v>39</v>
      </c>
      <c r="M16" t="str">
        <f t="shared" si="3"/>
        <v>New York</v>
      </c>
      <c r="N16">
        <v>39</v>
      </c>
      <c r="O16" t="str">
        <f t="shared" si="4"/>
        <v>California</v>
      </c>
      <c r="Q16">
        <v>16</v>
      </c>
      <c r="R16">
        <v>28</v>
      </c>
      <c r="S16">
        <v>28</v>
      </c>
      <c r="T16">
        <v>40</v>
      </c>
      <c r="U16">
        <v>40</v>
      </c>
      <c r="V16" t="str">
        <v>Virginia</v>
      </c>
      <c r="W16" t="str">
        <v>Florida</v>
      </c>
      <c r="X16" t="str">
        <v>Texas</v>
      </c>
      <c r="Y16" t="str">
        <v>New York</v>
      </c>
      <c r="Z16" t="str">
        <v>California</v>
      </c>
      <c r="AA16" cm="1">
        <f t="array" ref="AA16">IF(INDEX($Q$1:$U$60, INT((ROW(A16)-1)/COLUMNS($Q$1:$U$60))+1, MOD(ROW(A16)-1, COLUMNS($Q$1:$U$60))+1)="", "", INDEX($Q$1:$U$60, INT((ROW(A16)-1)/COLUMNS($Q$1:$U$60))+1, MOD(ROW(A16)-1, COLUMNS($Q$1:$U$60))+1))</f>
        <v>4</v>
      </c>
      <c r="AB16" t="str" cm="1">
        <f t="array" ref="AB16">IF(INDEX($V$1:$Z$60, INT((ROW(A16)-1)/COLUMNS($V$1:$Z$60))+1, MOD(ROW(A16)-1, COLUMNS($V$1:$Z$60))+1)="", "", INDEX($V$1:$Z$60, INT((ROW(A16)-1)/COLUMNS($V$1:$Z$60))+1, MOD(ROW(A16)-1, COLUMNS($V$1:$Z$60))+1))</f>
        <v>Virginia</v>
      </c>
    </row>
    <row r="17" spans="1:28">
      <c r="A17">
        <v>17</v>
      </c>
      <c r="B17" t="str">
        <f>IF(A17 &gt;= Assumptions!$C$3, "Virginia", IF(A17 &gt;= Assumptions!#REF!, "Florida", IF(A17 &gt;= Assumptions!$C$5, "Texas", IF(A17 &gt;= Assumptions!$C$6, "New York", IF(A17 &gt;= Assumptions!$C$7, "California", "")))))</f>
        <v>Virginia</v>
      </c>
      <c r="F17">
        <v>16</v>
      </c>
      <c r="G17" t="str">
        <f t="shared" si="0"/>
        <v>Virginia</v>
      </c>
      <c r="H17">
        <v>28</v>
      </c>
      <c r="I17" t="str">
        <f t="shared" si="1"/>
        <v>Florida</v>
      </c>
      <c r="J17">
        <v>28</v>
      </c>
      <c r="K17" t="str">
        <f t="shared" si="2"/>
        <v>Texas</v>
      </c>
      <c r="L17">
        <v>40</v>
      </c>
      <c r="M17" t="str">
        <f t="shared" si="3"/>
        <v>New York</v>
      </c>
      <c r="N17">
        <v>40</v>
      </c>
      <c r="O17" t="str">
        <f t="shared" si="4"/>
        <v>California</v>
      </c>
      <c r="Q17">
        <v>17</v>
      </c>
      <c r="R17">
        <v>29</v>
      </c>
      <c r="S17">
        <v>29</v>
      </c>
      <c r="T17">
        <v>41</v>
      </c>
      <c r="U17">
        <v>41</v>
      </c>
      <c r="V17" t="str">
        <v>Virginia</v>
      </c>
      <c r="W17" t="str">
        <v>Florida</v>
      </c>
      <c r="X17" t="str">
        <v>Texas</v>
      </c>
      <c r="Y17" t="str">
        <v>New York</v>
      </c>
      <c r="Z17" t="str">
        <v>California</v>
      </c>
      <c r="AA17" cm="1">
        <f t="array" ref="AA17">IF(INDEX($Q$1:$U$60, INT((ROW(A17)-1)/COLUMNS($Q$1:$U$60))+1, MOD(ROW(A17)-1, COLUMNS($Q$1:$U$60))+1)="", "", INDEX($Q$1:$U$60, INT((ROW(A17)-1)/COLUMNS($Q$1:$U$60))+1, MOD(ROW(A17)-1, COLUMNS($Q$1:$U$60))+1))</f>
        <v>16</v>
      </c>
      <c r="AB17" t="str" cm="1">
        <f t="array" ref="AB17">IF(INDEX($V$1:$Z$60, INT((ROW(A17)-1)/COLUMNS($V$1:$Z$60))+1, MOD(ROW(A17)-1, COLUMNS($V$1:$Z$60))+1)="", "", INDEX($V$1:$Z$60, INT((ROW(A17)-1)/COLUMNS($V$1:$Z$60))+1, MOD(ROW(A17)-1, COLUMNS($V$1:$Z$60))+1))</f>
        <v>Florida</v>
      </c>
    </row>
    <row r="18" spans="1:28">
      <c r="A18">
        <v>18</v>
      </c>
      <c r="B18" t="str">
        <f>IF(A18 &gt;= Assumptions!$C$3, "Virginia", IF(A18 &gt;= Assumptions!#REF!, "Florida", IF(A18 &gt;= Assumptions!$C$5, "Texas", IF(A18 &gt;= Assumptions!$C$6, "New York", IF(A18 &gt;= Assumptions!$C$7, "California", "")))))</f>
        <v>Virginia</v>
      </c>
      <c r="F18">
        <v>17</v>
      </c>
      <c r="G18" t="str">
        <f t="shared" si="0"/>
        <v>Virginia</v>
      </c>
      <c r="H18">
        <v>29</v>
      </c>
      <c r="I18" t="str">
        <f t="shared" si="1"/>
        <v>Florida</v>
      </c>
      <c r="J18">
        <v>29</v>
      </c>
      <c r="K18" t="str">
        <f t="shared" si="2"/>
        <v>Texas</v>
      </c>
      <c r="L18">
        <v>41</v>
      </c>
      <c r="M18" t="str">
        <f t="shared" si="3"/>
        <v>New York</v>
      </c>
      <c r="N18">
        <v>41</v>
      </c>
      <c r="O18" t="str">
        <f t="shared" si="4"/>
        <v>California</v>
      </c>
      <c r="Q18">
        <v>18</v>
      </c>
      <c r="R18">
        <v>30</v>
      </c>
      <c r="S18">
        <v>30</v>
      </c>
      <c r="T18">
        <v>42</v>
      </c>
      <c r="U18">
        <v>42</v>
      </c>
      <c r="V18" t="str">
        <v>Virginia</v>
      </c>
      <c r="W18" t="str">
        <v>Florida</v>
      </c>
      <c r="X18" t="str">
        <v>Texas</v>
      </c>
      <c r="Y18" t="str">
        <v>New York</v>
      </c>
      <c r="Z18" t="str">
        <v>California</v>
      </c>
      <c r="AA18" cm="1">
        <f t="array" ref="AA18">IF(INDEX($Q$1:$U$60, INT((ROW(A18)-1)/COLUMNS($Q$1:$U$60))+1, MOD(ROW(A18)-1, COLUMNS($Q$1:$U$60))+1)="", "", INDEX($Q$1:$U$60, INT((ROW(A18)-1)/COLUMNS($Q$1:$U$60))+1, MOD(ROW(A18)-1, COLUMNS($Q$1:$U$60))+1))</f>
        <v>16</v>
      </c>
      <c r="AB18" t="str" cm="1">
        <f t="array" ref="AB18">IF(INDEX($V$1:$Z$60, INT((ROW(A18)-1)/COLUMNS($V$1:$Z$60))+1, MOD(ROW(A18)-1, COLUMNS($V$1:$Z$60))+1)="", "", INDEX($V$1:$Z$60, INT((ROW(A18)-1)/COLUMNS($V$1:$Z$60))+1, MOD(ROW(A18)-1, COLUMNS($V$1:$Z$60))+1))</f>
        <v>Texas</v>
      </c>
    </row>
    <row r="19" spans="1:28">
      <c r="A19">
        <v>19</v>
      </c>
      <c r="B19" t="str">
        <f>IF(A19 &gt;= Assumptions!$C$3, "Virginia", IF(A19 &gt;= Assumptions!#REF!, "Florida", IF(A19 &gt;= Assumptions!$C$5, "Texas", IF(A19 &gt;= Assumptions!$C$6, "New York", IF(A19 &gt;= Assumptions!$C$7, "California", "")))))</f>
        <v>Virginia</v>
      </c>
      <c r="F19">
        <v>18</v>
      </c>
      <c r="G19" t="str">
        <f t="shared" si="0"/>
        <v>Virginia</v>
      </c>
      <c r="H19">
        <v>30</v>
      </c>
      <c r="I19" t="str">
        <f t="shared" si="1"/>
        <v>Florida</v>
      </c>
      <c r="J19">
        <v>30</v>
      </c>
      <c r="K19" t="str">
        <f t="shared" si="2"/>
        <v>Texas</v>
      </c>
      <c r="L19">
        <v>42</v>
      </c>
      <c r="M19" t="str">
        <f t="shared" si="3"/>
        <v>New York</v>
      </c>
      <c r="N19">
        <v>42</v>
      </c>
      <c r="O19" t="str">
        <f t="shared" si="4"/>
        <v>California</v>
      </c>
      <c r="Q19">
        <v>19</v>
      </c>
      <c r="R19">
        <v>31</v>
      </c>
      <c r="S19">
        <v>31</v>
      </c>
      <c r="T19">
        <v>43</v>
      </c>
      <c r="U19">
        <v>43</v>
      </c>
      <c r="V19" t="str">
        <v>Virginia</v>
      </c>
      <c r="W19" t="str">
        <v>Florida</v>
      </c>
      <c r="X19" t="str">
        <v>Texas</v>
      </c>
      <c r="Y19" t="str">
        <v>New York</v>
      </c>
      <c r="Z19" t="str">
        <v>California</v>
      </c>
      <c r="AA19" cm="1">
        <f t="array" ref="AA19">IF(INDEX($Q$1:$U$60, INT((ROW(A19)-1)/COLUMNS($Q$1:$U$60))+1, MOD(ROW(A19)-1, COLUMNS($Q$1:$U$60))+1)="", "", INDEX($Q$1:$U$60, INT((ROW(A19)-1)/COLUMNS($Q$1:$U$60))+1, MOD(ROW(A19)-1, COLUMNS($Q$1:$U$60))+1))</f>
        <v>28</v>
      </c>
      <c r="AB19" t="str" cm="1">
        <f t="array" ref="AB19">IF(INDEX($V$1:$Z$60, INT((ROW(A19)-1)/COLUMNS($V$1:$Z$60))+1, MOD(ROW(A19)-1, COLUMNS($V$1:$Z$60))+1)="", "", INDEX($V$1:$Z$60, INT((ROW(A19)-1)/COLUMNS($V$1:$Z$60))+1, MOD(ROW(A19)-1, COLUMNS($V$1:$Z$60))+1))</f>
        <v>New York</v>
      </c>
    </row>
    <row r="20" spans="1:28">
      <c r="A20">
        <v>20</v>
      </c>
      <c r="B20" t="str">
        <f>IF(A20 &gt;= Assumptions!$C$3, "Virginia", IF(A20 &gt;= Assumptions!#REF!, "Florida", IF(A20 &gt;= Assumptions!$C$5, "Texas", IF(A20 &gt;= Assumptions!$C$6, "New York", IF(A20 &gt;= Assumptions!$C$7, "California", "")))))</f>
        <v>Virginia</v>
      </c>
      <c r="F20">
        <v>19</v>
      </c>
      <c r="G20" t="str">
        <f t="shared" si="0"/>
        <v>Virginia</v>
      </c>
      <c r="H20">
        <v>31</v>
      </c>
      <c r="I20" t="str">
        <f t="shared" si="1"/>
        <v>Florida</v>
      </c>
      <c r="J20">
        <v>31</v>
      </c>
      <c r="K20" t="str">
        <f t="shared" si="2"/>
        <v>Texas</v>
      </c>
      <c r="L20">
        <v>43</v>
      </c>
      <c r="M20" t="str">
        <f t="shared" si="3"/>
        <v>New York</v>
      </c>
      <c r="N20">
        <v>43</v>
      </c>
      <c r="O20" t="str">
        <f t="shared" si="4"/>
        <v>California</v>
      </c>
      <c r="Q20">
        <v>20</v>
      </c>
      <c r="R20">
        <v>32</v>
      </c>
      <c r="S20">
        <v>32</v>
      </c>
      <c r="T20">
        <v>44</v>
      </c>
      <c r="U20">
        <v>44</v>
      </c>
      <c r="V20" t="str">
        <v>Virginia</v>
      </c>
      <c r="W20" t="str">
        <v>Florida</v>
      </c>
      <c r="X20" t="str">
        <v>Texas</v>
      </c>
      <c r="Y20" t="str">
        <v>New York</v>
      </c>
      <c r="Z20" t="str">
        <v>California</v>
      </c>
      <c r="AA20" cm="1">
        <f t="array" ref="AA20">IF(INDEX($Q$1:$U$60, INT((ROW(A20)-1)/COLUMNS($Q$1:$U$60))+1, MOD(ROW(A20)-1, COLUMNS($Q$1:$U$60))+1)="", "", INDEX($Q$1:$U$60, INT((ROW(A20)-1)/COLUMNS($Q$1:$U$60))+1, MOD(ROW(A20)-1, COLUMNS($Q$1:$U$60))+1))</f>
        <v>28</v>
      </c>
      <c r="AB20" t="str" cm="1">
        <f t="array" ref="AB20">IF(INDEX($V$1:$Z$60, INT((ROW(A20)-1)/COLUMNS($V$1:$Z$60))+1, MOD(ROW(A20)-1, COLUMNS($V$1:$Z$60))+1)="", "", INDEX($V$1:$Z$60, INT((ROW(A20)-1)/COLUMNS($V$1:$Z$60))+1, MOD(ROW(A20)-1, COLUMNS($V$1:$Z$60))+1))</f>
        <v>California</v>
      </c>
    </row>
    <row r="21" spans="1:28">
      <c r="A21">
        <v>21</v>
      </c>
      <c r="B21" t="str">
        <f>IF(A21 &gt;= Assumptions!$C$3, "Virginia", IF(A21 &gt;= Assumptions!#REF!, "Florida", IF(A21 &gt;= Assumptions!$C$5, "Texas", IF(A21 &gt;= Assumptions!$C$6, "New York", IF(A21 &gt;= Assumptions!$C$7, "California", "")))))</f>
        <v>Virginia</v>
      </c>
      <c r="F21">
        <v>20</v>
      </c>
      <c r="G21" t="str">
        <f t="shared" si="0"/>
        <v>Virginia</v>
      </c>
      <c r="H21">
        <v>32</v>
      </c>
      <c r="I21" t="str">
        <f t="shared" si="1"/>
        <v>Florida</v>
      </c>
      <c r="J21">
        <v>32</v>
      </c>
      <c r="K21" t="str">
        <f t="shared" si="2"/>
        <v>Texas</v>
      </c>
      <c r="L21">
        <v>44</v>
      </c>
      <c r="M21" t="str">
        <f t="shared" si="3"/>
        <v>New York</v>
      </c>
      <c r="N21">
        <v>44</v>
      </c>
      <c r="O21" t="str">
        <f t="shared" si="4"/>
        <v>California</v>
      </c>
      <c r="Q21">
        <v>21</v>
      </c>
      <c r="R21">
        <v>33</v>
      </c>
      <c r="S21">
        <v>33</v>
      </c>
      <c r="T21">
        <v>45</v>
      </c>
      <c r="U21">
        <v>45</v>
      </c>
      <c r="V21" t="str">
        <v>Virginia</v>
      </c>
      <c r="W21" t="str">
        <v>Florida</v>
      </c>
      <c r="X21" t="str">
        <v>Texas</v>
      </c>
      <c r="Y21" t="str">
        <v>New York</v>
      </c>
      <c r="Z21" t="str">
        <v>California</v>
      </c>
      <c r="AA21" cm="1">
        <f t="array" ref="AA21">IF(INDEX($Q$1:$U$60, INT((ROW(A21)-1)/COLUMNS($Q$1:$U$60))+1, MOD(ROW(A21)-1, COLUMNS($Q$1:$U$60))+1)="", "", INDEX($Q$1:$U$60, INT((ROW(A21)-1)/COLUMNS($Q$1:$U$60))+1, MOD(ROW(A21)-1, COLUMNS($Q$1:$U$60))+1))</f>
        <v>5</v>
      </c>
      <c r="AB21" t="str" cm="1">
        <f t="array" ref="AB21">IF(INDEX($V$1:$Z$60, INT((ROW(A21)-1)/COLUMNS($V$1:$Z$60))+1, MOD(ROW(A21)-1, COLUMNS($V$1:$Z$60))+1)="", "", INDEX($V$1:$Z$60, INT((ROW(A21)-1)/COLUMNS($V$1:$Z$60))+1, MOD(ROW(A21)-1, COLUMNS($V$1:$Z$60))+1))</f>
        <v>Virginia</v>
      </c>
    </row>
    <row r="22" spans="1:28">
      <c r="A22">
        <v>22</v>
      </c>
      <c r="B22" t="str">
        <f>IF(A22 &gt;= Assumptions!$C$3, "Virginia", IF(A22 &gt;= Assumptions!#REF!, "Florida", IF(A22 &gt;= Assumptions!$C$5, "Texas", IF(A22 &gt;= Assumptions!$C$6, "New York", IF(A22 &gt;= Assumptions!$C$7, "California", "")))))</f>
        <v>Virginia</v>
      </c>
      <c r="F22">
        <v>21</v>
      </c>
      <c r="G22" t="str">
        <f t="shared" si="0"/>
        <v>Virginia</v>
      </c>
      <c r="H22">
        <v>33</v>
      </c>
      <c r="I22" t="str">
        <f t="shared" si="1"/>
        <v>Florida</v>
      </c>
      <c r="J22">
        <v>33</v>
      </c>
      <c r="K22" t="str">
        <f t="shared" si="2"/>
        <v>Texas</v>
      </c>
      <c r="L22">
        <v>45</v>
      </c>
      <c r="M22" t="str">
        <f t="shared" si="3"/>
        <v>New York</v>
      </c>
      <c r="N22">
        <v>45</v>
      </c>
      <c r="O22" t="str">
        <f t="shared" si="4"/>
        <v>California</v>
      </c>
      <c r="Q22">
        <v>22</v>
      </c>
      <c r="R22">
        <v>34</v>
      </c>
      <c r="S22">
        <v>34</v>
      </c>
      <c r="T22">
        <v>46</v>
      </c>
      <c r="U22">
        <v>46</v>
      </c>
      <c r="V22" t="str">
        <v>Virginia</v>
      </c>
      <c r="W22" t="str">
        <v>Florida</v>
      </c>
      <c r="X22" t="str">
        <v>Texas</v>
      </c>
      <c r="Y22" t="str">
        <v>New York</v>
      </c>
      <c r="Z22" t="str">
        <v>California</v>
      </c>
      <c r="AA22" cm="1">
        <f t="array" ref="AA22">IF(INDEX($Q$1:$U$60, INT((ROW(A22)-1)/COLUMNS($Q$1:$U$60))+1, MOD(ROW(A22)-1, COLUMNS($Q$1:$U$60))+1)="", "", INDEX($Q$1:$U$60, INT((ROW(A22)-1)/COLUMNS($Q$1:$U$60))+1, MOD(ROW(A22)-1, COLUMNS($Q$1:$U$60))+1))</f>
        <v>17</v>
      </c>
      <c r="AB22" t="str" cm="1">
        <f t="array" ref="AB22">IF(INDEX($V$1:$Z$60, INT((ROW(A22)-1)/COLUMNS($V$1:$Z$60))+1, MOD(ROW(A22)-1, COLUMNS($V$1:$Z$60))+1)="", "", INDEX($V$1:$Z$60, INT((ROW(A22)-1)/COLUMNS($V$1:$Z$60))+1, MOD(ROW(A22)-1, COLUMNS($V$1:$Z$60))+1))</f>
        <v>Florida</v>
      </c>
    </row>
    <row r="23" spans="1:28">
      <c r="A23">
        <v>23</v>
      </c>
      <c r="B23" t="str">
        <f>IF(A23 &gt;= Assumptions!$C$3, "Virginia", IF(A23 &gt;= Assumptions!#REF!, "Florida", IF(A23 &gt;= Assumptions!$C$5, "Texas", IF(A23 &gt;= Assumptions!$C$6, "New York", IF(A23 &gt;= Assumptions!$C$7, "California", "")))))</f>
        <v>Virginia</v>
      </c>
      <c r="F23">
        <v>22</v>
      </c>
      <c r="G23" t="str">
        <f t="shared" si="0"/>
        <v>Virginia</v>
      </c>
      <c r="H23">
        <v>34</v>
      </c>
      <c r="I23" t="str">
        <f t="shared" si="1"/>
        <v>Florida</v>
      </c>
      <c r="J23">
        <v>34</v>
      </c>
      <c r="K23" t="str">
        <f t="shared" si="2"/>
        <v>Texas</v>
      </c>
      <c r="L23">
        <v>46</v>
      </c>
      <c r="M23" t="str">
        <f t="shared" si="3"/>
        <v>New York</v>
      </c>
      <c r="N23">
        <v>46</v>
      </c>
      <c r="O23" t="str">
        <f t="shared" si="4"/>
        <v>California</v>
      </c>
      <c r="Q23">
        <v>23</v>
      </c>
      <c r="R23">
        <v>35</v>
      </c>
      <c r="S23">
        <v>35</v>
      </c>
      <c r="T23">
        <v>47</v>
      </c>
      <c r="U23">
        <v>47</v>
      </c>
      <c r="V23" t="str">
        <v>Virginia</v>
      </c>
      <c r="W23" t="str">
        <v>Florida</v>
      </c>
      <c r="X23" t="str">
        <v>Texas</v>
      </c>
      <c r="Y23" t="str">
        <v>New York</v>
      </c>
      <c r="Z23" t="str">
        <v>California</v>
      </c>
      <c r="AA23" cm="1">
        <f t="array" ref="AA23">IF(INDEX($Q$1:$U$60, INT((ROW(A23)-1)/COLUMNS($Q$1:$U$60))+1, MOD(ROW(A23)-1, COLUMNS($Q$1:$U$60))+1)="", "", INDEX($Q$1:$U$60, INT((ROW(A23)-1)/COLUMNS($Q$1:$U$60))+1, MOD(ROW(A23)-1, COLUMNS($Q$1:$U$60))+1))</f>
        <v>17</v>
      </c>
      <c r="AB23" t="str" cm="1">
        <f t="array" ref="AB23">IF(INDEX($V$1:$Z$60, INT((ROW(A23)-1)/COLUMNS($V$1:$Z$60))+1, MOD(ROW(A23)-1, COLUMNS($V$1:$Z$60))+1)="", "", INDEX($V$1:$Z$60, INT((ROW(A23)-1)/COLUMNS($V$1:$Z$60))+1, MOD(ROW(A23)-1, COLUMNS($V$1:$Z$60))+1))</f>
        <v>Texas</v>
      </c>
    </row>
    <row r="24" spans="1:28">
      <c r="A24">
        <v>24</v>
      </c>
      <c r="B24" t="str">
        <f>IF(A24 &gt;= Assumptions!$C$3, "Virginia", IF(A24 &gt;= Assumptions!#REF!, "Florida", IF(A24 &gt;= Assumptions!$C$5, "Texas", IF(A24 &gt;= Assumptions!$C$6, "New York", IF(A24 &gt;= Assumptions!$C$7, "California", "")))))</f>
        <v>Virginia</v>
      </c>
      <c r="F24">
        <v>23</v>
      </c>
      <c r="G24" t="str">
        <f t="shared" si="0"/>
        <v>Virginia</v>
      </c>
      <c r="H24">
        <v>35</v>
      </c>
      <c r="I24" t="str">
        <f t="shared" si="1"/>
        <v>Florida</v>
      </c>
      <c r="J24">
        <v>35</v>
      </c>
      <c r="K24" t="str">
        <f t="shared" si="2"/>
        <v>Texas</v>
      </c>
      <c r="L24">
        <v>47</v>
      </c>
      <c r="M24" t="str">
        <f t="shared" si="3"/>
        <v>New York</v>
      </c>
      <c r="N24">
        <v>47</v>
      </c>
      <c r="O24" t="str">
        <f t="shared" si="4"/>
        <v>California</v>
      </c>
      <c r="Q24">
        <v>24</v>
      </c>
      <c r="R24">
        <v>36</v>
      </c>
      <c r="S24">
        <v>36</v>
      </c>
      <c r="T24">
        <v>48</v>
      </c>
      <c r="U24">
        <v>48</v>
      </c>
      <c r="V24" t="str">
        <v>Virginia</v>
      </c>
      <c r="W24" t="str">
        <v>Florida</v>
      </c>
      <c r="X24" t="str">
        <v>Texas</v>
      </c>
      <c r="Y24" t="str">
        <v>New York</v>
      </c>
      <c r="Z24" t="str">
        <v>California</v>
      </c>
      <c r="AA24" cm="1">
        <f t="array" ref="AA24">IF(INDEX($Q$1:$U$60, INT((ROW(A24)-1)/COLUMNS($Q$1:$U$60))+1, MOD(ROW(A24)-1, COLUMNS($Q$1:$U$60))+1)="", "", INDEX($Q$1:$U$60, INT((ROW(A24)-1)/COLUMNS($Q$1:$U$60))+1, MOD(ROW(A24)-1, COLUMNS($Q$1:$U$60))+1))</f>
        <v>29</v>
      </c>
      <c r="AB24" t="str" cm="1">
        <f t="array" ref="AB24">IF(INDEX($V$1:$Z$60, INT((ROW(A24)-1)/COLUMNS($V$1:$Z$60))+1, MOD(ROW(A24)-1, COLUMNS($V$1:$Z$60))+1)="", "", INDEX($V$1:$Z$60, INT((ROW(A24)-1)/COLUMNS($V$1:$Z$60))+1, MOD(ROW(A24)-1, COLUMNS($V$1:$Z$60))+1))</f>
        <v>New York</v>
      </c>
    </row>
    <row r="25" spans="1:28">
      <c r="A25">
        <v>25</v>
      </c>
      <c r="B25" t="str">
        <f>IF(A25 &gt;= Assumptions!$C$3, "Virginia", IF(A25 &gt;= Assumptions!#REF!, "Florida", IF(A25 &gt;= Assumptions!$C$5, "Texas", IF(A25 &gt;= Assumptions!$C$6, "New York", IF(A25 &gt;= Assumptions!$C$7, "California", "")))))</f>
        <v>Virginia</v>
      </c>
      <c r="F25">
        <v>24</v>
      </c>
      <c r="G25" t="str">
        <f t="shared" si="0"/>
        <v>Virginia</v>
      </c>
      <c r="H25">
        <v>36</v>
      </c>
      <c r="I25" t="str">
        <f t="shared" si="1"/>
        <v>Florida</v>
      </c>
      <c r="J25">
        <v>36</v>
      </c>
      <c r="K25" t="str">
        <f t="shared" si="2"/>
        <v>Texas</v>
      </c>
      <c r="L25">
        <v>48</v>
      </c>
      <c r="M25" t="str">
        <f t="shared" si="3"/>
        <v>New York</v>
      </c>
      <c r="N25">
        <v>48</v>
      </c>
      <c r="O25" t="str">
        <f t="shared" si="4"/>
        <v>California</v>
      </c>
      <c r="Q25">
        <v>25</v>
      </c>
      <c r="R25">
        <v>37</v>
      </c>
      <c r="S25">
        <v>37</v>
      </c>
      <c r="T25">
        <v>49</v>
      </c>
      <c r="U25">
        <v>49</v>
      </c>
      <c r="V25" t="str">
        <v>Virginia</v>
      </c>
      <c r="W25" t="str">
        <v>Florida</v>
      </c>
      <c r="X25" t="str">
        <v>Texas</v>
      </c>
      <c r="Y25" t="str">
        <v>New York</v>
      </c>
      <c r="Z25" t="str">
        <v>California</v>
      </c>
      <c r="AA25" cm="1">
        <f t="array" ref="AA25">IF(INDEX($Q$1:$U$60, INT((ROW(A25)-1)/COLUMNS($Q$1:$U$60))+1, MOD(ROW(A25)-1, COLUMNS($Q$1:$U$60))+1)="", "", INDEX($Q$1:$U$60, INT((ROW(A25)-1)/COLUMNS($Q$1:$U$60))+1, MOD(ROW(A25)-1, COLUMNS($Q$1:$U$60))+1))</f>
        <v>29</v>
      </c>
      <c r="AB25" t="str" cm="1">
        <f t="array" ref="AB25">IF(INDEX($V$1:$Z$60, INT((ROW(A25)-1)/COLUMNS($V$1:$Z$60))+1, MOD(ROW(A25)-1, COLUMNS($V$1:$Z$60))+1)="", "", INDEX($V$1:$Z$60, INT((ROW(A25)-1)/COLUMNS($V$1:$Z$60))+1, MOD(ROW(A25)-1, COLUMNS($V$1:$Z$60))+1))</f>
        <v>California</v>
      </c>
    </row>
    <row r="26" spans="1:28">
      <c r="A26">
        <v>26</v>
      </c>
      <c r="B26" t="str">
        <f>IF(A26 &gt;= Assumptions!$C$3, "Virginia", IF(A26 &gt;= Assumptions!#REF!, "Florida", IF(A26 &gt;= Assumptions!$C$5, "Texas", IF(A26 &gt;= Assumptions!$C$6, "New York", IF(A26 &gt;= Assumptions!$C$7, "California", "")))))</f>
        <v>Virginia</v>
      </c>
      <c r="F26">
        <v>25</v>
      </c>
      <c r="G26" t="str">
        <f t="shared" si="0"/>
        <v>Virginia</v>
      </c>
      <c r="H26">
        <v>37</v>
      </c>
      <c r="I26" t="str">
        <f t="shared" si="1"/>
        <v>Florida</v>
      </c>
      <c r="J26">
        <v>37</v>
      </c>
      <c r="K26" t="str">
        <f t="shared" si="2"/>
        <v>Texas</v>
      </c>
      <c r="L26">
        <v>49</v>
      </c>
      <c r="M26" t="str">
        <f t="shared" si="3"/>
        <v>New York</v>
      </c>
      <c r="N26">
        <v>49</v>
      </c>
      <c r="O26" t="str">
        <f t="shared" si="4"/>
        <v>California</v>
      </c>
      <c r="Q26">
        <v>26</v>
      </c>
      <c r="R26">
        <v>38</v>
      </c>
      <c r="S26">
        <v>38</v>
      </c>
      <c r="T26">
        <v>50</v>
      </c>
      <c r="U26">
        <v>50</v>
      </c>
      <c r="V26" t="str">
        <v>Virginia</v>
      </c>
      <c r="W26" t="str">
        <v>Florida</v>
      </c>
      <c r="X26" t="str">
        <v>Texas</v>
      </c>
      <c r="Y26" t="str">
        <v>New York</v>
      </c>
      <c r="Z26" t="str">
        <v>California</v>
      </c>
      <c r="AA26" cm="1">
        <f t="array" ref="AA26">IF(INDEX($Q$1:$U$60, INT((ROW(A26)-1)/COLUMNS($Q$1:$U$60))+1, MOD(ROW(A26)-1, COLUMNS($Q$1:$U$60))+1)="", "", INDEX($Q$1:$U$60, INT((ROW(A26)-1)/COLUMNS($Q$1:$U$60))+1, MOD(ROW(A26)-1, COLUMNS($Q$1:$U$60))+1))</f>
        <v>6</v>
      </c>
      <c r="AB26" t="str" cm="1">
        <f t="array" ref="AB26">IF(INDEX($V$1:$Z$60, INT((ROW(A26)-1)/COLUMNS($V$1:$Z$60))+1, MOD(ROW(A26)-1, COLUMNS($V$1:$Z$60))+1)="", "", INDEX($V$1:$Z$60, INT((ROW(A26)-1)/COLUMNS($V$1:$Z$60))+1, MOD(ROW(A26)-1, COLUMNS($V$1:$Z$60))+1))</f>
        <v>Virginia</v>
      </c>
    </row>
    <row r="27" spans="1:28">
      <c r="A27">
        <v>27</v>
      </c>
      <c r="B27" t="str">
        <f>IF(A27 &gt;= Assumptions!$C$3, "Virginia", IF(A27 &gt;= Assumptions!#REF!, "Florida", IF(A27 &gt;= Assumptions!$C$5, "Texas", IF(A27 &gt;= Assumptions!$C$6, "New York", IF(A27 &gt;= Assumptions!$C$7, "California", "")))))</f>
        <v>Virginia</v>
      </c>
      <c r="F27">
        <v>26</v>
      </c>
      <c r="G27" t="str">
        <f t="shared" si="0"/>
        <v>Virginia</v>
      </c>
      <c r="H27">
        <v>38</v>
      </c>
      <c r="I27" t="str">
        <f t="shared" si="1"/>
        <v>Florida</v>
      </c>
      <c r="J27">
        <v>38</v>
      </c>
      <c r="K27" t="str">
        <f t="shared" si="2"/>
        <v>Texas</v>
      </c>
      <c r="L27">
        <v>50</v>
      </c>
      <c r="M27" t="str">
        <f t="shared" si="3"/>
        <v>New York</v>
      </c>
      <c r="N27">
        <v>50</v>
      </c>
      <c r="O27" t="str">
        <f t="shared" si="4"/>
        <v>California</v>
      </c>
      <c r="Q27">
        <v>27</v>
      </c>
      <c r="R27">
        <v>39</v>
      </c>
      <c r="S27">
        <v>39</v>
      </c>
      <c r="T27">
        <v>51</v>
      </c>
      <c r="U27">
        <v>51</v>
      </c>
      <c r="V27" t="str">
        <v>Virginia</v>
      </c>
      <c r="W27" t="str">
        <v>Florida</v>
      </c>
      <c r="X27" t="str">
        <v>Texas</v>
      </c>
      <c r="Y27" t="str">
        <v>New York</v>
      </c>
      <c r="Z27" t="str">
        <v>California</v>
      </c>
      <c r="AA27" cm="1">
        <f t="array" ref="AA27">IF(INDEX($Q$1:$U$60, INT((ROW(A27)-1)/COLUMNS($Q$1:$U$60))+1, MOD(ROW(A27)-1, COLUMNS($Q$1:$U$60))+1)="", "", INDEX($Q$1:$U$60, INT((ROW(A27)-1)/COLUMNS($Q$1:$U$60))+1, MOD(ROW(A27)-1, COLUMNS($Q$1:$U$60))+1))</f>
        <v>18</v>
      </c>
      <c r="AB27" t="str" cm="1">
        <f t="array" ref="AB27">IF(INDEX($V$1:$Z$60, INT((ROW(A27)-1)/COLUMNS($V$1:$Z$60))+1, MOD(ROW(A27)-1, COLUMNS($V$1:$Z$60))+1)="", "", INDEX($V$1:$Z$60, INT((ROW(A27)-1)/COLUMNS($V$1:$Z$60))+1, MOD(ROW(A27)-1, COLUMNS($V$1:$Z$60))+1))</f>
        <v>Florida</v>
      </c>
    </row>
    <row r="28" spans="1:28">
      <c r="A28">
        <v>28</v>
      </c>
      <c r="B28" t="str">
        <f>IF(A28 &gt;= Assumptions!$C$3, "Virginia", IF(A28 &gt;= Assumptions!#REF!, "Florida", IF(A28 &gt;= Assumptions!$C$5, "Texas", IF(A28 &gt;= Assumptions!$C$6, "New York", IF(A28 &gt;= Assumptions!$C$7, "California", "")))))</f>
        <v>Virginia</v>
      </c>
      <c r="F28">
        <v>27</v>
      </c>
      <c r="G28" t="str">
        <f t="shared" si="0"/>
        <v>Virginia</v>
      </c>
      <c r="H28">
        <v>39</v>
      </c>
      <c r="I28" t="str">
        <f t="shared" si="1"/>
        <v>Florida</v>
      </c>
      <c r="J28">
        <v>39</v>
      </c>
      <c r="K28" t="str">
        <f t="shared" si="2"/>
        <v>Texas</v>
      </c>
      <c r="L28">
        <v>51</v>
      </c>
      <c r="M28" t="str">
        <f t="shared" si="3"/>
        <v>New York</v>
      </c>
      <c r="N28">
        <v>51</v>
      </c>
      <c r="O28" t="str">
        <f t="shared" si="4"/>
        <v>California</v>
      </c>
      <c r="Q28">
        <v>28</v>
      </c>
      <c r="R28">
        <v>40</v>
      </c>
      <c r="S28">
        <v>40</v>
      </c>
      <c r="T28">
        <v>52</v>
      </c>
      <c r="U28">
        <v>52</v>
      </c>
      <c r="V28" t="str">
        <v>Virginia</v>
      </c>
      <c r="W28" t="str">
        <v>Florida</v>
      </c>
      <c r="X28" t="str">
        <v>Texas</v>
      </c>
      <c r="Y28" t="str">
        <v>New York</v>
      </c>
      <c r="Z28" t="str">
        <v>California</v>
      </c>
      <c r="AA28" cm="1">
        <f t="array" ref="AA28">IF(INDEX($Q$1:$U$60, INT((ROW(A28)-1)/COLUMNS($Q$1:$U$60))+1, MOD(ROW(A28)-1, COLUMNS($Q$1:$U$60))+1)="", "", INDEX($Q$1:$U$60, INT((ROW(A28)-1)/COLUMNS($Q$1:$U$60))+1, MOD(ROW(A28)-1, COLUMNS($Q$1:$U$60))+1))</f>
        <v>18</v>
      </c>
      <c r="AB28" t="str" cm="1">
        <f t="array" ref="AB28">IF(INDEX($V$1:$Z$60, INT((ROW(A28)-1)/COLUMNS($V$1:$Z$60))+1, MOD(ROW(A28)-1, COLUMNS($V$1:$Z$60))+1)="", "", INDEX($V$1:$Z$60, INT((ROW(A28)-1)/COLUMNS($V$1:$Z$60))+1, MOD(ROW(A28)-1, COLUMNS($V$1:$Z$60))+1))</f>
        <v>Texas</v>
      </c>
    </row>
    <row r="29" spans="1:28">
      <c r="A29">
        <v>29</v>
      </c>
      <c r="B29" t="str">
        <f>IF(A29 &gt;= Assumptions!$C$3, "Virginia", IF(A29 &gt;= Assumptions!#REF!, "Florida", IF(A29 &gt;= Assumptions!$C$5, "Texas", IF(A29 &gt;= Assumptions!$C$6, "New York", IF(A29 &gt;= Assumptions!$C$7, "California", "")))))</f>
        <v>Virginia</v>
      </c>
      <c r="F29">
        <v>28</v>
      </c>
      <c r="G29" t="str">
        <f t="shared" si="0"/>
        <v>Virginia</v>
      </c>
      <c r="H29">
        <v>40</v>
      </c>
      <c r="I29" t="str">
        <f t="shared" si="1"/>
        <v>Florida</v>
      </c>
      <c r="J29">
        <v>40</v>
      </c>
      <c r="K29" t="str">
        <f t="shared" si="2"/>
        <v>Texas</v>
      </c>
      <c r="L29">
        <v>52</v>
      </c>
      <c r="M29" t="str">
        <f t="shared" si="3"/>
        <v>New York</v>
      </c>
      <c r="N29">
        <v>52</v>
      </c>
      <c r="O29" t="str">
        <f t="shared" si="4"/>
        <v>California</v>
      </c>
      <c r="Q29">
        <v>29</v>
      </c>
      <c r="R29">
        <v>41</v>
      </c>
      <c r="S29">
        <v>41</v>
      </c>
      <c r="T29">
        <v>53</v>
      </c>
      <c r="U29">
        <v>53</v>
      </c>
      <c r="V29" t="str">
        <v>Virginia</v>
      </c>
      <c r="W29" t="str">
        <v>Florida</v>
      </c>
      <c r="X29" t="str">
        <v>Texas</v>
      </c>
      <c r="Y29" t="str">
        <v>New York</v>
      </c>
      <c r="Z29" t="str">
        <v>California</v>
      </c>
      <c r="AA29" cm="1">
        <f t="array" ref="AA29">IF(INDEX($Q$1:$U$60, INT((ROW(A29)-1)/COLUMNS($Q$1:$U$60))+1, MOD(ROW(A29)-1, COLUMNS($Q$1:$U$60))+1)="", "", INDEX($Q$1:$U$60, INT((ROW(A29)-1)/COLUMNS($Q$1:$U$60))+1, MOD(ROW(A29)-1, COLUMNS($Q$1:$U$60))+1))</f>
        <v>30</v>
      </c>
      <c r="AB29" t="str" cm="1">
        <f t="array" ref="AB29">IF(INDEX($V$1:$Z$60, INT((ROW(A29)-1)/COLUMNS($V$1:$Z$60))+1, MOD(ROW(A29)-1, COLUMNS($V$1:$Z$60))+1)="", "", INDEX($V$1:$Z$60, INT((ROW(A29)-1)/COLUMNS($V$1:$Z$60))+1, MOD(ROW(A29)-1, COLUMNS($V$1:$Z$60))+1))</f>
        <v>New York</v>
      </c>
    </row>
    <row r="30" spans="1:28">
      <c r="A30">
        <v>30</v>
      </c>
      <c r="B30" t="str">
        <f>IF(A30 &gt;= Assumptions!$C$3, "Virginia", IF(A30 &gt;= Assumptions!#REF!, "Florida", IF(A30 &gt;= Assumptions!$C$5, "Texas", IF(A30 &gt;= Assumptions!$C$6, "New York", IF(A30 &gt;= Assumptions!$C$7, "California", "")))))</f>
        <v>Virginia</v>
      </c>
      <c r="F30">
        <v>29</v>
      </c>
      <c r="G30" t="str">
        <f t="shared" si="0"/>
        <v>Virginia</v>
      </c>
      <c r="H30">
        <v>41</v>
      </c>
      <c r="I30" t="str">
        <f t="shared" si="1"/>
        <v>Florida</v>
      </c>
      <c r="J30">
        <v>41</v>
      </c>
      <c r="K30" t="str">
        <f t="shared" si="2"/>
        <v>Texas</v>
      </c>
      <c r="L30">
        <v>53</v>
      </c>
      <c r="M30" t="str">
        <f t="shared" si="3"/>
        <v>New York</v>
      </c>
      <c r="N30">
        <v>53</v>
      </c>
      <c r="O30" t="str">
        <f t="shared" si="4"/>
        <v>California</v>
      </c>
      <c r="Q30">
        <v>30</v>
      </c>
      <c r="R30">
        <v>42</v>
      </c>
      <c r="S30">
        <v>42</v>
      </c>
      <c r="T30">
        <v>54</v>
      </c>
      <c r="U30">
        <v>54</v>
      </c>
      <c r="V30" t="str">
        <v>Virginia</v>
      </c>
      <c r="W30" t="str">
        <v>Florida</v>
      </c>
      <c r="X30" t="str">
        <v>Texas</v>
      </c>
      <c r="Y30" t="str">
        <v>New York</v>
      </c>
      <c r="Z30" t="str">
        <v>California</v>
      </c>
      <c r="AA30" cm="1">
        <f t="array" ref="AA30">IF(INDEX($Q$1:$U$60, INT((ROW(A30)-1)/COLUMNS($Q$1:$U$60))+1, MOD(ROW(A30)-1, COLUMNS($Q$1:$U$60))+1)="", "", INDEX($Q$1:$U$60, INT((ROW(A30)-1)/COLUMNS($Q$1:$U$60))+1, MOD(ROW(A30)-1, COLUMNS($Q$1:$U$60))+1))</f>
        <v>30</v>
      </c>
      <c r="AB30" t="str" cm="1">
        <f t="array" ref="AB30">IF(INDEX($V$1:$Z$60, INT((ROW(A30)-1)/COLUMNS($V$1:$Z$60))+1, MOD(ROW(A30)-1, COLUMNS($V$1:$Z$60))+1)="", "", INDEX($V$1:$Z$60, INT((ROW(A30)-1)/COLUMNS($V$1:$Z$60))+1, MOD(ROW(A30)-1, COLUMNS($V$1:$Z$60))+1))</f>
        <v>California</v>
      </c>
    </row>
    <row r="31" spans="1:28">
      <c r="A31">
        <v>31</v>
      </c>
      <c r="B31" t="str">
        <f>IF(A31 &gt;= Assumptions!$C$3, "Virginia", IF(A31 &gt;= Assumptions!#REF!, "Florida", IF(A31 &gt;= Assumptions!$C$5, "Texas", IF(A31 &gt;= Assumptions!$C$6, "New York", IF(A31 &gt;= Assumptions!$C$7, "California", "")))))</f>
        <v>Virginia</v>
      </c>
      <c r="F31">
        <v>30</v>
      </c>
      <c r="G31" t="str">
        <f t="shared" si="0"/>
        <v>Virginia</v>
      </c>
      <c r="H31">
        <v>42</v>
      </c>
      <c r="I31" t="str">
        <f t="shared" si="1"/>
        <v>Florida</v>
      </c>
      <c r="J31">
        <v>42</v>
      </c>
      <c r="K31" t="str">
        <f t="shared" si="2"/>
        <v>Texas</v>
      </c>
      <c r="L31">
        <v>54</v>
      </c>
      <c r="M31" t="str">
        <f t="shared" si="3"/>
        <v>New York</v>
      </c>
      <c r="N31">
        <v>54</v>
      </c>
      <c r="O31" t="str">
        <f t="shared" si="4"/>
        <v>California</v>
      </c>
      <c r="Q31">
        <v>31</v>
      </c>
      <c r="R31">
        <v>43</v>
      </c>
      <c r="S31">
        <v>43</v>
      </c>
      <c r="T31">
        <v>55</v>
      </c>
      <c r="U31">
        <v>55</v>
      </c>
      <c r="V31" t="str">
        <v>Virginia</v>
      </c>
      <c r="W31" t="str">
        <v>Florida</v>
      </c>
      <c r="X31" t="str">
        <v>Texas</v>
      </c>
      <c r="Y31" t="str">
        <v>New York</v>
      </c>
      <c r="Z31" t="str">
        <v>California</v>
      </c>
      <c r="AA31" cm="1">
        <f t="array" ref="AA31">IF(INDEX($Q$1:$U$60, INT((ROW(A31)-1)/COLUMNS($Q$1:$U$60))+1, MOD(ROW(A31)-1, COLUMNS($Q$1:$U$60))+1)="", "", INDEX($Q$1:$U$60, INT((ROW(A31)-1)/COLUMNS($Q$1:$U$60))+1, MOD(ROW(A31)-1, COLUMNS($Q$1:$U$60))+1))</f>
        <v>7</v>
      </c>
      <c r="AB31" t="str" cm="1">
        <f t="array" ref="AB31">IF(INDEX($V$1:$Z$60, INT((ROW(A31)-1)/COLUMNS($V$1:$Z$60))+1, MOD(ROW(A31)-1, COLUMNS($V$1:$Z$60))+1)="", "", INDEX($V$1:$Z$60, INT((ROW(A31)-1)/COLUMNS($V$1:$Z$60))+1, MOD(ROW(A31)-1, COLUMNS($V$1:$Z$60))+1))</f>
        <v>Virginia</v>
      </c>
    </row>
    <row r="32" spans="1:28">
      <c r="A32">
        <v>32</v>
      </c>
      <c r="B32" t="str">
        <f>IF(A32 &gt;= Assumptions!$C$3, "Virginia", IF(A32 &gt;= Assumptions!#REF!, "Florida", IF(A32 &gt;= Assumptions!$C$5, "Texas", IF(A32 &gt;= Assumptions!$C$6, "New York", IF(A32 &gt;= Assumptions!$C$7, "California", "")))))</f>
        <v>Virginia</v>
      </c>
      <c r="F32">
        <v>31</v>
      </c>
      <c r="G32" t="str">
        <f t="shared" si="0"/>
        <v>Virginia</v>
      </c>
      <c r="H32">
        <v>43</v>
      </c>
      <c r="I32" t="str">
        <f t="shared" si="1"/>
        <v>Florida</v>
      </c>
      <c r="J32">
        <v>43</v>
      </c>
      <c r="K32" t="str">
        <f t="shared" si="2"/>
        <v>Texas</v>
      </c>
      <c r="L32">
        <v>55</v>
      </c>
      <c r="M32" t="str">
        <f t="shared" si="3"/>
        <v>New York</v>
      </c>
      <c r="N32">
        <v>55</v>
      </c>
      <c r="O32" t="str">
        <f t="shared" si="4"/>
        <v>California</v>
      </c>
      <c r="Q32">
        <v>32</v>
      </c>
      <c r="R32">
        <v>44</v>
      </c>
      <c r="S32">
        <v>44</v>
      </c>
      <c r="T32">
        <v>56</v>
      </c>
      <c r="U32">
        <v>56</v>
      </c>
      <c r="V32" t="str">
        <v>Virginia</v>
      </c>
      <c r="W32" t="str">
        <v>Florida</v>
      </c>
      <c r="X32" t="str">
        <v>Texas</v>
      </c>
      <c r="Y32" t="str">
        <v>New York</v>
      </c>
      <c r="Z32" t="str">
        <v>California</v>
      </c>
      <c r="AA32" cm="1">
        <f t="array" ref="AA32">IF(INDEX($Q$1:$U$60, INT((ROW(A32)-1)/COLUMNS($Q$1:$U$60))+1, MOD(ROW(A32)-1, COLUMNS($Q$1:$U$60))+1)="", "", INDEX($Q$1:$U$60, INT((ROW(A32)-1)/COLUMNS($Q$1:$U$60))+1, MOD(ROW(A32)-1, COLUMNS($Q$1:$U$60))+1))</f>
        <v>19</v>
      </c>
      <c r="AB32" t="str" cm="1">
        <f t="array" ref="AB32">IF(INDEX($V$1:$Z$60, INT((ROW(A32)-1)/COLUMNS($V$1:$Z$60))+1, MOD(ROW(A32)-1, COLUMNS($V$1:$Z$60))+1)="", "", INDEX($V$1:$Z$60, INT((ROW(A32)-1)/COLUMNS($V$1:$Z$60))+1, MOD(ROW(A32)-1, COLUMNS($V$1:$Z$60))+1))</f>
        <v>Florida</v>
      </c>
    </row>
    <row r="33" spans="1:28">
      <c r="A33">
        <v>33</v>
      </c>
      <c r="B33" t="str">
        <f>IF(A33 &gt;= Assumptions!$C$3, "Virginia", IF(A33 &gt;= Assumptions!#REF!, "Florida", IF(A33 &gt;= Assumptions!$C$5, "Texas", IF(A33 &gt;= Assumptions!$C$6, "New York", IF(A33 &gt;= Assumptions!$C$7, "California", "")))))</f>
        <v>Virginia</v>
      </c>
      <c r="F33">
        <v>32</v>
      </c>
      <c r="G33" t="str">
        <f t="shared" si="0"/>
        <v>Virginia</v>
      </c>
      <c r="H33">
        <v>44</v>
      </c>
      <c r="I33" t="str">
        <f t="shared" si="1"/>
        <v>Florida</v>
      </c>
      <c r="J33">
        <v>44</v>
      </c>
      <c r="K33" t="str">
        <f t="shared" si="2"/>
        <v>Texas</v>
      </c>
      <c r="L33">
        <v>56</v>
      </c>
      <c r="M33" t="str">
        <f t="shared" si="3"/>
        <v>New York</v>
      </c>
      <c r="N33">
        <v>56</v>
      </c>
      <c r="O33" t="str">
        <f t="shared" si="4"/>
        <v>California</v>
      </c>
      <c r="Q33">
        <v>33</v>
      </c>
      <c r="R33">
        <v>45</v>
      </c>
      <c r="S33">
        <v>45</v>
      </c>
      <c r="T33">
        <v>57</v>
      </c>
      <c r="U33">
        <v>57</v>
      </c>
      <c r="V33" t="str">
        <v>Virginia</v>
      </c>
      <c r="W33" t="str">
        <v>Florida</v>
      </c>
      <c r="X33" t="str">
        <v>Texas</v>
      </c>
      <c r="Y33" t="str">
        <v>New York</v>
      </c>
      <c r="Z33" t="str">
        <v>California</v>
      </c>
      <c r="AA33" cm="1">
        <f t="array" ref="AA33">IF(INDEX($Q$1:$U$60, INT((ROW(A33)-1)/COLUMNS($Q$1:$U$60))+1, MOD(ROW(A33)-1, COLUMNS($Q$1:$U$60))+1)="", "", INDEX($Q$1:$U$60, INT((ROW(A33)-1)/COLUMNS($Q$1:$U$60))+1, MOD(ROW(A33)-1, COLUMNS($Q$1:$U$60))+1))</f>
        <v>19</v>
      </c>
      <c r="AB33" t="str" cm="1">
        <f t="array" ref="AB33">IF(INDEX($V$1:$Z$60, INT((ROW(A33)-1)/COLUMNS($V$1:$Z$60))+1, MOD(ROW(A33)-1, COLUMNS($V$1:$Z$60))+1)="", "", INDEX($V$1:$Z$60, INT((ROW(A33)-1)/COLUMNS($V$1:$Z$60))+1, MOD(ROW(A33)-1, COLUMNS($V$1:$Z$60))+1))</f>
        <v>Texas</v>
      </c>
    </row>
    <row r="34" spans="1:28">
      <c r="A34">
        <v>34</v>
      </c>
      <c r="B34" t="str">
        <f>IF(A34 &gt;= Assumptions!$C$3, "Virginia", IF(A34 &gt;= Assumptions!#REF!, "Florida", IF(A34 &gt;= Assumptions!$C$5, "Texas", IF(A34 &gt;= Assumptions!$C$6, "New York", IF(A34 &gt;= Assumptions!$C$7, "California", "")))))</f>
        <v>Virginia</v>
      </c>
      <c r="F34">
        <v>33</v>
      </c>
      <c r="G34" t="str">
        <f t="shared" si="0"/>
        <v>Virginia</v>
      </c>
      <c r="H34">
        <v>45</v>
      </c>
      <c r="I34" t="str">
        <f t="shared" si="1"/>
        <v>Florida</v>
      </c>
      <c r="J34">
        <v>45</v>
      </c>
      <c r="K34" t="str">
        <f t="shared" si="2"/>
        <v>Texas</v>
      </c>
      <c r="L34">
        <v>57</v>
      </c>
      <c r="M34" t="str">
        <f t="shared" si="3"/>
        <v>New York</v>
      </c>
      <c r="N34">
        <v>57</v>
      </c>
      <c r="O34" t="str">
        <f t="shared" si="4"/>
        <v>California</v>
      </c>
      <c r="Q34">
        <v>34</v>
      </c>
      <c r="R34">
        <v>46</v>
      </c>
      <c r="S34">
        <v>46</v>
      </c>
      <c r="T34">
        <v>58</v>
      </c>
      <c r="U34">
        <v>58</v>
      </c>
      <c r="V34" t="str">
        <v>Virginia</v>
      </c>
      <c r="W34" t="str">
        <v>Florida</v>
      </c>
      <c r="X34" t="str">
        <v>Texas</v>
      </c>
      <c r="Y34" t="str">
        <v>New York</v>
      </c>
      <c r="Z34" t="str">
        <v>California</v>
      </c>
      <c r="AA34" cm="1">
        <f t="array" ref="AA34">IF(INDEX($Q$1:$U$60, INT((ROW(A34)-1)/COLUMNS($Q$1:$U$60))+1, MOD(ROW(A34)-1, COLUMNS($Q$1:$U$60))+1)="", "", INDEX($Q$1:$U$60, INT((ROW(A34)-1)/COLUMNS($Q$1:$U$60))+1, MOD(ROW(A34)-1, COLUMNS($Q$1:$U$60))+1))</f>
        <v>31</v>
      </c>
      <c r="AB34" t="str" cm="1">
        <f t="array" ref="AB34">IF(INDEX($V$1:$Z$60, INT((ROW(A34)-1)/COLUMNS($V$1:$Z$60))+1, MOD(ROW(A34)-1, COLUMNS($V$1:$Z$60))+1)="", "", INDEX($V$1:$Z$60, INT((ROW(A34)-1)/COLUMNS($V$1:$Z$60))+1, MOD(ROW(A34)-1, COLUMNS($V$1:$Z$60))+1))</f>
        <v>New York</v>
      </c>
    </row>
    <row r="35" spans="1:28">
      <c r="A35">
        <v>35</v>
      </c>
      <c r="B35" t="str">
        <f>IF(A35 &gt;= Assumptions!$C$3, "Virginia", IF(A35 &gt;= Assumptions!#REF!, "Florida", IF(A35 &gt;= Assumptions!$C$5, "Texas", IF(A35 &gt;= Assumptions!$C$6, "New York", IF(A35 &gt;= Assumptions!$C$7, "California", "")))))</f>
        <v>Virginia</v>
      </c>
      <c r="F35">
        <v>34</v>
      </c>
      <c r="G35" t="str">
        <f t="shared" si="0"/>
        <v>Virginia</v>
      </c>
      <c r="H35">
        <v>46</v>
      </c>
      <c r="I35" t="str">
        <f t="shared" si="1"/>
        <v>Florida</v>
      </c>
      <c r="J35">
        <v>46</v>
      </c>
      <c r="K35" t="str">
        <f t="shared" si="2"/>
        <v>Texas</v>
      </c>
      <c r="L35">
        <v>58</v>
      </c>
      <c r="M35" t="str">
        <f t="shared" si="3"/>
        <v>New York</v>
      </c>
      <c r="N35">
        <v>58</v>
      </c>
      <c r="O35" t="str">
        <f t="shared" si="4"/>
        <v>California</v>
      </c>
      <c r="Q35">
        <v>35</v>
      </c>
      <c r="R35">
        <v>47</v>
      </c>
      <c r="S35">
        <v>47</v>
      </c>
      <c r="T35">
        <v>59</v>
      </c>
      <c r="U35">
        <v>59</v>
      </c>
      <c r="V35" t="str">
        <v>Virginia</v>
      </c>
      <c r="W35" t="str">
        <v>Florida</v>
      </c>
      <c r="X35" t="str">
        <v>Texas</v>
      </c>
      <c r="Y35" t="str">
        <v>New York</v>
      </c>
      <c r="Z35" t="str">
        <v>California</v>
      </c>
      <c r="AA35" cm="1">
        <f t="array" ref="AA35">IF(INDEX($Q$1:$U$60, INT((ROW(A35)-1)/COLUMNS($Q$1:$U$60))+1, MOD(ROW(A35)-1, COLUMNS($Q$1:$U$60))+1)="", "", INDEX($Q$1:$U$60, INT((ROW(A35)-1)/COLUMNS($Q$1:$U$60))+1, MOD(ROW(A35)-1, COLUMNS($Q$1:$U$60))+1))</f>
        <v>31</v>
      </c>
      <c r="AB35" t="str" cm="1">
        <f t="array" ref="AB35">IF(INDEX($V$1:$Z$60, INT((ROW(A35)-1)/COLUMNS($V$1:$Z$60))+1, MOD(ROW(A35)-1, COLUMNS($V$1:$Z$60))+1)="", "", INDEX($V$1:$Z$60, INT((ROW(A35)-1)/COLUMNS($V$1:$Z$60))+1, MOD(ROW(A35)-1, COLUMNS($V$1:$Z$60))+1))</f>
        <v>California</v>
      </c>
    </row>
    <row r="36" spans="1:28">
      <c r="A36">
        <v>36</v>
      </c>
      <c r="B36" t="str">
        <f>IF(A36 &gt;= Assumptions!$C$3, "Virginia", IF(A36 &gt;= Assumptions!#REF!, "Florida", IF(A36 &gt;= Assumptions!$C$5, "Texas", IF(A36 &gt;= Assumptions!$C$6, "New York", IF(A36 &gt;= Assumptions!$C$7, "California", "")))))</f>
        <v>Virginia</v>
      </c>
      <c r="F36">
        <v>35</v>
      </c>
      <c r="G36" t="str">
        <f t="shared" si="0"/>
        <v>Virginia</v>
      </c>
      <c r="H36">
        <v>47</v>
      </c>
      <c r="I36" t="str">
        <f t="shared" si="1"/>
        <v>Florida</v>
      </c>
      <c r="J36">
        <v>47</v>
      </c>
      <c r="K36" t="str">
        <f t="shared" si="2"/>
        <v>Texas</v>
      </c>
      <c r="L36">
        <v>59</v>
      </c>
      <c r="M36" t="str">
        <f t="shared" si="3"/>
        <v>New York</v>
      </c>
      <c r="N36">
        <v>59</v>
      </c>
      <c r="O36" t="str">
        <f t="shared" si="4"/>
        <v>California</v>
      </c>
      <c r="Q36">
        <v>36</v>
      </c>
      <c r="R36">
        <v>48</v>
      </c>
      <c r="S36">
        <v>48</v>
      </c>
      <c r="T36">
        <v>60</v>
      </c>
      <c r="U36">
        <v>60</v>
      </c>
      <c r="V36" t="str">
        <v>Virginia</v>
      </c>
      <c r="W36" t="str">
        <v>Florida</v>
      </c>
      <c r="X36" t="str">
        <v>Texas</v>
      </c>
      <c r="Y36" t="str">
        <v>New York</v>
      </c>
      <c r="Z36" t="str">
        <v>California</v>
      </c>
      <c r="AA36" cm="1">
        <f t="array" ref="AA36">IF(INDEX($Q$1:$U$60, INT((ROW(A36)-1)/COLUMNS($Q$1:$U$60))+1, MOD(ROW(A36)-1, COLUMNS($Q$1:$U$60))+1)="", "", INDEX($Q$1:$U$60, INT((ROW(A36)-1)/COLUMNS($Q$1:$U$60))+1, MOD(ROW(A36)-1, COLUMNS($Q$1:$U$60))+1))</f>
        <v>8</v>
      </c>
      <c r="AB36" t="str" cm="1">
        <f t="array" ref="AB36">IF(INDEX($V$1:$Z$60, INT((ROW(A36)-1)/COLUMNS($V$1:$Z$60))+1, MOD(ROW(A36)-1, COLUMNS($V$1:$Z$60))+1)="", "", INDEX($V$1:$Z$60, INT((ROW(A36)-1)/COLUMNS($V$1:$Z$60))+1, MOD(ROW(A36)-1, COLUMNS($V$1:$Z$60))+1))</f>
        <v>Virginia</v>
      </c>
    </row>
    <row r="37" spans="1:28">
      <c r="A37">
        <v>37</v>
      </c>
      <c r="B37" t="str">
        <f>IF(A37 &gt;= Assumptions!$C$3, "Virginia", IF(A37 &gt;= Assumptions!#REF!, "Florida", IF(A37 &gt;= Assumptions!$C$5, "Texas", IF(A37 &gt;= Assumptions!$C$6, "New York", IF(A37 &gt;= Assumptions!$C$7, "California", "")))))</f>
        <v>Virginia</v>
      </c>
      <c r="F37">
        <v>36</v>
      </c>
      <c r="G37" t="str">
        <f t="shared" si="0"/>
        <v>Virginia</v>
      </c>
      <c r="H37">
        <v>48</v>
      </c>
      <c r="I37" t="str">
        <f t="shared" si="1"/>
        <v>Florida</v>
      </c>
      <c r="J37">
        <v>48</v>
      </c>
      <c r="K37" t="str">
        <f t="shared" si="2"/>
        <v>Texas</v>
      </c>
      <c r="L37">
        <v>60</v>
      </c>
      <c r="M37" t="str">
        <f t="shared" si="3"/>
        <v>New York</v>
      </c>
      <c r="N37">
        <v>60</v>
      </c>
      <c r="O37" t="str">
        <f t="shared" si="4"/>
        <v>California</v>
      </c>
      <c r="Q37">
        <v>37</v>
      </c>
      <c r="R37">
        <v>49</v>
      </c>
      <c r="S37">
        <v>49</v>
      </c>
      <c r="V37" t="str">
        <v>Virginia</v>
      </c>
      <c r="W37" t="str">
        <v>Florida</v>
      </c>
      <c r="X37" t="str">
        <v>Texas</v>
      </c>
      <c r="AA37" cm="1">
        <f t="array" ref="AA37">IF(INDEX($Q$1:$U$60, INT((ROW(A37)-1)/COLUMNS($Q$1:$U$60))+1, MOD(ROW(A37)-1, COLUMNS($Q$1:$U$60))+1)="", "", INDEX($Q$1:$U$60, INT((ROW(A37)-1)/COLUMNS($Q$1:$U$60))+1, MOD(ROW(A37)-1, COLUMNS($Q$1:$U$60))+1))</f>
        <v>20</v>
      </c>
      <c r="AB37" t="str" cm="1">
        <f t="array" ref="AB37">IF(INDEX($V$1:$Z$60, INT((ROW(A37)-1)/COLUMNS($V$1:$Z$60))+1, MOD(ROW(A37)-1, COLUMNS($V$1:$Z$60))+1)="", "", INDEX($V$1:$Z$60, INT((ROW(A37)-1)/COLUMNS($V$1:$Z$60))+1, MOD(ROW(A37)-1, COLUMNS($V$1:$Z$60))+1))</f>
        <v>Florida</v>
      </c>
    </row>
    <row r="38" spans="1:28">
      <c r="A38">
        <v>38</v>
      </c>
      <c r="B38" t="str">
        <f>IF(A38 &gt;= Assumptions!$C$3, "Virginia", IF(A38 &gt;= Assumptions!#REF!, "Florida", IF(A38 &gt;= Assumptions!$C$5, "Texas", IF(A38 &gt;= Assumptions!$C$6, "New York", IF(A38 &gt;= Assumptions!$C$7, "California", "")))))</f>
        <v>Virginia</v>
      </c>
      <c r="F38">
        <v>37</v>
      </c>
      <c r="G38" t="str">
        <f t="shared" si="0"/>
        <v>Virginia</v>
      </c>
      <c r="H38">
        <v>49</v>
      </c>
      <c r="I38" t="str">
        <f t="shared" si="1"/>
        <v>Florida</v>
      </c>
      <c r="J38">
        <v>49</v>
      </c>
      <c r="K38" t="str">
        <f t="shared" si="2"/>
        <v>Texas</v>
      </c>
      <c r="Q38">
        <v>38</v>
      </c>
      <c r="R38">
        <v>50</v>
      </c>
      <c r="S38">
        <v>50</v>
      </c>
      <c r="V38" t="str">
        <v>Virginia</v>
      </c>
      <c r="W38" t="str">
        <v>Florida</v>
      </c>
      <c r="X38" t="str">
        <v>Texas</v>
      </c>
      <c r="AA38" cm="1">
        <f t="array" ref="AA38">IF(INDEX($Q$1:$U$60, INT((ROW(A38)-1)/COLUMNS($Q$1:$U$60))+1, MOD(ROW(A38)-1, COLUMNS($Q$1:$U$60))+1)="", "", INDEX($Q$1:$U$60, INT((ROW(A38)-1)/COLUMNS($Q$1:$U$60))+1, MOD(ROW(A38)-1, COLUMNS($Q$1:$U$60))+1))</f>
        <v>20</v>
      </c>
      <c r="AB38" t="str" cm="1">
        <f t="array" ref="AB38">IF(INDEX($V$1:$Z$60, INT((ROW(A38)-1)/COLUMNS($V$1:$Z$60))+1, MOD(ROW(A38)-1, COLUMNS($V$1:$Z$60))+1)="", "", INDEX($V$1:$Z$60, INT((ROW(A38)-1)/COLUMNS($V$1:$Z$60))+1, MOD(ROW(A38)-1, COLUMNS($V$1:$Z$60))+1))</f>
        <v>Texas</v>
      </c>
    </row>
    <row r="39" spans="1:28">
      <c r="A39">
        <v>39</v>
      </c>
      <c r="B39" t="str">
        <f>IF(A39 &gt;= Assumptions!$C$3, "Virginia", IF(A39 &gt;= Assumptions!#REF!, "Florida", IF(A39 &gt;= Assumptions!$C$5, "Texas", IF(A39 &gt;= Assumptions!$C$6, "New York", IF(A39 &gt;= Assumptions!$C$7, "California", "")))))</f>
        <v>Virginia</v>
      </c>
      <c r="F39">
        <v>38</v>
      </c>
      <c r="G39" t="str">
        <f t="shared" si="0"/>
        <v>Virginia</v>
      </c>
      <c r="H39">
        <v>50</v>
      </c>
      <c r="I39" t="str">
        <f t="shared" si="1"/>
        <v>Florida</v>
      </c>
      <c r="J39">
        <v>50</v>
      </c>
      <c r="K39" t="str">
        <f t="shared" si="2"/>
        <v>Texas</v>
      </c>
      <c r="Q39">
        <v>39</v>
      </c>
      <c r="R39">
        <v>51</v>
      </c>
      <c r="S39">
        <v>51</v>
      </c>
      <c r="V39" t="str">
        <v>Virginia</v>
      </c>
      <c r="W39" t="str">
        <v>Florida</v>
      </c>
      <c r="X39" t="str">
        <v>Texas</v>
      </c>
      <c r="AA39" cm="1">
        <f t="array" ref="AA39">IF(INDEX($Q$1:$U$60, INT((ROW(A39)-1)/COLUMNS($Q$1:$U$60))+1, MOD(ROW(A39)-1, COLUMNS($Q$1:$U$60))+1)="", "", INDEX($Q$1:$U$60, INT((ROW(A39)-1)/COLUMNS($Q$1:$U$60))+1, MOD(ROW(A39)-1, COLUMNS($Q$1:$U$60))+1))</f>
        <v>32</v>
      </c>
      <c r="AB39" t="str" cm="1">
        <f t="array" ref="AB39">IF(INDEX($V$1:$Z$60, INT((ROW(A39)-1)/COLUMNS($V$1:$Z$60))+1, MOD(ROW(A39)-1, COLUMNS($V$1:$Z$60))+1)="", "", INDEX($V$1:$Z$60, INT((ROW(A39)-1)/COLUMNS($V$1:$Z$60))+1, MOD(ROW(A39)-1, COLUMNS($V$1:$Z$60))+1))</f>
        <v>New York</v>
      </c>
    </row>
    <row r="40" spans="1:28">
      <c r="A40">
        <v>40</v>
      </c>
      <c r="B40" t="str">
        <f>IF(A40 &gt;= Assumptions!$C$3, "Virginia", IF(A40 &gt;= Assumptions!#REF!, "Florida", IF(A40 &gt;= Assumptions!$C$5, "Texas", IF(A40 &gt;= Assumptions!$C$6, "New York", IF(A40 &gt;= Assumptions!$C$7, "California", "")))))</f>
        <v>Virginia</v>
      </c>
      <c r="F40">
        <v>39</v>
      </c>
      <c r="G40" t="str">
        <f t="shared" si="0"/>
        <v>Virginia</v>
      </c>
      <c r="H40">
        <v>51</v>
      </c>
      <c r="I40" t="str">
        <f t="shared" si="1"/>
        <v>Florida</v>
      </c>
      <c r="J40">
        <v>51</v>
      </c>
      <c r="K40" t="str">
        <f t="shared" si="2"/>
        <v>Texas</v>
      </c>
      <c r="Q40">
        <v>40</v>
      </c>
      <c r="R40">
        <v>52</v>
      </c>
      <c r="S40">
        <v>52</v>
      </c>
      <c r="V40" t="str">
        <v>Virginia</v>
      </c>
      <c r="W40" t="str">
        <v>Florida</v>
      </c>
      <c r="X40" t="str">
        <v>Texas</v>
      </c>
      <c r="AA40" cm="1">
        <f t="array" ref="AA40">IF(INDEX($Q$1:$U$60, INT((ROW(A40)-1)/COLUMNS($Q$1:$U$60))+1, MOD(ROW(A40)-1, COLUMNS($Q$1:$U$60))+1)="", "", INDEX($Q$1:$U$60, INT((ROW(A40)-1)/COLUMNS($Q$1:$U$60))+1, MOD(ROW(A40)-1, COLUMNS($Q$1:$U$60))+1))</f>
        <v>32</v>
      </c>
      <c r="AB40" t="str" cm="1">
        <f t="array" ref="AB40">IF(INDEX($V$1:$Z$60, INT((ROW(A40)-1)/COLUMNS($V$1:$Z$60))+1, MOD(ROW(A40)-1, COLUMNS($V$1:$Z$60))+1)="", "", INDEX($V$1:$Z$60, INT((ROW(A40)-1)/COLUMNS($V$1:$Z$60))+1, MOD(ROW(A40)-1, COLUMNS($V$1:$Z$60))+1))</f>
        <v>California</v>
      </c>
    </row>
    <row r="41" spans="1:28">
      <c r="A41">
        <v>41</v>
      </c>
      <c r="B41" t="str">
        <f>IF(A41 &gt;= Assumptions!$C$3, "Virginia", IF(A41 &gt;= Assumptions!#REF!, "Florida", IF(A41 &gt;= Assumptions!$C$5, "Texas", IF(A41 &gt;= Assumptions!$C$6, "New York", IF(A41 &gt;= Assumptions!$C$7, "California", "")))))</f>
        <v>Virginia</v>
      </c>
      <c r="F41">
        <v>40</v>
      </c>
      <c r="G41" t="str">
        <f t="shared" si="0"/>
        <v>Virginia</v>
      </c>
      <c r="H41">
        <v>52</v>
      </c>
      <c r="I41" t="str">
        <f t="shared" si="1"/>
        <v>Florida</v>
      </c>
      <c r="J41">
        <v>52</v>
      </c>
      <c r="K41" t="str">
        <f t="shared" si="2"/>
        <v>Texas</v>
      </c>
      <c r="Q41">
        <v>41</v>
      </c>
      <c r="R41">
        <v>53</v>
      </c>
      <c r="S41">
        <v>53</v>
      </c>
      <c r="V41" t="str">
        <v>Virginia</v>
      </c>
      <c r="W41" t="str">
        <v>Florida</v>
      </c>
      <c r="X41" t="str">
        <v>Texas</v>
      </c>
      <c r="AA41" cm="1">
        <f t="array" ref="AA41">IF(INDEX($Q$1:$U$60, INT((ROW(A41)-1)/COLUMNS($Q$1:$U$60))+1, MOD(ROW(A41)-1, COLUMNS($Q$1:$U$60))+1)="", "", INDEX($Q$1:$U$60, INT((ROW(A41)-1)/COLUMNS($Q$1:$U$60))+1, MOD(ROW(A41)-1, COLUMNS($Q$1:$U$60))+1))</f>
        <v>9</v>
      </c>
      <c r="AB41" t="str" cm="1">
        <f t="array" ref="AB41">IF(INDEX($V$1:$Z$60, INT((ROW(A41)-1)/COLUMNS($V$1:$Z$60))+1, MOD(ROW(A41)-1, COLUMNS($V$1:$Z$60))+1)="", "", INDEX($V$1:$Z$60, INT((ROW(A41)-1)/COLUMNS($V$1:$Z$60))+1, MOD(ROW(A41)-1, COLUMNS($V$1:$Z$60))+1))</f>
        <v>Virginia</v>
      </c>
    </row>
    <row r="42" spans="1:28">
      <c r="A42">
        <v>42</v>
      </c>
      <c r="B42" t="str">
        <f>IF(A42 &gt;= Assumptions!$C$3, "Virginia", IF(A42 &gt;= Assumptions!#REF!, "Florida", IF(A42 &gt;= Assumptions!$C$5, "Texas", IF(A42 &gt;= Assumptions!$C$6, "New York", IF(A42 &gt;= Assumptions!$C$7, "California", "")))))</f>
        <v>Virginia</v>
      </c>
      <c r="F42">
        <v>41</v>
      </c>
      <c r="G42" t="str">
        <f t="shared" si="0"/>
        <v>Virginia</v>
      </c>
      <c r="H42">
        <v>53</v>
      </c>
      <c r="I42" t="str">
        <f t="shared" si="1"/>
        <v>Florida</v>
      </c>
      <c r="J42">
        <v>53</v>
      </c>
      <c r="K42" t="str">
        <f t="shared" si="2"/>
        <v>Texas</v>
      </c>
      <c r="Q42">
        <v>42</v>
      </c>
      <c r="R42">
        <v>54</v>
      </c>
      <c r="S42">
        <v>54</v>
      </c>
      <c r="V42" t="str">
        <v>Virginia</v>
      </c>
      <c r="W42" t="str">
        <v>Florida</v>
      </c>
      <c r="X42" t="str">
        <v>Texas</v>
      </c>
      <c r="AA42" cm="1">
        <f t="array" ref="AA42">IF(INDEX($Q$1:$U$60, INT((ROW(A42)-1)/COLUMNS($Q$1:$U$60))+1, MOD(ROW(A42)-1, COLUMNS($Q$1:$U$60))+1)="", "", INDEX($Q$1:$U$60, INT((ROW(A42)-1)/COLUMNS($Q$1:$U$60))+1, MOD(ROW(A42)-1, COLUMNS($Q$1:$U$60))+1))</f>
        <v>21</v>
      </c>
      <c r="AB42" t="str" cm="1">
        <f t="array" ref="AB42">IF(INDEX($V$1:$Z$60, INT((ROW(A42)-1)/COLUMNS($V$1:$Z$60))+1, MOD(ROW(A42)-1, COLUMNS($V$1:$Z$60))+1)="", "", INDEX($V$1:$Z$60, INT((ROW(A42)-1)/COLUMNS($V$1:$Z$60))+1, MOD(ROW(A42)-1, COLUMNS($V$1:$Z$60))+1))</f>
        <v>Florida</v>
      </c>
    </row>
    <row r="43" spans="1:28">
      <c r="A43">
        <v>43</v>
      </c>
      <c r="B43" t="str">
        <f>IF(A43 &gt;= Assumptions!$C$3, "Virginia", IF(A43 &gt;= Assumptions!#REF!, "Florida", IF(A43 &gt;= Assumptions!$C$5, "Texas", IF(A43 &gt;= Assumptions!$C$6, "New York", IF(A43 &gt;= Assumptions!$C$7, "California", "")))))</f>
        <v>Virginia</v>
      </c>
      <c r="F43">
        <v>42</v>
      </c>
      <c r="G43" t="str">
        <f t="shared" si="0"/>
        <v>Virginia</v>
      </c>
      <c r="H43">
        <v>54</v>
      </c>
      <c r="I43" t="str">
        <f t="shared" si="1"/>
        <v>Florida</v>
      </c>
      <c r="J43">
        <v>54</v>
      </c>
      <c r="K43" t="str">
        <f t="shared" si="2"/>
        <v>Texas</v>
      </c>
      <c r="Q43">
        <v>43</v>
      </c>
      <c r="R43">
        <v>55</v>
      </c>
      <c r="S43">
        <v>55</v>
      </c>
      <c r="V43" t="str">
        <v>Virginia</v>
      </c>
      <c r="W43" t="str">
        <v>Florida</v>
      </c>
      <c r="X43" t="str">
        <v>Texas</v>
      </c>
      <c r="AA43" cm="1">
        <f t="array" ref="AA43">IF(INDEX($Q$1:$U$60, INT((ROW(A43)-1)/COLUMNS($Q$1:$U$60))+1, MOD(ROW(A43)-1, COLUMNS($Q$1:$U$60))+1)="", "", INDEX($Q$1:$U$60, INT((ROW(A43)-1)/COLUMNS($Q$1:$U$60))+1, MOD(ROW(A43)-1, COLUMNS($Q$1:$U$60))+1))</f>
        <v>21</v>
      </c>
      <c r="AB43" t="str" cm="1">
        <f t="array" ref="AB43">IF(INDEX($V$1:$Z$60, INT((ROW(A43)-1)/COLUMNS($V$1:$Z$60))+1, MOD(ROW(A43)-1, COLUMNS($V$1:$Z$60))+1)="", "", INDEX($V$1:$Z$60, INT((ROW(A43)-1)/COLUMNS($V$1:$Z$60))+1, MOD(ROW(A43)-1, COLUMNS($V$1:$Z$60))+1))</f>
        <v>Texas</v>
      </c>
    </row>
    <row r="44" spans="1:28">
      <c r="A44">
        <v>44</v>
      </c>
      <c r="B44" t="str">
        <f>IF(A44 &gt;= Assumptions!$C$3, "Virginia", IF(A44 &gt;= Assumptions!#REF!, "Florida", IF(A44 &gt;= Assumptions!$C$5, "Texas", IF(A44 &gt;= Assumptions!$C$6, "New York", IF(A44 &gt;= Assumptions!$C$7, "California", "")))))</f>
        <v>Virginia</v>
      </c>
      <c r="F44">
        <v>43</v>
      </c>
      <c r="G44" t="str">
        <f t="shared" si="0"/>
        <v>Virginia</v>
      </c>
      <c r="H44">
        <v>55</v>
      </c>
      <c r="I44" t="str">
        <f t="shared" si="1"/>
        <v>Florida</v>
      </c>
      <c r="J44">
        <v>55</v>
      </c>
      <c r="K44" t="str">
        <f t="shared" si="2"/>
        <v>Texas</v>
      </c>
      <c r="Q44">
        <v>44</v>
      </c>
      <c r="R44">
        <v>56</v>
      </c>
      <c r="S44">
        <v>56</v>
      </c>
      <c r="V44" t="str">
        <v>Virginia</v>
      </c>
      <c r="W44" t="str">
        <v>Florida</v>
      </c>
      <c r="X44" t="str">
        <v>Texas</v>
      </c>
      <c r="AA44" cm="1">
        <f t="array" ref="AA44">IF(INDEX($Q$1:$U$60, INT((ROW(A44)-1)/COLUMNS($Q$1:$U$60))+1, MOD(ROW(A44)-1, COLUMNS($Q$1:$U$60))+1)="", "", INDEX($Q$1:$U$60, INT((ROW(A44)-1)/COLUMNS($Q$1:$U$60))+1, MOD(ROW(A44)-1, COLUMNS($Q$1:$U$60))+1))</f>
        <v>33</v>
      </c>
      <c r="AB44" t="str" cm="1">
        <f t="array" ref="AB44">IF(INDEX($V$1:$Z$60, INT((ROW(A44)-1)/COLUMNS($V$1:$Z$60))+1, MOD(ROW(A44)-1, COLUMNS($V$1:$Z$60))+1)="", "", INDEX($V$1:$Z$60, INT((ROW(A44)-1)/COLUMNS($V$1:$Z$60))+1, MOD(ROW(A44)-1, COLUMNS($V$1:$Z$60))+1))</f>
        <v>New York</v>
      </c>
    </row>
    <row r="45" spans="1:28">
      <c r="A45">
        <v>45</v>
      </c>
      <c r="B45" t="str">
        <f>IF(A45 &gt;= Assumptions!$C$3, "Virginia", IF(A45 &gt;= Assumptions!#REF!, "Florida", IF(A45 &gt;= Assumptions!$C$5, "Texas", IF(A45 &gt;= Assumptions!$C$6, "New York", IF(A45 &gt;= Assumptions!$C$7, "California", "")))))</f>
        <v>Virginia</v>
      </c>
      <c r="F45">
        <v>44</v>
      </c>
      <c r="G45" t="str">
        <f t="shared" si="0"/>
        <v>Virginia</v>
      </c>
      <c r="H45">
        <v>56</v>
      </c>
      <c r="I45" t="str">
        <f t="shared" si="1"/>
        <v>Florida</v>
      </c>
      <c r="J45">
        <v>56</v>
      </c>
      <c r="K45" t="str">
        <f t="shared" si="2"/>
        <v>Texas</v>
      </c>
      <c r="Q45">
        <v>45</v>
      </c>
      <c r="R45">
        <v>57</v>
      </c>
      <c r="S45">
        <v>57</v>
      </c>
      <c r="V45" t="str">
        <v>Virginia</v>
      </c>
      <c r="W45" t="str">
        <v>Florida</v>
      </c>
      <c r="X45" t="str">
        <v>Texas</v>
      </c>
      <c r="AA45" cm="1">
        <f t="array" ref="AA45">IF(INDEX($Q$1:$U$60, INT((ROW(A45)-1)/COLUMNS($Q$1:$U$60))+1, MOD(ROW(A45)-1, COLUMNS($Q$1:$U$60))+1)="", "", INDEX($Q$1:$U$60, INT((ROW(A45)-1)/COLUMNS($Q$1:$U$60))+1, MOD(ROW(A45)-1, COLUMNS($Q$1:$U$60))+1))</f>
        <v>33</v>
      </c>
      <c r="AB45" t="str" cm="1">
        <f t="array" ref="AB45">IF(INDEX($V$1:$Z$60, INT((ROW(A45)-1)/COLUMNS($V$1:$Z$60))+1, MOD(ROW(A45)-1, COLUMNS($V$1:$Z$60))+1)="", "", INDEX($V$1:$Z$60, INT((ROW(A45)-1)/COLUMNS($V$1:$Z$60))+1, MOD(ROW(A45)-1, COLUMNS($V$1:$Z$60))+1))</f>
        <v>California</v>
      </c>
    </row>
    <row r="46" spans="1:28">
      <c r="A46">
        <v>46</v>
      </c>
      <c r="B46" t="str">
        <f>IF(A46 &gt;= Assumptions!$C$3, "Virginia", IF(A46 &gt;= Assumptions!#REF!, "Florida", IF(A46 &gt;= Assumptions!$C$5, "Texas", IF(A46 &gt;= Assumptions!$C$6, "New York", IF(A46 &gt;= Assumptions!$C$7, "California", "")))))</f>
        <v>Virginia</v>
      </c>
      <c r="F46">
        <v>45</v>
      </c>
      <c r="G46" t="str">
        <f t="shared" si="0"/>
        <v>Virginia</v>
      </c>
      <c r="H46">
        <v>57</v>
      </c>
      <c r="I46" t="str">
        <f t="shared" si="1"/>
        <v>Florida</v>
      </c>
      <c r="J46">
        <v>57</v>
      </c>
      <c r="K46" t="str">
        <f t="shared" si="2"/>
        <v>Texas</v>
      </c>
      <c r="Q46">
        <v>46</v>
      </c>
      <c r="R46">
        <v>58</v>
      </c>
      <c r="S46">
        <v>58</v>
      </c>
      <c r="V46" t="str">
        <v>Virginia</v>
      </c>
      <c r="W46" t="str">
        <v>Florida</v>
      </c>
      <c r="X46" t="str">
        <v>Texas</v>
      </c>
      <c r="AA46" cm="1">
        <f t="array" ref="AA46">IF(INDEX($Q$1:$U$60, INT((ROW(A46)-1)/COLUMNS($Q$1:$U$60))+1, MOD(ROW(A46)-1, COLUMNS($Q$1:$U$60))+1)="", "", INDEX($Q$1:$U$60, INT((ROW(A46)-1)/COLUMNS($Q$1:$U$60))+1, MOD(ROW(A46)-1, COLUMNS($Q$1:$U$60))+1))</f>
        <v>10</v>
      </c>
      <c r="AB46" t="str" cm="1">
        <f t="array" ref="AB46">IF(INDEX($V$1:$Z$60, INT((ROW(A46)-1)/COLUMNS($V$1:$Z$60))+1, MOD(ROW(A46)-1, COLUMNS($V$1:$Z$60))+1)="", "", INDEX($V$1:$Z$60, INT((ROW(A46)-1)/COLUMNS($V$1:$Z$60))+1, MOD(ROW(A46)-1, COLUMNS($V$1:$Z$60))+1))</f>
        <v>Virginia</v>
      </c>
    </row>
    <row r="47" spans="1:28">
      <c r="A47">
        <v>47</v>
      </c>
      <c r="B47" t="str">
        <f>IF(A47 &gt;= Assumptions!$C$3, "Virginia", IF(A47 &gt;= Assumptions!#REF!, "Florida", IF(A47 &gt;= Assumptions!$C$5, "Texas", IF(A47 &gt;= Assumptions!$C$6, "New York", IF(A47 &gt;= Assumptions!$C$7, "California", "")))))</f>
        <v>Virginia</v>
      </c>
      <c r="F47">
        <v>46</v>
      </c>
      <c r="G47" t="str">
        <f t="shared" si="0"/>
        <v>Virginia</v>
      </c>
      <c r="H47">
        <v>58</v>
      </c>
      <c r="I47" t="str">
        <f t="shared" si="1"/>
        <v>Florida</v>
      </c>
      <c r="J47">
        <v>58</v>
      </c>
      <c r="K47" t="str">
        <f t="shared" si="2"/>
        <v>Texas</v>
      </c>
      <c r="Q47">
        <v>47</v>
      </c>
      <c r="R47">
        <v>59</v>
      </c>
      <c r="S47">
        <v>59</v>
      </c>
      <c r="V47" t="str">
        <v>Virginia</v>
      </c>
      <c r="W47" t="str">
        <v>Florida</v>
      </c>
      <c r="X47" t="str">
        <v>Texas</v>
      </c>
      <c r="AA47" cm="1">
        <f t="array" ref="AA47">IF(INDEX($Q$1:$U$60, INT((ROW(A47)-1)/COLUMNS($Q$1:$U$60))+1, MOD(ROW(A47)-1, COLUMNS($Q$1:$U$60))+1)="", "", INDEX($Q$1:$U$60, INT((ROW(A47)-1)/COLUMNS($Q$1:$U$60))+1, MOD(ROW(A47)-1, COLUMNS($Q$1:$U$60))+1))</f>
        <v>22</v>
      </c>
      <c r="AB47" t="str" cm="1">
        <f t="array" ref="AB47">IF(INDEX($V$1:$Z$60, INT((ROW(A47)-1)/COLUMNS($V$1:$Z$60))+1, MOD(ROW(A47)-1, COLUMNS($V$1:$Z$60))+1)="", "", INDEX($V$1:$Z$60, INT((ROW(A47)-1)/COLUMNS($V$1:$Z$60))+1, MOD(ROW(A47)-1, COLUMNS($V$1:$Z$60))+1))</f>
        <v>Florida</v>
      </c>
    </row>
    <row r="48" spans="1:28">
      <c r="A48">
        <v>48</v>
      </c>
      <c r="B48" t="str">
        <f>IF(A48 &gt;= Assumptions!$C$3, "Virginia", IF(A48 &gt;= Assumptions!#REF!, "Florida", IF(A48 &gt;= Assumptions!$C$5, "Texas", IF(A48 &gt;= Assumptions!$C$6, "New York", IF(A48 &gt;= Assumptions!$C$7, "California", "")))))</f>
        <v>Virginia</v>
      </c>
      <c r="F48">
        <v>47</v>
      </c>
      <c r="G48" t="str">
        <f t="shared" si="0"/>
        <v>Virginia</v>
      </c>
      <c r="H48">
        <v>59</v>
      </c>
      <c r="I48" t="str">
        <f t="shared" si="1"/>
        <v>Florida</v>
      </c>
      <c r="J48">
        <v>59</v>
      </c>
      <c r="K48" t="str">
        <f t="shared" si="2"/>
        <v>Texas</v>
      </c>
      <c r="Q48">
        <v>48</v>
      </c>
      <c r="R48">
        <v>60</v>
      </c>
      <c r="S48">
        <v>60</v>
      </c>
      <c r="V48" t="str">
        <v>Virginia</v>
      </c>
      <c r="W48" t="str">
        <v>Florida</v>
      </c>
      <c r="X48" t="str">
        <v>Texas</v>
      </c>
      <c r="AA48" cm="1">
        <f t="array" ref="AA48">IF(INDEX($Q$1:$U$60, INT((ROW(A48)-1)/COLUMNS($Q$1:$U$60))+1, MOD(ROW(A48)-1, COLUMNS($Q$1:$U$60))+1)="", "", INDEX($Q$1:$U$60, INT((ROW(A48)-1)/COLUMNS($Q$1:$U$60))+1, MOD(ROW(A48)-1, COLUMNS($Q$1:$U$60))+1))</f>
        <v>22</v>
      </c>
      <c r="AB48" t="str" cm="1">
        <f t="array" ref="AB48">IF(INDEX($V$1:$Z$60, INT((ROW(A48)-1)/COLUMNS($V$1:$Z$60))+1, MOD(ROW(A48)-1, COLUMNS($V$1:$Z$60))+1)="", "", INDEX($V$1:$Z$60, INT((ROW(A48)-1)/COLUMNS($V$1:$Z$60))+1, MOD(ROW(A48)-1, COLUMNS($V$1:$Z$60))+1))</f>
        <v>Texas</v>
      </c>
    </row>
    <row r="49" spans="1:28">
      <c r="A49">
        <v>49</v>
      </c>
      <c r="B49" t="str">
        <f>IF(A49 &gt;= Assumptions!$C$3, "Virginia", IF(A49 &gt;= Assumptions!#REF!, "Florida", IF(A49 &gt;= Assumptions!$C$5, "Texas", IF(A49 &gt;= Assumptions!$C$6, "New York", IF(A49 &gt;= Assumptions!$C$7, "California", "")))))</f>
        <v>Virginia</v>
      </c>
      <c r="F49">
        <v>48</v>
      </c>
      <c r="G49" t="str">
        <f t="shared" si="0"/>
        <v>Virginia</v>
      </c>
      <c r="H49">
        <v>60</v>
      </c>
      <c r="I49" t="str">
        <f t="shared" si="1"/>
        <v>Florida</v>
      </c>
      <c r="J49">
        <v>60</v>
      </c>
      <c r="K49" t="str">
        <f t="shared" si="2"/>
        <v>Texas</v>
      </c>
      <c r="Q49">
        <v>49</v>
      </c>
      <c r="V49" t="str">
        <v>Virginia</v>
      </c>
      <c r="AA49" cm="1">
        <f t="array" ref="AA49">IF(INDEX($Q$1:$U$60, INT((ROW(A49)-1)/COLUMNS($Q$1:$U$60))+1, MOD(ROW(A49)-1, COLUMNS($Q$1:$U$60))+1)="", "", INDEX($Q$1:$U$60, INT((ROW(A49)-1)/COLUMNS($Q$1:$U$60))+1, MOD(ROW(A49)-1, COLUMNS($Q$1:$U$60))+1))</f>
        <v>34</v>
      </c>
      <c r="AB49" t="str" cm="1">
        <f t="array" ref="AB49">IF(INDEX($V$1:$Z$60, INT((ROW(A49)-1)/COLUMNS($V$1:$Z$60))+1, MOD(ROW(A49)-1, COLUMNS($V$1:$Z$60))+1)="", "", INDEX($V$1:$Z$60, INT((ROW(A49)-1)/COLUMNS($V$1:$Z$60))+1, MOD(ROW(A49)-1, COLUMNS($V$1:$Z$60))+1))</f>
        <v>New York</v>
      </c>
    </row>
    <row r="50" spans="1:28">
      <c r="A50">
        <v>50</v>
      </c>
      <c r="B50" t="str">
        <f>IF(A50 &gt;= Assumptions!$C$3, "Virginia", IF(A50 &gt;= Assumptions!#REF!, "Florida", IF(A50 &gt;= Assumptions!$C$5, "Texas", IF(A50 &gt;= Assumptions!$C$6, "New York", IF(A50 &gt;= Assumptions!$C$7, "California", "")))))</f>
        <v>Virginia</v>
      </c>
      <c r="F50">
        <v>49</v>
      </c>
      <c r="G50" t="str">
        <f t="shared" si="0"/>
        <v>Virginia</v>
      </c>
      <c r="Q50">
        <v>50</v>
      </c>
      <c r="V50" t="str">
        <v>Virginia</v>
      </c>
      <c r="AA50" cm="1">
        <f t="array" ref="AA50">IF(INDEX($Q$1:$U$60, INT((ROW(A50)-1)/COLUMNS($Q$1:$U$60))+1, MOD(ROW(A50)-1, COLUMNS($Q$1:$U$60))+1)="", "", INDEX($Q$1:$U$60, INT((ROW(A50)-1)/COLUMNS($Q$1:$U$60))+1, MOD(ROW(A50)-1, COLUMNS($Q$1:$U$60))+1))</f>
        <v>34</v>
      </c>
      <c r="AB50" t="str" cm="1">
        <f t="array" ref="AB50">IF(INDEX($V$1:$Z$60, INT((ROW(A50)-1)/COLUMNS($V$1:$Z$60))+1, MOD(ROW(A50)-1, COLUMNS($V$1:$Z$60))+1)="", "", INDEX($V$1:$Z$60, INT((ROW(A50)-1)/COLUMNS($V$1:$Z$60))+1, MOD(ROW(A50)-1, COLUMNS($V$1:$Z$60))+1))</f>
        <v>California</v>
      </c>
    </row>
    <row r="51" spans="1:28">
      <c r="A51">
        <v>51</v>
      </c>
      <c r="B51" t="str">
        <f>IF(A51 &gt;= Assumptions!$C$3, "Virginia", IF(A51 &gt;= Assumptions!#REF!, "Florida", IF(A51 &gt;= Assumptions!$C$5, "Texas", IF(A51 &gt;= Assumptions!$C$6, "New York", IF(A51 &gt;= Assumptions!$C$7, "California", "")))))</f>
        <v>Virginia</v>
      </c>
      <c r="F51">
        <v>50</v>
      </c>
      <c r="G51" t="str">
        <f t="shared" si="0"/>
        <v>Virginia</v>
      </c>
      <c r="Q51">
        <v>51</v>
      </c>
      <c r="V51" t="str">
        <v>Virginia</v>
      </c>
      <c r="AA51" cm="1">
        <f t="array" ref="AA51">IF(INDEX($Q$1:$U$60, INT((ROW(A51)-1)/COLUMNS($Q$1:$U$60))+1, MOD(ROW(A51)-1, COLUMNS($Q$1:$U$60))+1)="", "", INDEX($Q$1:$U$60, INT((ROW(A51)-1)/COLUMNS($Q$1:$U$60))+1, MOD(ROW(A51)-1, COLUMNS($Q$1:$U$60))+1))</f>
        <v>11</v>
      </c>
      <c r="AB51" t="str" cm="1">
        <f t="array" ref="AB51">IF(INDEX($V$1:$Z$60, INT((ROW(A51)-1)/COLUMNS($V$1:$Z$60))+1, MOD(ROW(A51)-1, COLUMNS($V$1:$Z$60))+1)="", "", INDEX($V$1:$Z$60, INT((ROW(A51)-1)/COLUMNS($V$1:$Z$60))+1, MOD(ROW(A51)-1, COLUMNS($V$1:$Z$60))+1))</f>
        <v>Virginia</v>
      </c>
    </row>
    <row r="52" spans="1:28">
      <c r="A52">
        <v>52</v>
      </c>
      <c r="B52" t="str">
        <f>IF(A52 &gt;= Assumptions!$C$3, "Virginia", IF(A52 &gt;= Assumptions!#REF!, "Florida", IF(A52 &gt;= Assumptions!$C$5, "Texas", IF(A52 &gt;= Assumptions!$C$6, "New York", IF(A52 &gt;= Assumptions!$C$7, "California", "")))))</f>
        <v>Virginia</v>
      </c>
      <c r="F52">
        <v>51</v>
      </c>
      <c r="G52" t="str">
        <f t="shared" si="0"/>
        <v>Virginia</v>
      </c>
      <c r="Q52">
        <v>52</v>
      </c>
      <c r="V52" t="str">
        <v>Virginia</v>
      </c>
      <c r="AA52" cm="1">
        <f t="array" ref="AA52">IF(INDEX($Q$1:$U$60, INT((ROW(A52)-1)/COLUMNS($Q$1:$U$60))+1, MOD(ROW(A52)-1, COLUMNS($Q$1:$U$60))+1)="", "", INDEX($Q$1:$U$60, INT((ROW(A52)-1)/COLUMNS($Q$1:$U$60))+1, MOD(ROW(A52)-1, COLUMNS($Q$1:$U$60))+1))</f>
        <v>23</v>
      </c>
      <c r="AB52" t="str" cm="1">
        <f t="array" ref="AB52">IF(INDEX($V$1:$Z$60, INT((ROW(A52)-1)/COLUMNS($V$1:$Z$60))+1, MOD(ROW(A52)-1, COLUMNS($V$1:$Z$60))+1)="", "", INDEX($V$1:$Z$60, INT((ROW(A52)-1)/COLUMNS($V$1:$Z$60))+1, MOD(ROW(A52)-1, COLUMNS($V$1:$Z$60))+1))</f>
        <v>Florida</v>
      </c>
    </row>
    <row r="53" spans="1:28">
      <c r="A53">
        <v>53</v>
      </c>
      <c r="B53" t="str">
        <f>IF(A53 &gt;= Assumptions!$C$3, "Virginia", IF(A53 &gt;= Assumptions!#REF!, "Florida", IF(A53 &gt;= Assumptions!$C$5, "Texas", IF(A53 &gt;= Assumptions!$C$6, "New York", IF(A53 &gt;= Assumptions!$C$7, "California", "")))))</f>
        <v>Virginia</v>
      </c>
      <c r="F53">
        <v>52</v>
      </c>
      <c r="G53" t="str">
        <f t="shared" si="0"/>
        <v>Virginia</v>
      </c>
      <c r="Q53">
        <v>53</v>
      </c>
      <c r="V53" t="str">
        <v>Virginia</v>
      </c>
      <c r="AA53" cm="1">
        <f t="array" ref="AA53">IF(INDEX($Q$1:$U$60, INT((ROW(A53)-1)/COLUMNS($Q$1:$U$60))+1, MOD(ROW(A53)-1, COLUMNS($Q$1:$U$60))+1)="", "", INDEX($Q$1:$U$60, INT((ROW(A53)-1)/COLUMNS($Q$1:$U$60))+1, MOD(ROW(A53)-1, COLUMNS($Q$1:$U$60))+1))</f>
        <v>23</v>
      </c>
      <c r="AB53" t="str" cm="1">
        <f t="array" ref="AB53">IF(INDEX($V$1:$Z$60, INT((ROW(A53)-1)/COLUMNS($V$1:$Z$60))+1, MOD(ROW(A53)-1, COLUMNS($V$1:$Z$60))+1)="", "", INDEX($V$1:$Z$60, INT((ROW(A53)-1)/COLUMNS($V$1:$Z$60))+1, MOD(ROW(A53)-1, COLUMNS($V$1:$Z$60))+1))</f>
        <v>Texas</v>
      </c>
    </row>
    <row r="54" spans="1:28">
      <c r="A54">
        <v>54</v>
      </c>
      <c r="B54" t="str">
        <f>IF(A54 &gt;= Assumptions!$C$3, "Virginia", IF(A54 &gt;= Assumptions!#REF!, "Florida", IF(A54 &gt;= Assumptions!$C$5, "Texas", IF(A54 &gt;= Assumptions!$C$6, "New York", IF(A54 &gt;= Assumptions!$C$7, "California", "")))))</f>
        <v>Virginia</v>
      </c>
      <c r="F54">
        <v>53</v>
      </c>
      <c r="G54" t="str">
        <f t="shared" si="0"/>
        <v>Virginia</v>
      </c>
      <c r="Q54">
        <v>54</v>
      </c>
      <c r="V54" t="str">
        <v>Virginia</v>
      </c>
      <c r="AA54" cm="1">
        <f t="array" ref="AA54">IF(INDEX($Q$1:$U$60, INT((ROW(A54)-1)/COLUMNS($Q$1:$U$60))+1, MOD(ROW(A54)-1, COLUMNS($Q$1:$U$60))+1)="", "", INDEX($Q$1:$U$60, INT((ROW(A54)-1)/COLUMNS($Q$1:$U$60))+1, MOD(ROW(A54)-1, COLUMNS($Q$1:$U$60))+1))</f>
        <v>35</v>
      </c>
      <c r="AB54" t="str" cm="1">
        <f t="array" ref="AB54">IF(INDEX($V$1:$Z$60, INT((ROW(A54)-1)/COLUMNS($V$1:$Z$60))+1, MOD(ROW(A54)-1, COLUMNS($V$1:$Z$60))+1)="", "", INDEX($V$1:$Z$60, INT((ROW(A54)-1)/COLUMNS($V$1:$Z$60))+1, MOD(ROW(A54)-1, COLUMNS($V$1:$Z$60))+1))</f>
        <v>New York</v>
      </c>
    </row>
    <row r="55" spans="1:28">
      <c r="A55">
        <v>55</v>
      </c>
      <c r="B55" t="str">
        <f>IF(A55 &gt;= Assumptions!$C$3, "Virginia", IF(A55 &gt;= Assumptions!#REF!, "Florida", IF(A55 &gt;= Assumptions!$C$5, "Texas", IF(A55 &gt;= Assumptions!$C$6, "New York", IF(A55 &gt;= Assumptions!$C$7, "California", "")))))</f>
        <v>Virginia</v>
      </c>
      <c r="F55">
        <v>54</v>
      </c>
      <c r="G55" t="str">
        <f t="shared" si="0"/>
        <v>Virginia</v>
      </c>
      <c r="Q55">
        <v>55</v>
      </c>
      <c r="V55" t="str">
        <v>Virginia</v>
      </c>
      <c r="AA55" cm="1">
        <f t="array" ref="AA55">IF(INDEX($Q$1:$U$60, INT((ROW(A55)-1)/COLUMNS($Q$1:$U$60))+1, MOD(ROW(A55)-1, COLUMNS($Q$1:$U$60))+1)="", "", INDEX($Q$1:$U$60, INT((ROW(A55)-1)/COLUMNS($Q$1:$U$60))+1, MOD(ROW(A55)-1, COLUMNS($Q$1:$U$60))+1))</f>
        <v>35</v>
      </c>
      <c r="AB55" t="str" cm="1">
        <f t="array" ref="AB55">IF(INDEX($V$1:$Z$60, INT((ROW(A55)-1)/COLUMNS($V$1:$Z$60))+1, MOD(ROW(A55)-1, COLUMNS($V$1:$Z$60))+1)="", "", INDEX($V$1:$Z$60, INT((ROW(A55)-1)/COLUMNS($V$1:$Z$60))+1, MOD(ROW(A55)-1, COLUMNS($V$1:$Z$60))+1))</f>
        <v>California</v>
      </c>
    </row>
    <row r="56" spans="1:28">
      <c r="A56">
        <v>56</v>
      </c>
      <c r="B56" t="str">
        <f>IF(A56 &gt;= Assumptions!$C$3, "Virginia", IF(A56 &gt;= Assumptions!#REF!, "Florida", IF(A56 &gt;= Assumptions!$C$5, "Texas", IF(A56 &gt;= Assumptions!$C$6, "New York", IF(A56 &gt;= Assumptions!$C$7, "California", "")))))</f>
        <v>Virginia</v>
      </c>
      <c r="F56">
        <v>55</v>
      </c>
      <c r="G56" t="str">
        <f t="shared" si="0"/>
        <v>Virginia</v>
      </c>
      <c r="Q56">
        <v>56</v>
      </c>
      <c r="V56" t="str">
        <v>Virginia</v>
      </c>
      <c r="AA56" cm="1">
        <f t="array" ref="AA56">IF(INDEX($Q$1:$U$60, INT((ROW(A56)-1)/COLUMNS($Q$1:$U$60))+1, MOD(ROW(A56)-1, COLUMNS($Q$1:$U$60))+1)="", "", INDEX($Q$1:$U$60, INT((ROW(A56)-1)/COLUMNS($Q$1:$U$60))+1, MOD(ROW(A56)-1, COLUMNS($Q$1:$U$60))+1))</f>
        <v>12</v>
      </c>
      <c r="AB56" t="str" cm="1">
        <f t="array" ref="AB56">IF(INDEX($V$1:$Z$60, INT((ROW(A56)-1)/COLUMNS($V$1:$Z$60))+1, MOD(ROW(A56)-1, COLUMNS($V$1:$Z$60))+1)="", "", INDEX($V$1:$Z$60, INT((ROW(A56)-1)/COLUMNS($V$1:$Z$60))+1, MOD(ROW(A56)-1, COLUMNS($V$1:$Z$60))+1))</f>
        <v>Virginia</v>
      </c>
    </row>
    <row r="57" spans="1:28">
      <c r="A57">
        <v>57</v>
      </c>
      <c r="B57" t="str">
        <f>IF(A57 &gt;= Assumptions!$C$3, "Virginia", IF(A57 &gt;= Assumptions!#REF!, "Florida", IF(A57 &gt;= Assumptions!$C$5, "Texas", IF(A57 &gt;= Assumptions!$C$6, "New York", IF(A57 &gt;= Assumptions!$C$7, "California", "")))))</f>
        <v>Virginia</v>
      </c>
      <c r="F57">
        <v>56</v>
      </c>
      <c r="G57" t="str">
        <f t="shared" si="0"/>
        <v>Virginia</v>
      </c>
      <c r="Q57">
        <v>57</v>
      </c>
      <c r="V57" t="str">
        <v>Virginia</v>
      </c>
      <c r="AA57" cm="1">
        <f t="array" ref="AA57">IF(INDEX($Q$1:$U$60, INT((ROW(A57)-1)/COLUMNS($Q$1:$U$60))+1, MOD(ROW(A57)-1, COLUMNS($Q$1:$U$60))+1)="", "", INDEX($Q$1:$U$60, INT((ROW(A57)-1)/COLUMNS($Q$1:$U$60))+1, MOD(ROW(A57)-1, COLUMNS($Q$1:$U$60))+1))</f>
        <v>24</v>
      </c>
      <c r="AB57" t="str" cm="1">
        <f t="array" ref="AB57">IF(INDEX($V$1:$Z$60, INT((ROW(A57)-1)/COLUMNS($V$1:$Z$60))+1, MOD(ROW(A57)-1, COLUMNS($V$1:$Z$60))+1)="", "", INDEX($V$1:$Z$60, INT((ROW(A57)-1)/COLUMNS($V$1:$Z$60))+1, MOD(ROW(A57)-1, COLUMNS($V$1:$Z$60))+1))</f>
        <v>Florida</v>
      </c>
    </row>
    <row r="58" spans="1:28">
      <c r="A58">
        <v>58</v>
      </c>
      <c r="B58" t="str">
        <f>IF(A58 &gt;= Assumptions!$C$3, "Virginia", IF(A58 &gt;= Assumptions!#REF!, "Florida", IF(A58 &gt;= Assumptions!$C$5, "Texas", IF(A58 &gt;= Assumptions!$C$6, "New York", IF(A58 &gt;= Assumptions!$C$7, "California", "")))))</f>
        <v>Virginia</v>
      </c>
      <c r="F58">
        <v>57</v>
      </c>
      <c r="G58" t="str">
        <f t="shared" si="0"/>
        <v>Virginia</v>
      </c>
      <c r="Q58">
        <v>58</v>
      </c>
      <c r="V58" t="str">
        <v>Virginia</v>
      </c>
      <c r="AA58" cm="1">
        <f t="array" ref="AA58">IF(INDEX($Q$1:$U$60, INT((ROW(A58)-1)/COLUMNS($Q$1:$U$60))+1, MOD(ROW(A58)-1, COLUMNS($Q$1:$U$60))+1)="", "", INDEX($Q$1:$U$60, INT((ROW(A58)-1)/COLUMNS($Q$1:$U$60))+1, MOD(ROW(A58)-1, COLUMNS($Q$1:$U$60))+1))</f>
        <v>24</v>
      </c>
      <c r="AB58" t="str" cm="1">
        <f t="array" ref="AB58">IF(INDEX($V$1:$Z$60, INT((ROW(A58)-1)/COLUMNS($V$1:$Z$60))+1, MOD(ROW(A58)-1, COLUMNS($V$1:$Z$60))+1)="", "", INDEX($V$1:$Z$60, INT((ROW(A58)-1)/COLUMNS($V$1:$Z$60))+1, MOD(ROW(A58)-1, COLUMNS($V$1:$Z$60))+1))</f>
        <v>Texas</v>
      </c>
    </row>
    <row r="59" spans="1:28">
      <c r="A59">
        <v>59</v>
      </c>
      <c r="B59" t="str">
        <f>IF(A59 &gt;= Assumptions!$C$3, "Virginia", IF(A59 &gt;= Assumptions!#REF!, "Florida", IF(A59 &gt;= Assumptions!$C$5, "Texas", IF(A59 &gt;= Assumptions!$C$6, "New York", IF(A59 &gt;= Assumptions!$C$7, "California", "")))))</f>
        <v>Virginia</v>
      </c>
      <c r="F59">
        <v>58</v>
      </c>
      <c r="G59" t="str">
        <f t="shared" si="0"/>
        <v>Virginia</v>
      </c>
      <c r="Q59">
        <v>59</v>
      </c>
      <c r="V59" t="str">
        <v>Virginia</v>
      </c>
      <c r="AA59" cm="1">
        <f t="array" ref="AA59">IF(INDEX($Q$1:$U$60, INT((ROW(A59)-1)/COLUMNS($Q$1:$U$60))+1, MOD(ROW(A59)-1, COLUMNS($Q$1:$U$60))+1)="", "", INDEX($Q$1:$U$60, INT((ROW(A59)-1)/COLUMNS($Q$1:$U$60))+1, MOD(ROW(A59)-1, COLUMNS($Q$1:$U$60))+1))</f>
        <v>36</v>
      </c>
      <c r="AB59" t="str" cm="1">
        <f t="array" ref="AB59">IF(INDEX($V$1:$Z$60, INT((ROW(A59)-1)/COLUMNS($V$1:$Z$60))+1, MOD(ROW(A59)-1, COLUMNS($V$1:$Z$60))+1)="", "", INDEX($V$1:$Z$60, INT((ROW(A59)-1)/COLUMNS($V$1:$Z$60))+1, MOD(ROW(A59)-1, COLUMNS($V$1:$Z$60))+1))</f>
        <v>New York</v>
      </c>
    </row>
    <row r="60" spans="1:28">
      <c r="A60">
        <v>60</v>
      </c>
      <c r="B60" t="str">
        <f>IF(A60 &gt;= Assumptions!$C$3, "Virginia", IF(A60 &gt;= Assumptions!#REF!, "Florida", IF(A60 &gt;= Assumptions!$C$5, "Texas", IF(A60 &gt;= Assumptions!$C$6, "New York", IF(A60 &gt;= Assumptions!$C$7, "California", "")))))</f>
        <v>Virginia</v>
      </c>
      <c r="F60">
        <v>59</v>
      </c>
      <c r="G60" t="str">
        <f t="shared" si="0"/>
        <v>Virginia</v>
      </c>
      <c r="Q60">
        <v>60</v>
      </c>
      <c r="V60" t="str">
        <v>Virginia</v>
      </c>
      <c r="AA60" cm="1">
        <f t="array" ref="AA60">IF(INDEX($Q$1:$U$60, INT((ROW(A60)-1)/COLUMNS($Q$1:$U$60))+1, MOD(ROW(A60)-1, COLUMNS($Q$1:$U$60))+1)="", "", INDEX($Q$1:$U$60, INT((ROW(A60)-1)/COLUMNS($Q$1:$U$60))+1, MOD(ROW(A60)-1, COLUMNS($Q$1:$U$60))+1))</f>
        <v>36</v>
      </c>
      <c r="AB60" t="str" cm="1">
        <f t="array" ref="AB60">IF(INDEX($V$1:$Z$60, INT((ROW(A60)-1)/COLUMNS($V$1:$Z$60))+1, MOD(ROW(A60)-1, COLUMNS($V$1:$Z$60))+1)="", "", INDEX($V$1:$Z$60, INT((ROW(A60)-1)/COLUMNS($V$1:$Z$60))+1, MOD(ROW(A60)-1, COLUMNS($V$1:$Z$60))+1))</f>
        <v>California</v>
      </c>
    </row>
    <row r="61" spans="1:28">
      <c r="F61">
        <v>60</v>
      </c>
      <c r="G61" t="str">
        <f t="shared" si="0"/>
        <v>Virginia</v>
      </c>
      <c r="AA61" cm="1">
        <f t="array" ref="AA61">IF(INDEX($Q$1:$U$60, INT((ROW(A61)-1)/COLUMNS($Q$1:$U$60))+1, MOD(ROW(A61)-1, COLUMNS($Q$1:$U$60))+1)="", "", INDEX($Q$1:$U$60, INT((ROW(A61)-1)/COLUMNS($Q$1:$U$60))+1, MOD(ROW(A61)-1, COLUMNS($Q$1:$U$60))+1))</f>
        <v>13</v>
      </c>
      <c r="AB61" t="str" cm="1">
        <f t="array" ref="AB61">IF(INDEX($V$1:$Z$60, INT((ROW(A61)-1)/COLUMNS($V$1:$Z$60))+1, MOD(ROW(A61)-1, COLUMNS($V$1:$Z$60))+1)="", "", INDEX($V$1:$Z$60, INT((ROW(A61)-1)/COLUMNS($V$1:$Z$60))+1, MOD(ROW(A61)-1, COLUMNS($V$1:$Z$60))+1))</f>
        <v>Virginia</v>
      </c>
    </row>
    <row r="62" spans="1:28">
      <c r="AA62" cm="1">
        <f t="array" ref="AA62">IF(INDEX($Q$1:$U$60, INT((ROW(A62)-1)/COLUMNS($Q$1:$U$60))+1, MOD(ROW(A62)-1, COLUMNS($Q$1:$U$60))+1)="", "", INDEX($Q$1:$U$60, INT((ROW(A62)-1)/COLUMNS($Q$1:$U$60))+1, MOD(ROW(A62)-1, COLUMNS($Q$1:$U$60))+1))</f>
        <v>25</v>
      </c>
      <c r="AB62" t="str" cm="1">
        <f t="array" ref="AB62">IF(INDEX($V$1:$Z$60, INT((ROW(A62)-1)/COLUMNS($V$1:$Z$60))+1, MOD(ROW(A62)-1, COLUMNS($V$1:$Z$60))+1)="", "", INDEX($V$1:$Z$60, INT((ROW(A62)-1)/COLUMNS($V$1:$Z$60))+1, MOD(ROW(A62)-1, COLUMNS($V$1:$Z$60))+1))</f>
        <v>Florida</v>
      </c>
    </row>
    <row r="63" spans="1:28">
      <c r="AA63" cm="1">
        <f t="array" ref="AA63">IF(INDEX($Q$1:$U$60, INT((ROW(A63)-1)/COLUMNS($Q$1:$U$60))+1, MOD(ROW(A63)-1, COLUMNS($Q$1:$U$60))+1)="", "", INDEX($Q$1:$U$60, INT((ROW(A63)-1)/COLUMNS($Q$1:$U$60))+1, MOD(ROW(A63)-1, COLUMNS($Q$1:$U$60))+1))</f>
        <v>25</v>
      </c>
      <c r="AB63" t="str" cm="1">
        <f t="array" ref="AB63">IF(INDEX($V$1:$Z$60, INT((ROW(A63)-1)/COLUMNS($V$1:$Z$60))+1, MOD(ROW(A63)-1, COLUMNS($V$1:$Z$60))+1)="", "", INDEX($V$1:$Z$60, INT((ROW(A63)-1)/COLUMNS($V$1:$Z$60))+1, MOD(ROW(A63)-1, COLUMNS($V$1:$Z$60))+1))</f>
        <v>Texas</v>
      </c>
    </row>
    <row r="64" spans="1:28">
      <c r="AA64" cm="1">
        <f t="array" ref="AA64">IF(INDEX($Q$1:$U$60, INT((ROW(A64)-1)/COLUMNS($Q$1:$U$60))+1, MOD(ROW(A64)-1, COLUMNS($Q$1:$U$60))+1)="", "", INDEX($Q$1:$U$60, INT((ROW(A64)-1)/COLUMNS($Q$1:$U$60))+1, MOD(ROW(A64)-1, COLUMNS($Q$1:$U$60))+1))</f>
        <v>37</v>
      </c>
      <c r="AB64" t="str" cm="1">
        <f t="array" ref="AB64">IF(INDEX($V$1:$Z$60, INT((ROW(A64)-1)/COLUMNS($V$1:$Z$60))+1, MOD(ROW(A64)-1, COLUMNS($V$1:$Z$60))+1)="", "", INDEX($V$1:$Z$60, INT((ROW(A64)-1)/COLUMNS($V$1:$Z$60))+1, MOD(ROW(A64)-1, COLUMNS($V$1:$Z$60))+1))</f>
        <v>New York</v>
      </c>
    </row>
    <row r="65" spans="27:28">
      <c r="AA65" cm="1">
        <f t="array" ref="AA65">IF(INDEX($Q$1:$U$60, INT((ROW(A65)-1)/COLUMNS($Q$1:$U$60))+1, MOD(ROW(A65)-1, COLUMNS($Q$1:$U$60))+1)="", "", INDEX($Q$1:$U$60, INT((ROW(A65)-1)/COLUMNS($Q$1:$U$60))+1, MOD(ROW(A65)-1, COLUMNS($Q$1:$U$60))+1))</f>
        <v>37</v>
      </c>
      <c r="AB65" t="str" cm="1">
        <f t="array" ref="AB65">IF(INDEX($V$1:$Z$60, INT((ROW(A65)-1)/COLUMNS($V$1:$Z$60))+1, MOD(ROW(A65)-1, COLUMNS($V$1:$Z$60))+1)="", "", INDEX($V$1:$Z$60, INT((ROW(A65)-1)/COLUMNS($V$1:$Z$60))+1, MOD(ROW(A65)-1, COLUMNS($V$1:$Z$60))+1))</f>
        <v>California</v>
      </c>
    </row>
    <row r="66" spans="27:28">
      <c r="AA66" cm="1">
        <f t="array" ref="AA66">IF(INDEX($Q$1:$U$60, INT((ROW(A66)-1)/COLUMNS($Q$1:$U$60))+1, MOD(ROW(A66)-1, COLUMNS($Q$1:$U$60))+1)="", "", INDEX($Q$1:$U$60, INT((ROW(A66)-1)/COLUMNS($Q$1:$U$60))+1, MOD(ROW(A66)-1, COLUMNS($Q$1:$U$60))+1))</f>
        <v>14</v>
      </c>
      <c r="AB66" t="str" cm="1">
        <f t="array" ref="AB66">IF(INDEX($V$1:$Z$60, INT((ROW(A66)-1)/COLUMNS($V$1:$Z$60))+1, MOD(ROW(A66)-1, COLUMNS($V$1:$Z$60))+1)="", "", INDEX($V$1:$Z$60, INT((ROW(A66)-1)/COLUMNS($V$1:$Z$60))+1, MOD(ROW(A66)-1, COLUMNS($V$1:$Z$60))+1))</f>
        <v>Virginia</v>
      </c>
    </row>
    <row r="67" spans="27:28">
      <c r="AA67" cm="1">
        <f t="array" ref="AA67">IF(INDEX($Q$1:$U$60, INT((ROW(A67)-1)/COLUMNS($Q$1:$U$60))+1, MOD(ROW(A67)-1, COLUMNS($Q$1:$U$60))+1)="", "", INDEX($Q$1:$U$60, INT((ROW(A67)-1)/COLUMNS($Q$1:$U$60))+1, MOD(ROW(A67)-1, COLUMNS($Q$1:$U$60))+1))</f>
        <v>26</v>
      </c>
      <c r="AB67" t="str" cm="1">
        <f t="array" ref="AB67">IF(INDEX($V$1:$Z$60, INT((ROW(A67)-1)/COLUMNS($V$1:$Z$60))+1, MOD(ROW(A67)-1, COLUMNS($V$1:$Z$60))+1)="", "", INDEX($V$1:$Z$60, INT((ROW(A67)-1)/COLUMNS($V$1:$Z$60))+1, MOD(ROW(A67)-1, COLUMNS($V$1:$Z$60))+1))</f>
        <v>Florida</v>
      </c>
    </row>
    <row r="68" spans="27:28">
      <c r="AA68" cm="1">
        <f t="array" ref="AA68">IF(INDEX($Q$1:$U$60, INT((ROW(A68)-1)/COLUMNS($Q$1:$U$60))+1, MOD(ROW(A68)-1, COLUMNS($Q$1:$U$60))+1)="", "", INDEX($Q$1:$U$60, INT((ROW(A68)-1)/COLUMNS($Q$1:$U$60))+1, MOD(ROW(A68)-1, COLUMNS($Q$1:$U$60))+1))</f>
        <v>26</v>
      </c>
      <c r="AB68" t="str" cm="1">
        <f t="array" ref="AB68">IF(INDEX($V$1:$Z$60, INT((ROW(A68)-1)/COLUMNS($V$1:$Z$60))+1, MOD(ROW(A68)-1, COLUMNS($V$1:$Z$60))+1)="", "", INDEX($V$1:$Z$60, INT((ROW(A68)-1)/COLUMNS($V$1:$Z$60))+1, MOD(ROW(A68)-1, COLUMNS($V$1:$Z$60))+1))</f>
        <v>Texas</v>
      </c>
    </row>
    <row r="69" spans="27:28">
      <c r="AA69" cm="1">
        <f t="array" ref="AA69">IF(INDEX($Q$1:$U$60, INT((ROW(A69)-1)/COLUMNS($Q$1:$U$60))+1, MOD(ROW(A69)-1, COLUMNS($Q$1:$U$60))+1)="", "", INDEX($Q$1:$U$60, INT((ROW(A69)-1)/COLUMNS($Q$1:$U$60))+1, MOD(ROW(A69)-1, COLUMNS($Q$1:$U$60))+1))</f>
        <v>38</v>
      </c>
      <c r="AB69" t="str" cm="1">
        <f t="array" ref="AB69">IF(INDEX($V$1:$Z$60, INT((ROW(A69)-1)/COLUMNS($V$1:$Z$60))+1, MOD(ROW(A69)-1, COLUMNS($V$1:$Z$60))+1)="", "", INDEX($V$1:$Z$60, INT((ROW(A69)-1)/COLUMNS($V$1:$Z$60))+1, MOD(ROW(A69)-1, COLUMNS($V$1:$Z$60))+1))</f>
        <v>New York</v>
      </c>
    </row>
    <row r="70" spans="27:28">
      <c r="AA70" cm="1">
        <f t="array" ref="AA70">IF(INDEX($Q$1:$U$60, INT((ROW(A70)-1)/COLUMNS($Q$1:$U$60))+1, MOD(ROW(A70)-1, COLUMNS($Q$1:$U$60))+1)="", "", INDEX($Q$1:$U$60, INT((ROW(A70)-1)/COLUMNS($Q$1:$U$60))+1, MOD(ROW(A70)-1, COLUMNS($Q$1:$U$60))+1))</f>
        <v>38</v>
      </c>
      <c r="AB70" t="str" cm="1">
        <f t="array" ref="AB70">IF(INDEX($V$1:$Z$60, INT((ROW(A70)-1)/COLUMNS($V$1:$Z$60))+1, MOD(ROW(A70)-1, COLUMNS($V$1:$Z$60))+1)="", "", INDEX($V$1:$Z$60, INT((ROW(A70)-1)/COLUMNS($V$1:$Z$60))+1, MOD(ROW(A70)-1, COLUMNS($V$1:$Z$60))+1))</f>
        <v>California</v>
      </c>
    </row>
    <row r="71" spans="27:28">
      <c r="AA71" cm="1">
        <f t="array" ref="AA71">IF(INDEX($Q$1:$U$60, INT((ROW(A71)-1)/COLUMNS($Q$1:$U$60))+1, MOD(ROW(A71)-1, COLUMNS($Q$1:$U$60))+1)="", "", INDEX($Q$1:$U$60, INT((ROW(A71)-1)/COLUMNS($Q$1:$U$60))+1, MOD(ROW(A71)-1, COLUMNS($Q$1:$U$60))+1))</f>
        <v>15</v>
      </c>
      <c r="AB71" t="str" cm="1">
        <f t="array" ref="AB71">IF(INDEX($V$1:$Z$60, INT((ROW(A71)-1)/COLUMNS($V$1:$Z$60))+1, MOD(ROW(A71)-1, COLUMNS($V$1:$Z$60))+1)="", "", INDEX($V$1:$Z$60, INT((ROW(A71)-1)/COLUMNS($V$1:$Z$60))+1, MOD(ROW(A71)-1, COLUMNS($V$1:$Z$60))+1))</f>
        <v>Virginia</v>
      </c>
    </row>
    <row r="72" spans="27:28">
      <c r="AA72" cm="1">
        <f t="array" ref="AA72">IF(INDEX($Q$1:$U$60, INT((ROW(A72)-1)/COLUMNS($Q$1:$U$60))+1, MOD(ROW(A72)-1, COLUMNS($Q$1:$U$60))+1)="", "", INDEX($Q$1:$U$60, INT((ROW(A72)-1)/COLUMNS($Q$1:$U$60))+1, MOD(ROW(A72)-1, COLUMNS($Q$1:$U$60))+1))</f>
        <v>27</v>
      </c>
      <c r="AB72" t="str" cm="1">
        <f t="array" ref="AB72">IF(INDEX($V$1:$Z$60, INT((ROW(A72)-1)/COLUMNS($V$1:$Z$60))+1, MOD(ROW(A72)-1, COLUMNS($V$1:$Z$60))+1)="", "", INDEX($V$1:$Z$60, INT((ROW(A72)-1)/COLUMNS($V$1:$Z$60))+1, MOD(ROW(A72)-1, COLUMNS($V$1:$Z$60))+1))</f>
        <v>Florida</v>
      </c>
    </row>
    <row r="73" spans="27:28">
      <c r="AA73" cm="1">
        <f t="array" ref="AA73">IF(INDEX($Q$1:$U$60, INT((ROW(A73)-1)/COLUMNS($Q$1:$U$60))+1, MOD(ROW(A73)-1, COLUMNS($Q$1:$U$60))+1)="", "", INDEX($Q$1:$U$60, INT((ROW(A73)-1)/COLUMNS($Q$1:$U$60))+1, MOD(ROW(A73)-1, COLUMNS($Q$1:$U$60))+1))</f>
        <v>27</v>
      </c>
      <c r="AB73" t="str" cm="1">
        <f t="array" ref="AB73">IF(INDEX($V$1:$Z$60, INT((ROW(A73)-1)/COLUMNS($V$1:$Z$60))+1, MOD(ROW(A73)-1, COLUMNS($V$1:$Z$60))+1)="", "", INDEX($V$1:$Z$60, INT((ROW(A73)-1)/COLUMNS($V$1:$Z$60))+1, MOD(ROW(A73)-1, COLUMNS($V$1:$Z$60))+1))</f>
        <v>Texas</v>
      </c>
    </row>
    <row r="74" spans="27:28">
      <c r="AA74" cm="1">
        <f t="array" ref="AA74">IF(INDEX($Q$1:$U$60, INT((ROW(A74)-1)/COLUMNS($Q$1:$U$60))+1, MOD(ROW(A74)-1, COLUMNS($Q$1:$U$60))+1)="", "", INDEX($Q$1:$U$60, INT((ROW(A74)-1)/COLUMNS($Q$1:$U$60))+1, MOD(ROW(A74)-1, COLUMNS($Q$1:$U$60))+1))</f>
        <v>39</v>
      </c>
      <c r="AB74" t="str" cm="1">
        <f t="array" ref="AB74">IF(INDEX($V$1:$Z$60, INT((ROW(A74)-1)/COLUMNS($V$1:$Z$60))+1, MOD(ROW(A74)-1, COLUMNS($V$1:$Z$60))+1)="", "", INDEX($V$1:$Z$60, INT((ROW(A74)-1)/COLUMNS($V$1:$Z$60))+1, MOD(ROW(A74)-1, COLUMNS($V$1:$Z$60))+1))</f>
        <v>New York</v>
      </c>
    </row>
    <row r="75" spans="27:28">
      <c r="AA75" cm="1">
        <f t="array" ref="AA75">IF(INDEX($Q$1:$U$60, INT((ROW(A75)-1)/COLUMNS($Q$1:$U$60))+1, MOD(ROW(A75)-1, COLUMNS($Q$1:$U$60))+1)="", "", INDEX($Q$1:$U$60, INT((ROW(A75)-1)/COLUMNS($Q$1:$U$60))+1, MOD(ROW(A75)-1, COLUMNS($Q$1:$U$60))+1))</f>
        <v>39</v>
      </c>
      <c r="AB75" t="str" cm="1">
        <f t="array" ref="AB75">IF(INDEX($V$1:$Z$60, INT((ROW(A75)-1)/COLUMNS($V$1:$Z$60))+1, MOD(ROW(A75)-1, COLUMNS($V$1:$Z$60))+1)="", "", INDEX($V$1:$Z$60, INT((ROW(A75)-1)/COLUMNS($V$1:$Z$60))+1, MOD(ROW(A75)-1, COLUMNS($V$1:$Z$60))+1))</f>
        <v>California</v>
      </c>
    </row>
    <row r="76" spans="27:28">
      <c r="AA76" cm="1">
        <f t="array" ref="AA76">IF(INDEX($Q$1:$U$60, INT((ROW(A76)-1)/COLUMNS($Q$1:$U$60))+1, MOD(ROW(A76)-1, COLUMNS($Q$1:$U$60))+1)="", "", INDEX($Q$1:$U$60, INT((ROW(A76)-1)/COLUMNS($Q$1:$U$60))+1, MOD(ROW(A76)-1, COLUMNS($Q$1:$U$60))+1))</f>
        <v>16</v>
      </c>
      <c r="AB76" t="str" cm="1">
        <f t="array" ref="AB76">IF(INDEX($V$1:$Z$60, INT((ROW(A76)-1)/COLUMNS($V$1:$Z$60))+1, MOD(ROW(A76)-1, COLUMNS($V$1:$Z$60))+1)="", "", INDEX($V$1:$Z$60, INT((ROW(A76)-1)/COLUMNS($V$1:$Z$60))+1, MOD(ROW(A76)-1, COLUMNS($V$1:$Z$60))+1))</f>
        <v>Virginia</v>
      </c>
    </row>
    <row r="77" spans="27:28">
      <c r="AA77" cm="1">
        <f t="array" ref="AA77">IF(INDEX($Q$1:$U$60, INT((ROW(A77)-1)/COLUMNS($Q$1:$U$60))+1, MOD(ROW(A77)-1, COLUMNS($Q$1:$U$60))+1)="", "", INDEX($Q$1:$U$60, INT((ROW(A77)-1)/COLUMNS($Q$1:$U$60))+1, MOD(ROW(A77)-1, COLUMNS($Q$1:$U$60))+1))</f>
        <v>28</v>
      </c>
      <c r="AB77" t="str" cm="1">
        <f t="array" ref="AB77">IF(INDEX($V$1:$Z$60, INT((ROW(A77)-1)/COLUMNS($V$1:$Z$60))+1, MOD(ROW(A77)-1, COLUMNS($V$1:$Z$60))+1)="", "", INDEX($V$1:$Z$60, INT((ROW(A77)-1)/COLUMNS($V$1:$Z$60))+1, MOD(ROW(A77)-1, COLUMNS($V$1:$Z$60))+1))</f>
        <v>Florida</v>
      </c>
    </row>
    <row r="78" spans="27:28">
      <c r="AA78" cm="1">
        <f t="array" ref="AA78">IF(INDEX($Q$1:$U$60, INT((ROW(A78)-1)/COLUMNS($Q$1:$U$60))+1, MOD(ROW(A78)-1, COLUMNS($Q$1:$U$60))+1)="", "", INDEX($Q$1:$U$60, INT((ROW(A78)-1)/COLUMNS($Q$1:$U$60))+1, MOD(ROW(A78)-1, COLUMNS($Q$1:$U$60))+1))</f>
        <v>28</v>
      </c>
      <c r="AB78" t="str" cm="1">
        <f t="array" ref="AB78">IF(INDEX($V$1:$Z$60, INT((ROW(A78)-1)/COLUMNS($V$1:$Z$60))+1, MOD(ROW(A78)-1, COLUMNS($V$1:$Z$60))+1)="", "", INDEX($V$1:$Z$60, INT((ROW(A78)-1)/COLUMNS($V$1:$Z$60))+1, MOD(ROW(A78)-1, COLUMNS($V$1:$Z$60))+1))</f>
        <v>Texas</v>
      </c>
    </row>
    <row r="79" spans="27:28">
      <c r="AA79" cm="1">
        <f t="array" ref="AA79">IF(INDEX($Q$1:$U$60, INT((ROW(A79)-1)/COLUMNS($Q$1:$U$60))+1, MOD(ROW(A79)-1, COLUMNS($Q$1:$U$60))+1)="", "", INDEX($Q$1:$U$60, INT((ROW(A79)-1)/COLUMNS($Q$1:$U$60))+1, MOD(ROW(A79)-1, COLUMNS($Q$1:$U$60))+1))</f>
        <v>40</v>
      </c>
      <c r="AB79" t="str" cm="1">
        <f t="array" ref="AB79">IF(INDEX($V$1:$Z$60, INT((ROW(A79)-1)/COLUMNS($V$1:$Z$60))+1, MOD(ROW(A79)-1, COLUMNS($V$1:$Z$60))+1)="", "", INDEX($V$1:$Z$60, INT((ROW(A79)-1)/COLUMNS($V$1:$Z$60))+1, MOD(ROW(A79)-1, COLUMNS($V$1:$Z$60))+1))</f>
        <v>New York</v>
      </c>
    </row>
    <row r="80" spans="27:28">
      <c r="AA80" cm="1">
        <f t="array" ref="AA80">IF(INDEX($Q$1:$U$60, INT((ROW(A80)-1)/COLUMNS($Q$1:$U$60))+1, MOD(ROW(A80)-1, COLUMNS($Q$1:$U$60))+1)="", "", INDEX($Q$1:$U$60, INT((ROW(A80)-1)/COLUMNS($Q$1:$U$60))+1, MOD(ROW(A80)-1, COLUMNS($Q$1:$U$60))+1))</f>
        <v>40</v>
      </c>
      <c r="AB80" t="str" cm="1">
        <f t="array" ref="AB80">IF(INDEX($V$1:$Z$60, INT((ROW(A80)-1)/COLUMNS($V$1:$Z$60))+1, MOD(ROW(A80)-1, COLUMNS($V$1:$Z$60))+1)="", "", INDEX($V$1:$Z$60, INT((ROW(A80)-1)/COLUMNS($V$1:$Z$60))+1, MOD(ROW(A80)-1, COLUMNS($V$1:$Z$60))+1))</f>
        <v>California</v>
      </c>
    </row>
    <row r="81" spans="27:28">
      <c r="AA81" cm="1">
        <f t="array" ref="AA81">IF(INDEX($Q$1:$U$60, INT((ROW(A81)-1)/COLUMNS($Q$1:$U$60))+1, MOD(ROW(A81)-1, COLUMNS($Q$1:$U$60))+1)="", "", INDEX($Q$1:$U$60, INT((ROW(A81)-1)/COLUMNS($Q$1:$U$60))+1, MOD(ROW(A81)-1, COLUMNS($Q$1:$U$60))+1))</f>
        <v>17</v>
      </c>
      <c r="AB81" t="str" cm="1">
        <f t="array" ref="AB81">IF(INDEX($V$1:$Z$60, INT((ROW(A81)-1)/COLUMNS($V$1:$Z$60))+1, MOD(ROW(A81)-1, COLUMNS($V$1:$Z$60))+1)="", "", INDEX($V$1:$Z$60, INT((ROW(A81)-1)/COLUMNS($V$1:$Z$60))+1, MOD(ROW(A81)-1, COLUMNS($V$1:$Z$60))+1))</f>
        <v>Virginia</v>
      </c>
    </row>
    <row r="82" spans="27:28">
      <c r="AA82" cm="1">
        <f t="array" ref="AA82">IF(INDEX($Q$1:$U$60, INT((ROW(A82)-1)/COLUMNS($Q$1:$U$60))+1, MOD(ROW(A82)-1, COLUMNS($Q$1:$U$60))+1)="", "", INDEX($Q$1:$U$60, INT((ROW(A82)-1)/COLUMNS($Q$1:$U$60))+1, MOD(ROW(A82)-1, COLUMNS($Q$1:$U$60))+1))</f>
        <v>29</v>
      </c>
      <c r="AB82" t="str" cm="1">
        <f t="array" ref="AB82">IF(INDEX($V$1:$Z$60, INT((ROW(A82)-1)/COLUMNS($V$1:$Z$60))+1, MOD(ROW(A82)-1, COLUMNS($V$1:$Z$60))+1)="", "", INDEX($V$1:$Z$60, INT((ROW(A82)-1)/COLUMNS($V$1:$Z$60))+1, MOD(ROW(A82)-1, COLUMNS($V$1:$Z$60))+1))</f>
        <v>Florida</v>
      </c>
    </row>
    <row r="83" spans="27:28">
      <c r="AA83" cm="1">
        <f t="array" ref="AA83">IF(INDEX($Q$1:$U$60, INT((ROW(A83)-1)/COLUMNS($Q$1:$U$60))+1, MOD(ROW(A83)-1, COLUMNS($Q$1:$U$60))+1)="", "", INDEX($Q$1:$U$60, INT((ROW(A83)-1)/COLUMNS($Q$1:$U$60))+1, MOD(ROW(A83)-1, COLUMNS($Q$1:$U$60))+1))</f>
        <v>29</v>
      </c>
      <c r="AB83" t="str" cm="1">
        <f t="array" ref="AB83">IF(INDEX($V$1:$Z$60, INT((ROW(A83)-1)/COLUMNS($V$1:$Z$60))+1, MOD(ROW(A83)-1, COLUMNS($V$1:$Z$60))+1)="", "", INDEX($V$1:$Z$60, INT((ROW(A83)-1)/COLUMNS($V$1:$Z$60))+1, MOD(ROW(A83)-1, COLUMNS($V$1:$Z$60))+1))</f>
        <v>Texas</v>
      </c>
    </row>
    <row r="84" spans="27:28">
      <c r="AA84" cm="1">
        <f t="array" ref="AA84">IF(INDEX($Q$1:$U$60, INT((ROW(A84)-1)/COLUMNS($Q$1:$U$60))+1, MOD(ROW(A84)-1, COLUMNS($Q$1:$U$60))+1)="", "", INDEX($Q$1:$U$60, INT((ROW(A84)-1)/COLUMNS($Q$1:$U$60))+1, MOD(ROW(A84)-1, COLUMNS($Q$1:$U$60))+1))</f>
        <v>41</v>
      </c>
      <c r="AB84" t="str" cm="1">
        <f t="array" ref="AB84">IF(INDEX($V$1:$Z$60, INT((ROW(A84)-1)/COLUMNS($V$1:$Z$60))+1, MOD(ROW(A84)-1, COLUMNS($V$1:$Z$60))+1)="", "", INDEX($V$1:$Z$60, INT((ROW(A84)-1)/COLUMNS($V$1:$Z$60))+1, MOD(ROW(A84)-1, COLUMNS($V$1:$Z$60))+1))</f>
        <v>New York</v>
      </c>
    </row>
    <row r="85" spans="27:28">
      <c r="AA85" cm="1">
        <f t="array" ref="AA85">IF(INDEX($Q$1:$U$60, INT((ROW(A85)-1)/COLUMNS($Q$1:$U$60))+1, MOD(ROW(A85)-1, COLUMNS($Q$1:$U$60))+1)="", "", INDEX($Q$1:$U$60, INT((ROW(A85)-1)/COLUMNS($Q$1:$U$60))+1, MOD(ROW(A85)-1, COLUMNS($Q$1:$U$60))+1))</f>
        <v>41</v>
      </c>
      <c r="AB85" t="str" cm="1">
        <f t="array" ref="AB85">IF(INDEX($V$1:$Z$60, INT((ROW(A85)-1)/COLUMNS($V$1:$Z$60))+1, MOD(ROW(A85)-1, COLUMNS($V$1:$Z$60))+1)="", "", INDEX($V$1:$Z$60, INT((ROW(A85)-1)/COLUMNS($V$1:$Z$60))+1, MOD(ROW(A85)-1, COLUMNS($V$1:$Z$60))+1))</f>
        <v>California</v>
      </c>
    </row>
    <row r="86" spans="27:28">
      <c r="AA86" cm="1">
        <f t="array" ref="AA86">IF(INDEX($Q$1:$U$60, INT((ROW(A86)-1)/COLUMNS($Q$1:$U$60))+1, MOD(ROW(A86)-1, COLUMNS($Q$1:$U$60))+1)="", "", INDEX($Q$1:$U$60, INT((ROW(A86)-1)/COLUMNS($Q$1:$U$60))+1, MOD(ROW(A86)-1, COLUMNS($Q$1:$U$60))+1))</f>
        <v>18</v>
      </c>
      <c r="AB86" t="str" cm="1">
        <f t="array" ref="AB86">IF(INDEX($V$1:$Z$60, INT((ROW(A86)-1)/COLUMNS($V$1:$Z$60))+1, MOD(ROW(A86)-1, COLUMNS($V$1:$Z$60))+1)="", "", INDEX($V$1:$Z$60, INT((ROW(A86)-1)/COLUMNS($V$1:$Z$60))+1, MOD(ROW(A86)-1, COLUMNS($V$1:$Z$60))+1))</f>
        <v>Virginia</v>
      </c>
    </row>
    <row r="87" spans="27:28">
      <c r="AA87" cm="1">
        <f t="array" ref="AA87">IF(INDEX($Q$1:$U$60, INT((ROW(A87)-1)/COLUMNS($Q$1:$U$60))+1, MOD(ROW(A87)-1, COLUMNS($Q$1:$U$60))+1)="", "", INDEX($Q$1:$U$60, INT((ROW(A87)-1)/COLUMNS($Q$1:$U$60))+1, MOD(ROW(A87)-1, COLUMNS($Q$1:$U$60))+1))</f>
        <v>30</v>
      </c>
      <c r="AB87" t="str" cm="1">
        <f t="array" ref="AB87">IF(INDEX($V$1:$Z$60, INT((ROW(A87)-1)/COLUMNS($V$1:$Z$60))+1, MOD(ROW(A87)-1, COLUMNS($V$1:$Z$60))+1)="", "", INDEX($V$1:$Z$60, INT((ROW(A87)-1)/COLUMNS($V$1:$Z$60))+1, MOD(ROW(A87)-1, COLUMNS($V$1:$Z$60))+1))</f>
        <v>Florida</v>
      </c>
    </row>
    <row r="88" spans="27:28">
      <c r="AA88" cm="1">
        <f t="array" ref="AA88">IF(INDEX($Q$1:$U$60, INT((ROW(A88)-1)/COLUMNS($Q$1:$U$60))+1, MOD(ROW(A88)-1, COLUMNS($Q$1:$U$60))+1)="", "", INDEX($Q$1:$U$60, INT((ROW(A88)-1)/COLUMNS($Q$1:$U$60))+1, MOD(ROW(A88)-1, COLUMNS($Q$1:$U$60))+1))</f>
        <v>30</v>
      </c>
      <c r="AB88" t="str" cm="1">
        <f t="array" ref="AB88">IF(INDEX($V$1:$Z$60, INT((ROW(A88)-1)/COLUMNS($V$1:$Z$60))+1, MOD(ROW(A88)-1, COLUMNS($V$1:$Z$60))+1)="", "", INDEX($V$1:$Z$60, INT((ROW(A88)-1)/COLUMNS($V$1:$Z$60))+1, MOD(ROW(A88)-1, COLUMNS($V$1:$Z$60))+1))</f>
        <v>Texas</v>
      </c>
    </row>
    <row r="89" spans="27:28">
      <c r="AA89" cm="1">
        <f t="array" ref="AA89">IF(INDEX($Q$1:$U$60, INT((ROW(A89)-1)/COLUMNS($Q$1:$U$60))+1, MOD(ROW(A89)-1, COLUMNS($Q$1:$U$60))+1)="", "", INDEX($Q$1:$U$60, INT((ROW(A89)-1)/COLUMNS($Q$1:$U$60))+1, MOD(ROW(A89)-1, COLUMNS($Q$1:$U$60))+1))</f>
        <v>42</v>
      </c>
      <c r="AB89" t="str" cm="1">
        <f t="array" ref="AB89">IF(INDEX($V$1:$Z$60, INT((ROW(A89)-1)/COLUMNS($V$1:$Z$60))+1, MOD(ROW(A89)-1, COLUMNS($V$1:$Z$60))+1)="", "", INDEX($V$1:$Z$60, INT((ROW(A89)-1)/COLUMNS($V$1:$Z$60))+1, MOD(ROW(A89)-1, COLUMNS($V$1:$Z$60))+1))</f>
        <v>New York</v>
      </c>
    </row>
    <row r="90" spans="27:28">
      <c r="AA90" cm="1">
        <f t="array" ref="AA90">IF(INDEX($Q$1:$U$60, INT((ROW(A90)-1)/COLUMNS($Q$1:$U$60))+1, MOD(ROW(A90)-1, COLUMNS($Q$1:$U$60))+1)="", "", INDEX($Q$1:$U$60, INT((ROW(A90)-1)/COLUMNS($Q$1:$U$60))+1, MOD(ROW(A90)-1, COLUMNS($Q$1:$U$60))+1))</f>
        <v>42</v>
      </c>
      <c r="AB90" t="str" cm="1">
        <f t="array" ref="AB90">IF(INDEX($V$1:$Z$60, INT((ROW(A90)-1)/COLUMNS($V$1:$Z$60))+1, MOD(ROW(A90)-1, COLUMNS($V$1:$Z$60))+1)="", "", INDEX($V$1:$Z$60, INT((ROW(A90)-1)/COLUMNS($V$1:$Z$60))+1, MOD(ROW(A90)-1, COLUMNS($V$1:$Z$60))+1))</f>
        <v>California</v>
      </c>
    </row>
    <row r="91" spans="27:28">
      <c r="AA91" cm="1">
        <f t="array" ref="AA91">IF(INDEX($Q$1:$U$60, INT((ROW(A91)-1)/COLUMNS($Q$1:$U$60))+1, MOD(ROW(A91)-1, COLUMNS($Q$1:$U$60))+1)="", "", INDEX($Q$1:$U$60, INT((ROW(A91)-1)/COLUMNS($Q$1:$U$60))+1, MOD(ROW(A91)-1, COLUMNS($Q$1:$U$60))+1))</f>
        <v>19</v>
      </c>
      <c r="AB91" t="str" cm="1">
        <f t="array" ref="AB91">IF(INDEX($V$1:$Z$60, INT((ROW(A91)-1)/COLUMNS($V$1:$Z$60))+1, MOD(ROW(A91)-1, COLUMNS($V$1:$Z$60))+1)="", "", INDEX($V$1:$Z$60, INT((ROW(A91)-1)/COLUMNS($V$1:$Z$60))+1, MOD(ROW(A91)-1, COLUMNS($V$1:$Z$60))+1))</f>
        <v>Virginia</v>
      </c>
    </row>
    <row r="92" spans="27:28">
      <c r="AA92" cm="1">
        <f t="array" ref="AA92">IF(INDEX($Q$1:$U$60, INT((ROW(A92)-1)/COLUMNS($Q$1:$U$60))+1, MOD(ROW(A92)-1, COLUMNS($Q$1:$U$60))+1)="", "", INDEX($Q$1:$U$60, INT((ROW(A92)-1)/COLUMNS($Q$1:$U$60))+1, MOD(ROW(A92)-1, COLUMNS($Q$1:$U$60))+1))</f>
        <v>31</v>
      </c>
      <c r="AB92" t="str" cm="1">
        <f t="array" ref="AB92">IF(INDEX($V$1:$Z$60, INT((ROW(A92)-1)/COLUMNS($V$1:$Z$60))+1, MOD(ROW(A92)-1, COLUMNS($V$1:$Z$60))+1)="", "", INDEX($V$1:$Z$60, INT((ROW(A92)-1)/COLUMNS($V$1:$Z$60))+1, MOD(ROW(A92)-1, COLUMNS($V$1:$Z$60))+1))</f>
        <v>Florida</v>
      </c>
    </row>
    <row r="93" spans="27:28">
      <c r="AA93" cm="1">
        <f t="array" ref="AA93">IF(INDEX($Q$1:$U$60, INT((ROW(A93)-1)/COLUMNS($Q$1:$U$60))+1, MOD(ROW(A93)-1, COLUMNS($Q$1:$U$60))+1)="", "", INDEX($Q$1:$U$60, INT((ROW(A93)-1)/COLUMNS($Q$1:$U$60))+1, MOD(ROW(A93)-1, COLUMNS($Q$1:$U$60))+1))</f>
        <v>31</v>
      </c>
      <c r="AB93" t="str" cm="1">
        <f t="array" ref="AB93">IF(INDEX($V$1:$Z$60, INT((ROW(A93)-1)/COLUMNS($V$1:$Z$60))+1, MOD(ROW(A93)-1, COLUMNS($V$1:$Z$60))+1)="", "", INDEX($V$1:$Z$60, INT((ROW(A93)-1)/COLUMNS($V$1:$Z$60))+1, MOD(ROW(A93)-1, COLUMNS($V$1:$Z$60))+1))</f>
        <v>Texas</v>
      </c>
    </row>
    <row r="94" spans="27:28">
      <c r="AA94" cm="1">
        <f t="array" ref="AA94">IF(INDEX($Q$1:$U$60, INT((ROW(A94)-1)/COLUMNS($Q$1:$U$60))+1, MOD(ROW(A94)-1, COLUMNS($Q$1:$U$60))+1)="", "", INDEX($Q$1:$U$60, INT((ROW(A94)-1)/COLUMNS($Q$1:$U$60))+1, MOD(ROW(A94)-1, COLUMNS($Q$1:$U$60))+1))</f>
        <v>43</v>
      </c>
      <c r="AB94" t="str" cm="1">
        <f t="array" ref="AB94">IF(INDEX($V$1:$Z$60, INT((ROW(A94)-1)/COLUMNS($V$1:$Z$60))+1, MOD(ROW(A94)-1, COLUMNS($V$1:$Z$60))+1)="", "", INDEX($V$1:$Z$60, INT((ROW(A94)-1)/COLUMNS($V$1:$Z$60))+1, MOD(ROW(A94)-1, COLUMNS($V$1:$Z$60))+1))</f>
        <v>New York</v>
      </c>
    </row>
    <row r="95" spans="27:28">
      <c r="AA95" cm="1">
        <f t="array" ref="AA95">IF(INDEX($Q$1:$U$60, INT((ROW(A95)-1)/COLUMNS($Q$1:$U$60))+1, MOD(ROW(A95)-1, COLUMNS($Q$1:$U$60))+1)="", "", INDEX($Q$1:$U$60, INT((ROW(A95)-1)/COLUMNS($Q$1:$U$60))+1, MOD(ROW(A95)-1, COLUMNS($Q$1:$U$60))+1))</f>
        <v>43</v>
      </c>
      <c r="AB95" t="str" cm="1">
        <f t="array" ref="AB95">IF(INDEX($V$1:$Z$60, INT((ROW(A95)-1)/COLUMNS($V$1:$Z$60))+1, MOD(ROW(A95)-1, COLUMNS($V$1:$Z$60))+1)="", "", INDEX($V$1:$Z$60, INT((ROW(A95)-1)/COLUMNS($V$1:$Z$60))+1, MOD(ROW(A95)-1, COLUMNS($V$1:$Z$60))+1))</f>
        <v>California</v>
      </c>
    </row>
    <row r="96" spans="27:28">
      <c r="AA96" cm="1">
        <f t="array" ref="AA96">IF(INDEX($Q$1:$U$60, INT((ROW(A96)-1)/COLUMNS($Q$1:$U$60))+1, MOD(ROW(A96)-1, COLUMNS($Q$1:$U$60))+1)="", "", INDEX($Q$1:$U$60, INT((ROW(A96)-1)/COLUMNS($Q$1:$U$60))+1, MOD(ROW(A96)-1, COLUMNS($Q$1:$U$60))+1))</f>
        <v>20</v>
      </c>
      <c r="AB96" t="str" cm="1">
        <f t="array" ref="AB96">IF(INDEX($V$1:$Z$60, INT((ROW(A96)-1)/COLUMNS($V$1:$Z$60))+1, MOD(ROW(A96)-1, COLUMNS($V$1:$Z$60))+1)="", "", INDEX($V$1:$Z$60, INT((ROW(A96)-1)/COLUMNS($V$1:$Z$60))+1, MOD(ROW(A96)-1, COLUMNS($V$1:$Z$60))+1))</f>
        <v>Virginia</v>
      </c>
    </row>
    <row r="97" spans="27:28">
      <c r="AA97" cm="1">
        <f t="array" ref="AA97">IF(INDEX($Q$1:$U$60, INT((ROW(A97)-1)/COLUMNS($Q$1:$U$60))+1, MOD(ROW(A97)-1, COLUMNS($Q$1:$U$60))+1)="", "", INDEX($Q$1:$U$60, INT((ROW(A97)-1)/COLUMNS($Q$1:$U$60))+1, MOD(ROW(A97)-1, COLUMNS($Q$1:$U$60))+1))</f>
        <v>32</v>
      </c>
      <c r="AB97" t="str" cm="1">
        <f t="array" ref="AB97">IF(INDEX($V$1:$Z$60, INT((ROW(A97)-1)/COLUMNS($V$1:$Z$60))+1, MOD(ROW(A97)-1, COLUMNS($V$1:$Z$60))+1)="", "", INDEX($V$1:$Z$60, INT((ROW(A97)-1)/COLUMNS($V$1:$Z$60))+1, MOD(ROW(A97)-1, COLUMNS($V$1:$Z$60))+1))</f>
        <v>Florida</v>
      </c>
    </row>
    <row r="98" spans="27:28">
      <c r="AA98" cm="1">
        <f t="array" ref="AA98">IF(INDEX($Q$1:$U$60, INT((ROW(A98)-1)/COLUMNS($Q$1:$U$60))+1, MOD(ROW(A98)-1, COLUMNS($Q$1:$U$60))+1)="", "", INDEX($Q$1:$U$60, INT((ROW(A98)-1)/COLUMNS($Q$1:$U$60))+1, MOD(ROW(A98)-1, COLUMNS($Q$1:$U$60))+1))</f>
        <v>32</v>
      </c>
      <c r="AB98" t="str" cm="1">
        <f t="array" ref="AB98">IF(INDEX($V$1:$Z$60, INT((ROW(A98)-1)/COLUMNS($V$1:$Z$60))+1, MOD(ROW(A98)-1, COLUMNS($V$1:$Z$60))+1)="", "", INDEX($V$1:$Z$60, INT((ROW(A98)-1)/COLUMNS($V$1:$Z$60))+1, MOD(ROW(A98)-1, COLUMNS($V$1:$Z$60))+1))</f>
        <v>Texas</v>
      </c>
    </row>
    <row r="99" spans="27:28">
      <c r="AA99" cm="1">
        <f t="array" ref="AA99">IF(INDEX($Q$1:$U$60, INT((ROW(A99)-1)/COLUMNS($Q$1:$U$60))+1, MOD(ROW(A99)-1, COLUMNS($Q$1:$U$60))+1)="", "", INDEX($Q$1:$U$60, INT((ROW(A99)-1)/COLUMNS($Q$1:$U$60))+1, MOD(ROW(A99)-1, COLUMNS($Q$1:$U$60))+1))</f>
        <v>44</v>
      </c>
      <c r="AB99" t="str" cm="1">
        <f t="array" ref="AB99">IF(INDEX($V$1:$Z$60, INT((ROW(A99)-1)/COLUMNS($V$1:$Z$60))+1, MOD(ROW(A99)-1, COLUMNS($V$1:$Z$60))+1)="", "", INDEX($V$1:$Z$60, INT((ROW(A99)-1)/COLUMNS($V$1:$Z$60))+1, MOD(ROW(A99)-1, COLUMNS($V$1:$Z$60))+1))</f>
        <v>New York</v>
      </c>
    </row>
    <row r="100" spans="27:28">
      <c r="AA100" cm="1">
        <f t="array" ref="AA100">IF(INDEX($Q$1:$U$60, INT((ROW(A100)-1)/COLUMNS($Q$1:$U$60))+1, MOD(ROW(A100)-1, COLUMNS($Q$1:$U$60))+1)="", "", INDEX($Q$1:$U$60, INT((ROW(A100)-1)/COLUMNS($Q$1:$U$60))+1, MOD(ROW(A100)-1, COLUMNS($Q$1:$U$60))+1))</f>
        <v>44</v>
      </c>
      <c r="AB100" t="str" cm="1">
        <f t="array" ref="AB100">IF(INDEX($V$1:$Z$60, INT((ROW(A100)-1)/COLUMNS($V$1:$Z$60))+1, MOD(ROW(A100)-1, COLUMNS($V$1:$Z$60))+1)="", "", INDEX($V$1:$Z$60, INT((ROW(A100)-1)/COLUMNS($V$1:$Z$60))+1, MOD(ROW(A100)-1, COLUMNS($V$1:$Z$60))+1))</f>
        <v>California</v>
      </c>
    </row>
    <row r="101" spans="27:28">
      <c r="AA101" cm="1">
        <f t="array" ref="AA101">IF(INDEX($Q$1:$U$60, INT((ROW(A101)-1)/COLUMNS($Q$1:$U$60))+1, MOD(ROW(A101)-1, COLUMNS($Q$1:$U$60))+1)="", "", INDEX($Q$1:$U$60, INT((ROW(A101)-1)/COLUMNS($Q$1:$U$60))+1, MOD(ROW(A101)-1, COLUMNS($Q$1:$U$60))+1))</f>
        <v>21</v>
      </c>
      <c r="AB101" t="str" cm="1">
        <f t="array" ref="AB101">IF(INDEX($V$1:$Z$60, INT((ROW(A101)-1)/COLUMNS($V$1:$Z$60))+1, MOD(ROW(A101)-1, COLUMNS($V$1:$Z$60))+1)="", "", INDEX($V$1:$Z$60, INT((ROW(A101)-1)/COLUMNS($V$1:$Z$60))+1, MOD(ROW(A101)-1, COLUMNS($V$1:$Z$60))+1))</f>
        <v>Virginia</v>
      </c>
    </row>
    <row r="102" spans="27:28">
      <c r="AA102" cm="1">
        <f t="array" ref="AA102">IF(INDEX($Q$1:$U$60, INT((ROW(A102)-1)/COLUMNS($Q$1:$U$60))+1, MOD(ROW(A102)-1, COLUMNS($Q$1:$U$60))+1)="", "", INDEX($Q$1:$U$60, INT((ROW(A102)-1)/COLUMNS($Q$1:$U$60))+1, MOD(ROW(A102)-1, COLUMNS($Q$1:$U$60))+1))</f>
        <v>33</v>
      </c>
      <c r="AB102" t="str" cm="1">
        <f t="array" ref="AB102">IF(INDEX($V$1:$Z$60, INT((ROW(A102)-1)/COLUMNS($V$1:$Z$60))+1, MOD(ROW(A102)-1, COLUMNS($V$1:$Z$60))+1)="", "", INDEX($V$1:$Z$60, INT((ROW(A102)-1)/COLUMNS($V$1:$Z$60))+1, MOD(ROW(A102)-1, COLUMNS($V$1:$Z$60))+1))</f>
        <v>Florida</v>
      </c>
    </row>
    <row r="103" spans="27:28">
      <c r="AA103" cm="1">
        <f t="array" ref="AA103">IF(INDEX($Q$1:$U$60, INT((ROW(A103)-1)/COLUMNS($Q$1:$U$60))+1, MOD(ROW(A103)-1, COLUMNS($Q$1:$U$60))+1)="", "", INDEX($Q$1:$U$60, INT((ROW(A103)-1)/COLUMNS($Q$1:$U$60))+1, MOD(ROW(A103)-1, COLUMNS($Q$1:$U$60))+1))</f>
        <v>33</v>
      </c>
      <c r="AB103" t="str" cm="1">
        <f t="array" ref="AB103">IF(INDEX($V$1:$Z$60, INT((ROW(A103)-1)/COLUMNS($V$1:$Z$60))+1, MOD(ROW(A103)-1, COLUMNS($V$1:$Z$60))+1)="", "", INDEX($V$1:$Z$60, INT((ROW(A103)-1)/COLUMNS($V$1:$Z$60))+1, MOD(ROW(A103)-1, COLUMNS($V$1:$Z$60))+1))</f>
        <v>Texas</v>
      </c>
    </row>
    <row r="104" spans="27:28">
      <c r="AA104" cm="1">
        <f t="array" ref="AA104">IF(INDEX($Q$1:$U$60, INT((ROW(A104)-1)/COLUMNS($Q$1:$U$60))+1, MOD(ROW(A104)-1, COLUMNS($Q$1:$U$60))+1)="", "", INDEX($Q$1:$U$60, INT((ROW(A104)-1)/COLUMNS($Q$1:$U$60))+1, MOD(ROW(A104)-1, COLUMNS($Q$1:$U$60))+1))</f>
        <v>45</v>
      </c>
      <c r="AB104" t="str" cm="1">
        <f t="array" ref="AB104">IF(INDEX($V$1:$Z$60, INT((ROW(A104)-1)/COLUMNS($V$1:$Z$60))+1, MOD(ROW(A104)-1, COLUMNS($V$1:$Z$60))+1)="", "", INDEX($V$1:$Z$60, INT((ROW(A104)-1)/COLUMNS($V$1:$Z$60))+1, MOD(ROW(A104)-1, COLUMNS($V$1:$Z$60))+1))</f>
        <v>New York</v>
      </c>
    </row>
    <row r="105" spans="27:28">
      <c r="AA105" cm="1">
        <f t="array" ref="AA105">IF(INDEX($Q$1:$U$60, INT((ROW(A105)-1)/COLUMNS($Q$1:$U$60))+1, MOD(ROW(A105)-1, COLUMNS($Q$1:$U$60))+1)="", "", INDEX($Q$1:$U$60, INT((ROW(A105)-1)/COLUMNS($Q$1:$U$60))+1, MOD(ROW(A105)-1, COLUMNS($Q$1:$U$60))+1))</f>
        <v>45</v>
      </c>
      <c r="AB105" t="str" cm="1">
        <f t="array" ref="AB105">IF(INDEX($V$1:$Z$60, INT((ROW(A105)-1)/COLUMNS($V$1:$Z$60))+1, MOD(ROW(A105)-1, COLUMNS($V$1:$Z$60))+1)="", "", INDEX($V$1:$Z$60, INT((ROW(A105)-1)/COLUMNS($V$1:$Z$60))+1, MOD(ROW(A105)-1, COLUMNS($V$1:$Z$60))+1))</f>
        <v>California</v>
      </c>
    </row>
    <row r="106" spans="27:28">
      <c r="AA106" cm="1">
        <f t="array" ref="AA106">IF(INDEX($Q$1:$U$60, INT((ROW(A106)-1)/COLUMNS($Q$1:$U$60))+1, MOD(ROW(A106)-1, COLUMNS($Q$1:$U$60))+1)="", "", INDEX($Q$1:$U$60, INT((ROW(A106)-1)/COLUMNS($Q$1:$U$60))+1, MOD(ROW(A106)-1, COLUMNS($Q$1:$U$60))+1))</f>
        <v>22</v>
      </c>
      <c r="AB106" t="str" cm="1">
        <f t="array" ref="AB106">IF(INDEX($V$1:$Z$60, INT((ROW(A106)-1)/COLUMNS($V$1:$Z$60))+1, MOD(ROW(A106)-1, COLUMNS($V$1:$Z$60))+1)="", "", INDEX($V$1:$Z$60, INT((ROW(A106)-1)/COLUMNS($V$1:$Z$60))+1, MOD(ROW(A106)-1, COLUMNS($V$1:$Z$60))+1))</f>
        <v>Virginia</v>
      </c>
    </row>
    <row r="107" spans="27:28">
      <c r="AA107" cm="1">
        <f t="array" ref="AA107">IF(INDEX($Q$1:$U$60, INT((ROW(A107)-1)/COLUMNS($Q$1:$U$60))+1, MOD(ROW(A107)-1, COLUMNS($Q$1:$U$60))+1)="", "", INDEX($Q$1:$U$60, INT((ROW(A107)-1)/COLUMNS($Q$1:$U$60))+1, MOD(ROW(A107)-1, COLUMNS($Q$1:$U$60))+1))</f>
        <v>34</v>
      </c>
      <c r="AB107" t="str" cm="1">
        <f t="array" ref="AB107">IF(INDEX($V$1:$Z$60, INT((ROW(A107)-1)/COLUMNS($V$1:$Z$60))+1, MOD(ROW(A107)-1, COLUMNS($V$1:$Z$60))+1)="", "", INDEX($V$1:$Z$60, INT((ROW(A107)-1)/COLUMNS($V$1:$Z$60))+1, MOD(ROW(A107)-1, COLUMNS($V$1:$Z$60))+1))</f>
        <v>Florida</v>
      </c>
    </row>
    <row r="108" spans="27:28">
      <c r="AA108" cm="1">
        <f t="array" ref="AA108">IF(INDEX($Q$1:$U$60, INT((ROW(A108)-1)/COLUMNS($Q$1:$U$60))+1, MOD(ROW(A108)-1, COLUMNS($Q$1:$U$60))+1)="", "", INDEX($Q$1:$U$60, INT((ROW(A108)-1)/COLUMNS($Q$1:$U$60))+1, MOD(ROW(A108)-1, COLUMNS($Q$1:$U$60))+1))</f>
        <v>34</v>
      </c>
      <c r="AB108" t="str" cm="1">
        <f t="array" ref="AB108">IF(INDEX($V$1:$Z$60, INT((ROW(A108)-1)/COLUMNS($V$1:$Z$60))+1, MOD(ROW(A108)-1, COLUMNS($V$1:$Z$60))+1)="", "", INDEX($V$1:$Z$60, INT((ROW(A108)-1)/COLUMNS($V$1:$Z$60))+1, MOD(ROW(A108)-1, COLUMNS($V$1:$Z$60))+1))</f>
        <v>Texas</v>
      </c>
    </row>
    <row r="109" spans="27:28">
      <c r="AA109" cm="1">
        <f t="array" ref="AA109">IF(INDEX($Q$1:$U$60, INT((ROW(A109)-1)/COLUMNS($Q$1:$U$60))+1, MOD(ROW(A109)-1, COLUMNS($Q$1:$U$60))+1)="", "", INDEX($Q$1:$U$60, INT((ROW(A109)-1)/COLUMNS($Q$1:$U$60))+1, MOD(ROW(A109)-1, COLUMNS($Q$1:$U$60))+1))</f>
        <v>46</v>
      </c>
      <c r="AB109" t="str" cm="1">
        <f t="array" ref="AB109">IF(INDEX($V$1:$Z$60, INT((ROW(A109)-1)/COLUMNS($V$1:$Z$60))+1, MOD(ROW(A109)-1, COLUMNS($V$1:$Z$60))+1)="", "", INDEX($V$1:$Z$60, INT((ROW(A109)-1)/COLUMNS($V$1:$Z$60))+1, MOD(ROW(A109)-1, COLUMNS($V$1:$Z$60))+1))</f>
        <v>New York</v>
      </c>
    </row>
    <row r="110" spans="27:28">
      <c r="AA110" cm="1">
        <f t="array" ref="AA110">IF(INDEX($Q$1:$U$60, INT((ROW(A110)-1)/COLUMNS($Q$1:$U$60))+1, MOD(ROW(A110)-1, COLUMNS($Q$1:$U$60))+1)="", "", INDEX($Q$1:$U$60, INT((ROW(A110)-1)/COLUMNS($Q$1:$U$60))+1, MOD(ROW(A110)-1, COLUMNS($Q$1:$U$60))+1))</f>
        <v>46</v>
      </c>
      <c r="AB110" t="str" cm="1">
        <f t="array" ref="AB110">IF(INDEX($V$1:$Z$60, INT((ROW(A110)-1)/COLUMNS($V$1:$Z$60))+1, MOD(ROW(A110)-1, COLUMNS($V$1:$Z$60))+1)="", "", INDEX($V$1:$Z$60, INT((ROW(A110)-1)/COLUMNS($V$1:$Z$60))+1, MOD(ROW(A110)-1, COLUMNS($V$1:$Z$60))+1))</f>
        <v>California</v>
      </c>
    </row>
    <row r="111" spans="27:28">
      <c r="AA111" cm="1">
        <f t="array" ref="AA111">IF(INDEX($Q$1:$U$60, INT((ROW(A111)-1)/COLUMNS($Q$1:$U$60))+1, MOD(ROW(A111)-1, COLUMNS($Q$1:$U$60))+1)="", "", INDEX($Q$1:$U$60, INT((ROW(A111)-1)/COLUMNS($Q$1:$U$60))+1, MOD(ROW(A111)-1, COLUMNS($Q$1:$U$60))+1))</f>
        <v>23</v>
      </c>
      <c r="AB111" t="str" cm="1">
        <f t="array" ref="AB111">IF(INDEX($V$1:$Z$60, INT((ROW(A111)-1)/COLUMNS($V$1:$Z$60))+1, MOD(ROW(A111)-1, COLUMNS($V$1:$Z$60))+1)="", "", INDEX($V$1:$Z$60, INT((ROW(A111)-1)/COLUMNS($V$1:$Z$60))+1, MOD(ROW(A111)-1, COLUMNS($V$1:$Z$60))+1))</f>
        <v>Virginia</v>
      </c>
    </row>
    <row r="112" spans="27:28">
      <c r="AA112" cm="1">
        <f t="array" ref="AA112">IF(INDEX($Q$1:$U$60, INT((ROW(A112)-1)/COLUMNS($Q$1:$U$60))+1, MOD(ROW(A112)-1, COLUMNS($Q$1:$U$60))+1)="", "", INDEX($Q$1:$U$60, INT((ROW(A112)-1)/COLUMNS($Q$1:$U$60))+1, MOD(ROW(A112)-1, COLUMNS($Q$1:$U$60))+1))</f>
        <v>35</v>
      </c>
      <c r="AB112" t="str" cm="1">
        <f t="array" ref="AB112">IF(INDEX($V$1:$Z$60, INT((ROW(A112)-1)/COLUMNS($V$1:$Z$60))+1, MOD(ROW(A112)-1, COLUMNS($V$1:$Z$60))+1)="", "", INDEX($V$1:$Z$60, INT((ROW(A112)-1)/COLUMNS($V$1:$Z$60))+1, MOD(ROW(A112)-1, COLUMNS($V$1:$Z$60))+1))</f>
        <v>Florida</v>
      </c>
    </row>
    <row r="113" spans="27:28">
      <c r="AA113" cm="1">
        <f t="array" ref="AA113">IF(INDEX($Q$1:$U$60, INT((ROW(A113)-1)/COLUMNS($Q$1:$U$60))+1, MOD(ROW(A113)-1, COLUMNS($Q$1:$U$60))+1)="", "", INDEX($Q$1:$U$60, INT((ROW(A113)-1)/COLUMNS($Q$1:$U$60))+1, MOD(ROW(A113)-1, COLUMNS($Q$1:$U$60))+1))</f>
        <v>35</v>
      </c>
      <c r="AB113" t="str" cm="1">
        <f t="array" ref="AB113">IF(INDEX($V$1:$Z$60, INT((ROW(A113)-1)/COLUMNS($V$1:$Z$60))+1, MOD(ROW(A113)-1, COLUMNS($V$1:$Z$60))+1)="", "", INDEX($V$1:$Z$60, INT((ROW(A113)-1)/COLUMNS($V$1:$Z$60))+1, MOD(ROW(A113)-1, COLUMNS($V$1:$Z$60))+1))</f>
        <v>Texas</v>
      </c>
    </row>
    <row r="114" spans="27:28">
      <c r="AA114" cm="1">
        <f t="array" ref="AA114">IF(INDEX($Q$1:$U$60, INT((ROW(A114)-1)/COLUMNS($Q$1:$U$60))+1, MOD(ROW(A114)-1, COLUMNS($Q$1:$U$60))+1)="", "", INDEX($Q$1:$U$60, INT((ROW(A114)-1)/COLUMNS($Q$1:$U$60))+1, MOD(ROW(A114)-1, COLUMNS($Q$1:$U$60))+1))</f>
        <v>47</v>
      </c>
      <c r="AB114" t="str" cm="1">
        <f t="array" ref="AB114">IF(INDEX($V$1:$Z$60, INT((ROW(A114)-1)/COLUMNS($V$1:$Z$60))+1, MOD(ROW(A114)-1, COLUMNS($V$1:$Z$60))+1)="", "", INDEX($V$1:$Z$60, INT((ROW(A114)-1)/COLUMNS($V$1:$Z$60))+1, MOD(ROW(A114)-1, COLUMNS($V$1:$Z$60))+1))</f>
        <v>New York</v>
      </c>
    </row>
    <row r="115" spans="27:28">
      <c r="AA115" cm="1">
        <f t="array" ref="AA115">IF(INDEX($Q$1:$U$60, INT((ROW(A115)-1)/COLUMNS($Q$1:$U$60))+1, MOD(ROW(A115)-1, COLUMNS($Q$1:$U$60))+1)="", "", INDEX($Q$1:$U$60, INT((ROW(A115)-1)/COLUMNS($Q$1:$U$60))+1, MOD(ROW(A115)-1, COLUMNS($Q$1:$U$60))+1))</f>
        <v>47</v>
      </c>
      <c r="AB115" t="str" cm="1">
        <f t="array" ref="AB115">IF(INDEX($V$1:$Z$60, INT((ROW(A115)-1)/COLUMNS($V$1:$Z$60))+1, MOD(ROW(A115)-1, COLUMNS($V$1:$Z$60))+1)="", "", INDEX($V$1:$Z$60, INT((ROW(A115)-1)/COLUMNS($V$1:$Z$60))+1, MOD(ROW(A115)-1, COLUMNS($V$1:$Z$60))+1))</f>
        <v>California</v>
      </c>
    </row>
    <row r="116" spans="27:28">
      <c r="AA116" cm="1">
        <f t="array" ref="AA116">IF(INDEX($Q$1:$U$60, INT((ROW(A116)-1)/COLUMNS($Q$1:$U$60))+1, MOD(ROW(A116)-1, COLUMNS($Q$1:$U$60))+1)="", "", INDEX($Q$1:$U$60, INT((ROW(A116)-1)/COLUMNS($Q$1:$U$60))+1, MOD(ROW(A116)-1, COLUMNS($Q$1:$U$60))+1))</f>
        <v>24</v>
      </c>
      <c r="AB116" t="str" cm="1">
        <f t="array" ref="AB116">IF(INDEX($V$1:$Z$60, INT((ROW(A116)-1)/COLUMNS($V$1:$Z$60))+1, MOD(ROW(A116)-1, COLUMNS($V$1:$Z$60))+1)="", "", INDEX($V$1:$Z$60, INT((ROW(A116)-1)/COLUMNS($V$1:$Z$60))+1, MOD(ROW(A116)-1, COLUMNS($V$1:$Z$60))+1))</f>
        <v>Virginia</v>
      </c>
    </row>
    <row r="117" spans="27:28">
      <c r="AA117" cm="1">
        <f t="array" ref="AA117">IF(INDEX($Q$1:$U$60, INT((ROW(A117)-1)/COLUMNS($Q$1:$U$60))+1, MOD(ROW(A117)-1, COLUMNS($Q$1:$U$60))+1)="", "", INDEX($Q$1:$U$60, INT((ROW(A117)-1)/COLUMNS($Q$1:$U$60))+1, MOD(ROW(A117)-1, COLUMNS($Q$1:$U$60))+1))</f>
        <v>36</v>
      </c>
      <c r="AB117" t="str" cm="1">
        <f t="array" ref="AB117">IF(INDEX($V$1:$Z$60, INT((ROW(A117)-1)/COLUMNS($V$1:$Z$60))+1, MOD(ROW(A117)-1, COLUMNS($V$1:$Z$60))+1)="", "", INDEX($V$1:$Z$60, INT((ROW(A117)-1)/COLUMNS($V$1:$Z$60))+1, MOD(ROW(A117)-1, COLUMNS($V$1:$Z$60))+1))</f>
        <v>Florida</v>
      </c>
    </row>
    <row r="118" spans="27:28">
      <c r="AA118" cm="1">
        <f t="array" ref="AA118">IF(INDEX($Q$1:$U$60, INT((ROW(A118)-1)/COLUMNS($Q$1:$U$60))+1, MOD(ROW(A118)-1, COLUMNS($Q$1:$U$60))+1)="", "", INDEX($Q$1:$U$60, INT((ROW(A118)-1)/COLUMNS($Q$1:$U$60))+1, MOD(ROW(A118)-1, COLUMNS($Q$1:$U$60))+1))</f>
        <v>36</v>
      </c>
      <c r="AB118" t="str" cm="1">
        <f t="array" ref="AB118">IF(INDEX($V$1:$Z$60, INT((ROW(A118)-1)/COLUMNS($V$1:$Z$60))+1, MOD(ROW(A118)-1, COLUMNS($V$1:$Z$60))+1)="", "", INDEX($V$1:$Z$60, INT((ROW(A118)-1)/COLUMNS($V$1:$Z$60))+1, MOD(ROW(A118)-1, COLUMNS($V$1:$Z$60))+1))</f>
        <v>Texas</v>
      </c>
    </row>
    <row r="119" spans="27:28">
      <c r="AA119" cm="1">
        <f t="array" ref="AA119">IF(INDEX($Q$1:$U$60, INT((ROW(A119)-1)/COLUMNS($Q$1:$U$60))+1, MOD(ROW(A119)-1, COLUMNS($Q$1:$U$60))+1)="", "", INDEX($Q$1:$U$60, INT((ROW(A119)-1)/COLUMNS($Q$1:$U$60))+1, MOD(ROW(A119)-1, COLUMNS($Q$1:$U$60))+1))</f>
        <v>48</v>
      </c>
      <c r="AB119" t="str" cm="1">
        <f t="array" ref="AB119">IF(INDEX($V$1:$Z$60, INT((ROW(A119)-1)/COLUMNS($V$1:$Z$60))+1, MOD(ROW(A119)-1, COLUMNS($V$1:$Z$60))+1)="", "", INDEX($V$1:$Z$60, INT((ROW(A119)-1)/COLUMNS($V$1:$Z$60))+1, MOD(ROW(A119)-1, COLUMNS($V$1:$Z$60))+1))</f>
        <v>New York</v>
      </c>
    </row>
    <row r="120" spans="27:28">
      <c r="AA120" cm="1">
        <f t="array" ref="AA120">IF(INDEX($Q$1:$U$60, INT((ROW(A120)-1)/COLUMNS($Q$1:$U$60))+1, MOD(ROW(A120)-1, COLUMNS($Q$1:$U$60))+1)="", "", INDEX($Q$1:$U$60, INT((ROW(A120)-1)/COLUMNS($Q$1:$U$60))+1, MOD(ROW(A120)-1, COLUMNS($Q$1:$U$60))+1))</f>
        <v>48</v>
      </c>
      <c r="AB120" t="str" cm="1">
        <f t="array" ref="AB120">IF(INDEX($V$1:$Z$60, INT((ROW(A120)-1)/COLUMNS($V$1:$Z$60))+1, MOD(ROW(A120)-1, COLUMNS($V$1:$Z$60))+1)="", "", INDEX($V$1:$Z$60, INT((ROW(A120)-1)/COLUMNS($V$1:$Z$60))+1, MOD(ROW(A120)-1, COLUMNS($V$1:$Z$60))+1))</f>
        <v>California</v>
      </c>
    </row>
    <row r="121" spans="27:28">
      <c r="AA121" cm="1">
        <f t="array" ref="AA121">IF(INDEX($Q$1:$U$60, INT((ROW(A121)-1)/COLUMNS($Q$1:$U$60))+1, MOD(ROW(A121)-1, COLUMNS($Q$1:$U$60))+1)="", "", INDEX($Q$1:$U$60, INT((ROW(A121)-1)/COLUMNS($Q$1:$U$60))+1, MOD(ROW(A121)-1, COLUMNS($Q$1:$U$60))+1))</f>
        <v>25</v>
      </c>
      <c r="AB121" t="str" cm="1">
        <f t="array" ref="AB121">IF(INDEX($V$1:$Z$60, INT((ROW(A121)-1)/COLUMNS($V$1:$Z$60))+1, MOD(ROW(A121)-1, COLUMNS($V$1:$Z$60))+1)="", "", INDEX($V$1:$Z$60, INT((ROW(A121)-1)/COLUMNS($V$1:$Z$60))+1, MOD(ROW(A121)-1, COLUMNS($V$1:$Z$60))+1))</f>
        <v>Virginia</v>
      </c>
    </row>
    <row r="122" spans="27:28">
      <c r="AA122" cm="1">
        <f t="array" ref="AA122">IF(INDEX($Q$1:$U$60, INT((ROW(A122)-1)/COLUMNS($Q$1:$U$60))+1, MOD(ROW(A122)-1, COLUMNS($Q$1:$U$60))+1)="", "", INDEX($Q$1:$U$60, INT((ROW(A122)-1)/COLUMNS($Q$1:$U$60))+1, MOD(ROW(A122)-1, COLUMNS($Q$1:$U$60))+1))</f>
        <v>37</v>
      </c>
      <c r="AB122" t="str" cm="1">
        <f t="array" ref="AB122">IF(INDEX($V$1:$Z$60, INT((ROW(A122)-1)/COLUMNS($V$1:$Z$60))+1, MOD(ROW(A122)-1, COLUMNS($V$1:$Z$60))+1)="", "", INDEX($V$1:$Z$60, INT((ROW(A122)-1)/COLUMNS($V$1:$Z$60))+1, MOD(ROW(A122)-1, COLUMNS($V$1:$Z$60))+1))</f>
        <v>Florida</v>
      </c>
    </row>
    <row r="123" spans="27:28">
      <c r="AA123" cm="1">
        <f t="array" ref="AA123">IF(INDEX($Q$1:$U$60, INT((ROW(A123)-1)/COLUMNS($Q$1:$U$60))+1, MOD(ROW(A123)-1, COLUMNS($Q$1:$U$60))+1)="", "", INDEX($Q$1:$U$60, INT((ROW(A123)-1)/COLUMNS($Q$1:$U$60))+1, MOD(ROW(A123)-1, COLUMNS($Q$1:$U$60))+1))</f>
        <v>37</v>
      </c>
      <c r="AB123" t="str" cm="1">
        <f t="array" ref="AB123">IF(INDEX($V$1:$Z$60, INT((ROW(A123)-1)/COLUMNS($V$1:$Z$60))+1, MOD(ROW(A123)-1, COLUMNS($V$1:$Z$60))+1)="", "", INDEX($V$1:$Z$60, INT((ROW(A123)-1)/COLUMNS($V$1:$Z$60))+1, MOD(ROW(A123)-1, COLUMNS($V$1:$Z$60))+1))</f>
        <v>Texas</v>
      </c>
    </row>
    <row r="124" spans="27:28">
      <c r="AA124" cm="1">
        <f t="array" ref="AA124">IF(INDEX($Q$1:$U$60, INT((ROW(A124)-1)/COLUMNS($Q$1:$U$60))+1, MOD(ROW(A124)-1, COLUMNS($Q$1:$U$60))+1)="", "", INDEX($Q$1:$U$60, INT((ROW(A124)-1)/COLUMNS($Q$1:$U$60))+1, MOD(ROW(A124)-1, COLUMNS($Q$1:$U$60))+1))</f>
        <v>49</v>
      </c>
      <c r="AB124" t="str" cm="1">
        <f t="array" ref="AB124">IF(INDEX($V$1:$Z$60, INT((ROW(A124)-1)/COLUMNS($V$1:$Z$60))+1, MOD(ROW(A124)-1, COLUMNS($V$1:$Z$60))+1)="", "", INDEX($V$1:$Z$60, INT((ROW(A124)-1)/COLUMNS($V$1:$Z$60))+1, MOD(ROW(A124)-1, COLUMNS($V$1:$Z$60))+1))</f>
        <v>New York</v>
      </c>
    </row>
    <row r="125" spans="27:28">
      <c r="AA125" cm="1">
        <f t="array" ref="AA125">IF(INDEX($Q$1:$U$60, INT((ROW(A125)-1)/COLUMNS($Q$1:$U$60))+1, MOD(ROW(A125)-1, COLUMNS($Q$1:$U$60))+1)="", "", INDEX($Q$1:$U$60, INT((ROW(A125)-1)/COLUMNS($Q$1:$U$60))+1, MOD(ROW(A125)-1, COLUMNS($Q$1:$U$60))+1))</f>
        <v>49</v>
      </c>
      <c r="AB125" t="str" cm="1">
        <f t="array" ref="AB125">IF(INDEX($V$1:$Z$60, INT((ROW(A125)-1)/COLUMNS($V$1:$Z$60))+1, MOD(ROW(A125)-1, COLUMNS($V$1:$Z$60))+1)="", "", INDEX($V$1:$Z$60, INT((ROW(A125)-1)/COLUMNS($V$1:$Z$60))+1, MOD(ROW(A125)-1, COLUMNS($V$1:$Z$60))+1))</f>
        <v>California</v>
      </c>
    </row>
    <row r="126" spans="27:28">
      <c r="AA126" cm="1">
        <f t="array" ref="AA126">IF(INDEX($Q$1:$U$60, INT((ROW(A126)-1)/COLUMNS($Q$1:$U$60))+1, MOD(ROW(A126)-1, COLUMNS($Q$1:$U$60))+1)="", "", INDEX($Q$1:$U$60, INT((ROW(A126)-1)/COLUMNS($Q$1:$U$60))+1, MOD(ROW(A126)-1, COLUMNS($Q$1:$U$60))+1))</f>
        <v>26</v>
      </c>
      <c r="AB126" t="str" cm="1">
        <f t="array" ref="AB126">IF(INDEX($V$1:$Z$60, INT((ROW(A126)-1)/COLUMNS($V$1:$Z$60))+1, MOD(ROW(A126)-1, COLUMNS($V$1:$Z$60))+1)="", "", INDEX($V$1:$Z$60, INT((ROW(A126)-1)/COLUMNS($V$1:$Z$60))+1, MOD(ROW(A126)-1, COLUMNS($V$1:$Z$60))+1))</f>
        <v>Virginia</v>
      </c>
    </row>
    <row r="127" spans="27:28">
      <c r="AA127" cm="1">
        <f t="array" ref="AA127">IF(INDEX($Q$1:$U$60, INT((ROW(A127)-1)/COLUMNS($Q$1:$U$60))+1, MOD(ROW(A127)-1, COLUMNS($Q$1:$U$60))+1)="", "", INDEX($Q$1:$U$60, INT((ROW(A127)-1)/COLUMNS($Q$1:$U$60))+1, MOD(ROW(A127)-1, COLUMNS($Q$1:$U$60))+1))</f>
        <v>38</v>
      </c>
      <c r="AB127" t="str" cm="1">
        <f t="array" ref="AB127">IF(INDEX($V$1:$Z$60, INT((ROW(A127)-1)/COLUMNS($V$1:$Z$60))+1, MOD(ROW(A127)-1, COLUMNS($V$1:$Z$60))+1)="", "", INDEX($V$1:$Z$60, INT((ROW(A127)-1)/COLUMNS($V$1:$Z$60))+1, MOD(ROW(A127)-1, COLUMNS($V$1:$Z$60))+1))</f>
        <v>Florida</v>
      </c>
    </row>
    <row r="128" spans="27:28">
      <c r="AA128" cm="1">
        <f t="array" ref="AA128">IF(INDEX($Q$1:$U$60, INT((ROW(A128)-1)/COLUMNS($Q$1:$U$60))+1, MOD(ROW(A128)-1, COLUMNS($Q$1:$U$60))+1)="", "", INDEX($Q$1:$U$60, INT((ROW(A128)-1)/COLUMNS($Q$1:$U$60))+1, MOD(ROW(A128)-1, COLUMNS($Q$1:$U$60))+1))</f>
        <v>38</v>
      </c>
      <c r="AB128" t="str" cm="1">
        <f t="array" ref="AB128">IF(INDEX($V$1:$Z$60, INT((ROW(A128)-1)/COLUMNS($V$1:$Z$60))+1, MOD(ROW(A128)-1, COLUMNS($V$1:$Z$60))+1)="", "", INDEX($V$1:$Z$60, INT((ROW(A128)-1)/COLUMNS($V$1:$Z$60))+1, MOD(ROW(A128)-1, COLUMNS($V$1:$Z$60))+1))</f>
        <v>Texas</v>
      </c>
    </row>
    <row r="129" spans="27:28">
      <c r="AA129" cm="1">
        <f t="array" ref="AA129">IF(INDEX($Q$1:$U$60, INT((ROW(A129)-1)/COLUMNS($Q$1:$U$60))+1, MOD(ROW(A129)-1, COLUMNS($Q$1:$U$60))+1)="", "", INDEX($Q$1:$U$60, INT((ROW(A129)-1)/COLUMNS($Q$1:$U$60))+1, MOD(ROW(A129)-1, COLUMNS($Q$1:$U$60))+1))</f>
        <v>50</v>
      </c>
      <c r="AB129" t="str" cm="1">
        <f t="array" ref="AB129">IF(INDEX($V$1:$Z$60, INT((ROW(A129)-1)/COLUMNS($V$1:$Z$60))+1, MOD(ROW(A129)-1, COLUMNS($V$1:$Z$60))+1)="", "", INDEX($V$1:$Z$60, INT((ROW(A129)-1)/COLUMNS($V$1:$Z$60))+1, MOD(ROW(A129)-1, COLUMNS($V$1:$Z$60))+1))</f>
        <v>New York</v>
      </c>
    </row>
    <row r="130" spans="27:28">
      <c r="AA130" cm="1">
        <f t="array" ref="AA130">IF(INDEX($Q$1:$U$60, INT((ROW(A130)-1)/COLUMNS($Q$1:$U$60))+1, MOD(ROW(A130)-1, COLUMNS($Q$1:$U$60))+1)="", "", INDEX($Q$1:$U$60, INT((ROW(A130)-1)/COLUMNS($Q$1:$U$60))+1, MOD(ROW(A130)-1, COLUMNS($Q$1:$U$60))+1))</f>
        <v>50</v>
      </c>
      <c r="AB130" t="str" cm="1">
        <f t="array" ref="AB130">IF(INDEX($V$1:$Z$60, INT((ROW(A130)-1)/COLUMNS($V$1:$Z$60))+1, MOD(ROW(A130)-1, COLUMNS($V$1:$Z$60))+1)="", "", INDEX($V$1:$Z$60, INT((ROW(A130)-1)/COLUMNS($V$1:$Z$60))+1, MOD(ROW(A130)-1, COLUMNS($V$1:$Z$60))+1))</f>
        <v>California</v>
      </c>
    </row>
    <row r="131" spans="27:28">
      <c r="AA131" cm="1">
        <f t="array" ref="AA131">IF(INDEX($Q$1:$U$60, INT((ROW(A131)-1)/COLUMNS($Q$1:$U$60))+1, MOD(ROW(A131)-1, COLUMNS($Q$1:$U$60))+1)="", "", INDEX($Q$1:$U$60, INT((ROW(A131)-1)/COLUMNS($Q$1:$U$60))+1, MOD(ROW(A131)-1, COLUMNS($Q$1:$U$60))+1))</f>
        <v>27</v>
      </c>
      <c r="AB131" t="str" cm="1">
        <f t="array" ref="AB131">IF(INDEX($V$1:$Z$60, INT((ROW(A131)-1)/COLUMNS($V$1:$Z$60))+1, MOD(ROW(A131)-1, COLUMNS($V$1:$Z$60))+1)="", "", INDEX($V$1:$Z$60, INT((ROW(A131)-1)/COLUMNS($V$1:$Z$60))+1, MOD(ROW(A131)-1, COLUMNS($V$1:$Z$60))+1))</f>
        <v>Virginia</v>
      </c>
    </row>
    <row r="132" spans="27:28">
      <c r="AA132" cm="1">
        <f t="array" ref="AA132">IF(INDEX($Q$1:$U$60, INT((ROW(A132)-1)/COLUMNS($Q$1:$U$60))+1, MOD(ROW(A132)-1, COLUMNS($Q$1:$U$60))+1)="", "", INDEX($Q$1:$U$60, INT((ROW(A132)-1)/COLUMNS($Q$1:$U$60))+1, MOD(ROW(A132)-1, COLUMNS($Q$1:$U$60))+1))</f>
        <v>39</v>
      </c>
      <c r="AB132" t="str" cm="1">
        <f t="array" ref="AB132">IF(INDEX($V$1:$Z$60, INT((ROW(A132)-1)/COLUMNS($V$1:$Z$60))+1, MOD(ROW(A132)-1, COLUMNS($V$1:$Z$60))+1)="", "", INDEX($V$1:$Z$60, INT((ROW(A132)-1)/COLUMNS($V$1:$Z$60))+1, MOD(ROW(A132)-1, COLUMNS($V$1:$Z$60))+1))</f>
        <v>Florida</v>
      </c>
    </row>
    <row r="133" spans="27:28">
      <c r="AA133" cm="1">
        <f t="array" ref="AA133">IF(INDEX($Q$1:$U$60, INT((ROW(A133)-1)/COLUMNS($Q$1:$U$60))+1, MOD(ROW(A133)-1, COLUMNS($Q$1:$U$60))+1)="", "", INDEX($Q$1:$U$60, INT((ROW(A133)-1)/COLUMNS($Q$1:$U$60))+1, MOD(ROW(A133)-1, COLUMNS($Q$1:$U$60))+1))</f>
        <v>39</v>
      </c>
      <c r="AB133" t="str" cm="1">
        <f t="array" ref="AB133">IF(INDEX($V$1:$Z$60, INT((ROW(A133)-1)/COLUMNS($V$1:$Z$60))+1, MOD(ROW(A133)-1, COLUMNS($V$1:$Z$60))+1)="", "", INDEX($V$1:$Z$60, INT((ROW(A133)-1)/COLUMNS($V$1:$Z$60))+1, MOD(ROW(A133)-1, COLUMNS($V$1:$Z$60))+1))</f>
        <v>Texas</v>
      </c>
    </row>
    <row r="134" spans="27:28">
      <c r="AA134" cm="1">
        <f t="array" ref="AA134">IF(INDEX($Q$1:$U$60, INT((ROW(A134)-1)/COLUMNS($Q$1:$U$60))+1, MOD(ROW(A134)-1, COLUMNS($Q$1:$U$60))+1)="", "", INDEX($Q$1:$U$60, INT((ROW(A134)-1)/COLUMNS($Q$1:$U$60))+1, MOD(ROW(A134)-1, COLUMNS($Q$1:$U$60))+1))</f>
        <v>51</v>
      </c>
      <c r="AB134" t="str" cm="1">
        <f t="array" ref="AB134">IF(INDEX($V$1:$Z$60, INT((ROW(A134)-1)/COLUMNS($V$1:$Z$60))+1, MOD(ROW(A134)-1, COLUMNS($V$1:$Z$60))+1)="", "", INDEX($V$1:$Z$60, INT((ROW(A134)-1)/COLUMNS($V$1:$Z$60))+1, MOD(ROW(A134)-1, COLUMNS($V$1:$Z$60))+1))</f>
        <v>New York</v>
      </c>
    </row>
    <row r="135" spans="27:28">
      <c r="AA135" cm="1">
        <f t="array" ref="AA135">IF(INDEX($Q$1:$U$60, INT((ROW(A135)-1)/COLUMNS($Q$1:$U$60))+1, MOD(ROW(A135)-1, COLUMNS($Q$1:$U$60))+1)="", "", INDEX($Q$1:$U$60, INT((ROW(A135)-1)/COLUMNS($Q$1:$U$60))+1, MOD(ROW(A135)-1, COLUMNS($Q$1:$U$60))+1))</f>
        <v>51</v>
      </c>
      <c r="AB135" t="str" cm="1">
        <f t="array" ref="AB135">IF(INDEX($V$1:$Z$60, INT((ROW(A135)-1)/COLUMNS($V$1:$Z$60))+1, MOD(ROW(A135)-1, COLUMNS($V$1:$Z$60))+1)="", "", INDEX($V$1:$Z$60, INT((ROW(A135)-1)/COLUMNS($V$1:$Z$60))+1, MOD(ROW(A135)-1, COLUMNS($V$1:$Z$60))+1))</f>
        <v>California</v>
      </c>
    </row>
    <row r="136" spans="27:28">
      <c r="AA136" cm="1">
        <f t="array" ref="AA136">IF(INDEX($Q$1:$U$60, INT((ROW(A136)-1)/COLUMNS($Q$1:$U$60))+1, MOD(ROW(A136)-1, COLUMNS($Q$1:$U$60))+1)="", "", INDEX($Q$1:$U$60, INT((ROW(A136)-1)/COLUMNS($Q$1:$U$60))+1, MOD(ROW(A136)-1, COLUMNS($Q$1:$U$60))+1))</f>
        <v>28</v>
      </c>
      <c r="AB136" t="str" cm="1">
        <f t="array" ref="AB136">IF(INDEX($V$1:$Z$60, INT((ROW(A136)-1)/COLUMNS($V$1:$Z$60))+1, MOD(ROW(A136)-1, COLUMNS($V$1:$Z$60))+1)="", "", INDEX($V$1:$Z$60, INT((ROW(A136)-1)/COLUMNS($V$1:$Z$60))+1, MOD(ROW(A136)-1, COLUMNS($V$1:$Z$60))+1))</f>
        <v>Virginia</v>
      </c>
    </row>
    <row r="137" spans="27:28">
      <c r="AA137" cm="1">
        <f t="array" ref="AA137">IF(INDEX($Q$1:$U$60, INT((ROW(A137)-1)/COLUMNS($Q$1:$U$60))+1, MOD(ROW(A137)-1, COLUMNS($Q$1:$U$60))+1)="", "", INDEX($Q$1:$U$60, INT((ROW(A137)-1)/COLUMNS($Q$1:$U$60))+1, MOD(ROW(A137)-1, COLUMNS($Q$1:$U$60))+1))</f>
        <v>40</v>
      </c>
      <c r="AB137" t="str" cm="1">
        <f t="array" ref="AB137">IF(INDEX($V$1:$Z$60, INT((ROW(A137)-1)/COLUMNS($V$1:$Z$60))+1, MOD(ROW(A137)-1, COLUMNS($V$1:$Z$60))+1)="", "", INDEX($V$1:$Z$60, INT((ROW(A137)-1)/COLUMNS($V$1:$Z$60))+1, MOD(ROW(A137)-1, COLUMNS($V$1:$Z$60))+1))</f>
        <v>Florida</v>
      </c>
    </row>
    <row r="138" spans="27:28">
      <c r="AA138" cm="1">
        <f t="array" ref="AA138">IF(INDEX($Q$1:$U$60, INT((ROW(A138)-1)/COLUMNS($Q$1:$U$60))+1, MOD(ROW(A138)-1, COLUMNS($Q$1:$U$60))+1)="", "", INDEX($Q$1:$U$60, INT((ROW(A138)-1)/COLUMNS($Q$1:$U$60))+1, MOD(ROW(A138)-1, COLUMNS($Q$1:$U$60))+1))</f>
        <v>40</v>
      </c>
      <c r="AB138" t="str" cm="1">
        <f t="array" ref="AB138">IF(INDEX($V$1:$Z$60, INT((ROW(A138)-1)/COLUMNS($V$1:$Z$60))+1, MOD(ROW(A138)-1, COLUMNS($V$1:$Z$60))+1)="", "", INDEX($V$1:$Z$60, INT((ROW(A138)-1)/COLUMNS($V$1:$Z$60))+1, MOD(ROW(A138)-1, COLUMNS($V$1:$Z$60))+1))</f>
        <v>Texas</v>
      </c>
    </row>
    <row r="139" spans="27:28">
      <c r="AA139" cm="1">
        <f t="array" ref="AA139">IF(INDEX($Q$1:$U$60, INT((ROW(A139)-1)/COLUMNS($Q$1:$U$60))+1, MOD(ROW(A139)-1, COLUMNS($Q$1:$U$60))+1)="", "", INDEX($Q$1:$U$60, INT((ROW(A139)-1)/COLUMNS($Q$1:$U$60))+1, MOD(ROW(A139)-1, COLUMNS($Q$1:$U$60))+1))</f>
        <v>52</v>
      </c>
      <c r="AB139" t="str" cm="1">
        <f t="array" ref="AB139">IF(INDEX($V$1:$Z$60, INT((ROW(A139)-1)/COLUMNS($V$1:$Z$60))+1, MOD(ROW(A139)-1, COLUMNS($V$1:$Z$60))+1)="", "", INDEX($V$1:$Z$60, INT((ROW(A139)-1)/COLUMNS($V$1:$Z$60))+1, MOD(ROW(A139)-1, COLUMNS($V$1:$Z$60))+1))</f>
        <v>New York</v>
      </c>
    </row>
    <row r="140" spans="27:28">
      <c r="AA140" cm="1">
        <f t="array" ref="AA140">IF(INDEX($Q$1:$U$60, INT((ROW(A140)-1)/COLUMNS($Q$1:$U$60))+1, MOD(ROW(A140)-1, COLUMNS($Q$1:$U$60))+1)="", "", INDEX($Q$1:$U$60, INT((ROW(A140)-1)/COLUMNS($Q$1:$U$60))+1, MOD(ROW(A140)-1, COLUMNS($Q$1:$U$60))+1))</f>
        <v>52</v>
      </c>
      <c r="AB140" t="str" cm="1">
        <f t="array" ref="AB140">IF(INDEX($V$1:$Z$60, INT((ROW(A140)-1)/COLUMNS($V$1:$Z$60))+1, MOD(ROW(A140)-1, COLUMNS($V$1:$Z$60))+1)="", "", INDEX($V$1:$Z$60, INT((ROW(A140)-1)/COLUMNS($V$1:$Z$60))+1, MOD(ROW(A140)-1, COLUMNS($V$1:$Z$60))+1))</f>
        <v>California</v>
      </c>
    </row>
    <row r="141" spans="27:28">
      <c r="AA141" cm="1">
        <f t="array" ref="AA141">IF(INDEX($Q$1:$U$60, INT((ROW(A141)-1)/COLUMNS($Q$1:$U$60))+1, MOD(ROW(A141)-1, COLUMNS($Q$1:$U$60))+1)="", "", INDEX($Q$1:$U$60, INT((ROW(A141)-1)/COLUMNS($Q$1:$U$60))+1, MOD(ROW(A141)-1, COLUMNS($Q$1:$U$60))+1))</f>
        <v>29</v>
      </c>
      <c r="AB141" t="str" cm="1">
        <f t="array" ref="AB141">IF(INDEX($V$1:$Z$60, INT((ROW(A141)-1)/COLUMNS($V$1:$Z$60))+1, MOD(ROW(A141)-1, COLUMNS($V$1:$Z$60))+1)="", "", INDEX($V$1:$Z$60, INT((ROW(A141)-1)/COLUMNS($V$1:$Z$60))+1, MOD(ROW(A141)-1, COLUMNS($V$1:$Z$60))+1))</f>
        <v>Virginia</v>
      </c>
    </row>
    <row r="142" spans="27:28">
      <c r="AA142" cm="1">
        <f t="array" ref="AA142">IF(INDEX($Q$1:$U$60, INT((ROW(A142)-1)/COLUMNS($Q$1:$U$60))+1, MOD(ROW(A142)-1, COLUMNS($Q$1:$U$60))+1)="", "", INDEX($Q$1:$U$60, INT((ROW(A142)-1)/COLUMNS($Q$1:$U$60))+1, MOD(ROW(A142)-1, COLUMNS($Q$1:$U$60))+1))</f>
        <v>41</v>
      </c>
      <c r="AB142" t="str" cm="1">
        <f t="array" ref="AB142">IF(INDEX($V$1:$Z$60, INT((ROW(A142)-1)/COLUMNS($V$1:$Z$60))+1, MOD(ROW(A142)-1, COLUMNS($V$1:$Z$60))+1)="", "", INDEX($V$1:$Z$60, INT((ROW(A142)-1)/COLUMNS($V$1:$Z$60))+1, MOD(ROW(A142)-1, COLUMNS($V$1:$Z$60))+1))</f>
        <v>Florida</v>
      </c>
    </row>
    <row r="143" spans="27:28">
      <c r="AA143" cm="1">
        <f t="array" ref="AA143">IF(INDEX($Q$1:$U$60, INT((ROW(A143)-1)/COLUMNS($Q$1:$U$60))+1, MOD(ROW(A143)-1, COLUMNS($Q$1:$U$60))+1)="", "", INDEX($Q$1:$U$60, INT((ROW(A143)-1)/COLUMNS($Q$1:$U$60))+1, MOD(ROW(A143)-1, COLUMNS($Q$1:$U$60))+1))</f>
        <v>41</v>
      </c>
      <c r="AB143" t="str" cm="1">
        <f t="array" ref="AB143">IF(INDEX($V$1:$Z$60, INT((ROW(A143)-1)/COLUMNS($V$1:$Z$60))+1, MOD(ROW(A143)-1, COLUMNS($V$1:$Z$60))+1)="", "", INDEX($V$1:$Z$60, INT((ROW(A143)-1)/COLUMNS($V$1:$Z$60))+1, MOD(ROW(A143)-1, COLUMNS($V$1:$Z$60))+1))</f>
        <v>Texas</v>
      </c>
    </row>
    <row r="144" spans="27:28">
      <c r="AA144" cm="1">
        <f t="array" ref="AA144">IF(INDEX($Q$1:$U$60, INT((ROW(A144)-1)/COLUMNS($Q$1:$U$60))+1, MOD(ROW(A144)-1, COLUMNS($Q$1:$U$60))+1)="", "", INDEX($Q$1:$U$60, INT((ROW(A144)-1)/COLUMNS($Q$1:$U$60))+1, MOD(ROW(A144)-1, COLUMNS($Q$1:$U$60))+1))</f>
        <v>53</v>
      </c>
      <c r="AB144" t="str" cm="1">
        <f t="array" ref="AB144">IF(INDEX($V$1:$Z$60, INT((ROW(A144)-1)/COLUMNS($V$1:$Z$60))+1, MOD(ROW(A144)-1, COLUMNS($V$1:$Z$60))+1)="", "", INDEX($V$1:$Z$60, INT((ROW(A144)-1)/COLUMNS($V$1:$Z$60))+1, MOD(ROW(A144)-1, COLUMNS($V$1:$Z$60))+1))</f>
        <v>New York</v>
      </c>
    </row>
    <row r="145" spans="27:28">
      <c r="AA145" cm="1">
        <f t="array" ref="AA145">IF(INDEX($Q$1:$U$60, INT((ROW(A145)-1)/COLUMNS($Q$1:$U$60))+1, MOD(ROW(A145)-1, COLUMNS($Q$1:$U$60))+1)="", "", INDEX($Q$1:$U$60, INT((ROW(A145)-1)/COLUMNS($Q$1:$U$60))+1, MOD(ROW(A145)-1, COLUMNS($Q$1:$U$60))+1))</f>
        <v>53</v>
      </c>
      <c r="AB145" t="str" cm="1">
        <f t="array" ref="AB145">IF(INDEX($V$1:$Z$60, INT((ROW(A145)-1)/COLUMNS($V$1:$Z$60))+1, MOD(ROW(A145)-1, COLUMNS($V$1:$Z$60))+1)="", "", INDEX($V$1:$Z$60, INT((ROW(A145)-1)/COLUMNS($V$1:$Z$60))+1, MOD(ROW(A145)-1, COLUMNS($V$1:$Z$60))+1))</f>
        <v>California</v>
      </c>
    </row>
    <row r="146" spans="27:28">
      <c r="AA146" cm="1">
        <f t="array" ref="AA146">IF(INDEX($Q$1:$U$60, INT((ROW(A146)-1)/COLUMNS($Q$1:$U$60))+1, MOD(ROW(A146)-1, COLUMNS($Q$1:$U$60))+1)="", "", INDEX($Q$1:$U$60, INT((ROW(A146)-1)/COLUMNS($Q$1:$U$60))+1, MOD(ROW(A146)-1, COLUMNS($Q$1:$U$60))+1))</f>
        <v>30</v>
      </c>
      <c r="AB146" t="str" cm="1">
        <f t="array" ref="AB146">IF(INDEX($V$1:$Z$60, INT((ROW(A146)-1)/COLUMNS($V$1:$Z$60))+1, MOD(ROW(A146)-1, COLUMNS($V$1:$Z$60))+1)="", "", INDEX($V$1:$Z$60, INT((ROW(A146)-1)/COLUMNS($V$1:$Z$60))+1, MOD(ROW(A146)-1, COLUMNS($V$1:$Z$60))+1))</f>
        <v>Virginia</v>
      </c>
    </row>
    <row r="147" spans="27:28">
      <c r="AA147" cm="1">
        <f t="array" ref="AA147">IF(INDEX($Q$1:$U$60, INT((ROW(A147)-1)/COLUMNS($Q$1:$U$60))+1, MOD(ROW(A147)-1, COLUMNS($Q$1:$U$60))+1)="", "", INDEX($Q$1:$U$60, INT((ROW(A147)-1)/COLUMNS($Q$1:$U$60))+1, MOD(ROW(A147)-1, COLUMNS($Q$1:$U$60))+1))</f>
        <v>42</v>
      </c>
      <c r="AB147" t="str" cm="1">
        <f t="array" ref="AB147">IF(INDEX($V$1:$Z$60, INT((ROW(A147)-1)/COLUMNS($V$1:$Z$60))+1, MOD(ROW(A147)-1, COLUMNS($V$1:$Z$60))+1)="", "", INDEX($V$1:$Z$60, INT((ROW(A147)-1)/COLUMNS($V$1:$Z$60))+1, MOD(ROW(A147)-1, COLUMNS($V$1:$Z$60))+1))</f>
        <v>Florida</v>
      </c>
    </row>
    <row r="148" spans="27:28">
      <c r="AA148" cm="1">
        <f t="array" ref="AA148">IF(INDEX($Q$1:$U$60, INT((ROW(A148)-1)/COLUMNS($Q$1:$U$60))+1, MOD(ROW(A148)-1, COLUMNS($Q$1:$U$60))+1)="", "", INDEX($Q$1:$U$60, INT((ROW(A148)-1)/COLUMNS($Q$1:$U$60))+1, MOD(ROW(A148)-1, COLUMNS($Q$1:$U$60))+1))</f>
        <v>42</v>
      </c>
      <c r="AB148" t="str" cm="1">
        <f t="array" ref="AB148">IF(INDEX($V$1:$Z$60, INT((ROW(A148)-1)/COLUMNS($V$1:$Z$60))+1, MOD(ROW(A148)-1, COLUMNS($V$1:$Z$60))+1)="", "", INDEX($V$1:$Z$60, INT((ROW(A148)-1)/COLUMNS($V$1:$Z$60))+1, MOD(ROW(A148)-1, COLUMNS($V$1:$Z$60))+1))</f>
        <v>Texas</v>
      </c>
    </row>
    <row r="149" spans="27:28">
      <c r="AA149" cm="1">
        <f t="array" ref="AA149">IF(INDEX($Q$1:$U$60, INT((ROW(A149)-1)/COLUMNS($Q$1:$U$60))+1, MOD(ROW(A149)-1, COLUMNS($Q$1:$U$60))+1)="", "", INDEX($Q$1:$U$60, INT((ROW(A149)-1)/COLUMNS($Q$1:$U$60))+1, MOD(ROW(A149)-1, COLUMNS($Q$1:$U$60))+1))</f>
        <v>54</v>
      </c>
      <c r="AB149" t="str" cm="1">
        <f t="array" ref="AB149">IF(INDEX($V$1:$Z$60, INT((ROW(A149)-1)/COLUMNS($V$1:$Z$60))+1, MOD(ROW(A149)-1, COLUMNS($V$1:$Z$60))+1)="", "", INDEX($V$1:$Z$60, INT((ROW(A149)-1)/COLUMNS($V$1:$Z$60))+1, MOD(ROW(A149)-1, COLUMNS($V$1:$Z$60))+1))</f>
        <v>New York</v>
      </c>
    </row>
    <row r="150" spans="27:28">
      <c r="AA150" cm="1">
        <f t="array" ref="AA150">IF(INDEX($Q$1:$U$60, INT((ROW(A150)-1)/COLUMNS($Q$1:$U$60))+1, MOD(ROW(A150)-1, COLUMNS($Q$1:$U$60))+1)="", "", INDEX($Q$1:$U$60, INT((ROW(A150)-1)/COLUMNS($Q$1:$U$60))+1, MOD(ROW(A150)-1, COLUMNS($Q$1:$U$60))+1))</f>
        <v>54</v>
      </c>
      <c r="AB150" t="str" cm="1">
        <f t="array" ref="AB150">IF(INDEX($V$1:$Z$60, INT((ROW(A150)-1)/COLUMNS($V$1:$Z$60))+1, MOD(ROW(A150)-1, COLUMNS($V$1:$Z$60))+1)="", "", INDEX($V$1:$Z$60, INT((ROW(A150)-1)/COLUMNS($V$1:$Z$60))+1, MOD(ROW(A150)-1, COLUMNS($V$1:$Z$60))+1))</f>
        <v>California</v>
      </c>
    </row>
    <row r="151" spans="27:28">
      <c r="AA151" cm="1">
        <f t="array" ref="AA151">IF(INDEX($Q$1:$U$60, INT((ROW(A151)-1)/COLUMNS($Q$1:$U$60))+1, MOD(ROW(A151)-1, COLUMNS($Q$1:$U$60))+1)="", "", INDEX($Q$1:$U$60, INT((ROW(A151)-1)/COLUMNS($Q$1:$U$60))+1, MOD(ROW(A151)-1, COLUMNS($Q$1:$U$60))+1))</f>
        <v>31</v>
      </c>
      <c r="AB151" t="str" cm="1">
        <f t="array" ref="AB151">IF(INDEX($V$1:$Z$60, INT((ROW(A151)-1)/COLUMNS($V$1:$Z$60))+1, MOD(ROW(A151)-1, COLUMNS($V$1:$Z$60))+1)="", "", INDEX($V$1:$Z$60, INT((ROW(A151)-1)/COLUMNS($V$1:$Z$60))+1, MOD(ROW(A151)-1, COLUMNS($V$1:$Z$60))+1))</f>
        <v>Virginia</v>
      </c>
    </row>
    <row r="152" spans="27:28">
      <c r="AA152" cm="1">
        <f t="array" ref="AA152">IF(INDEX($Q$1:$U$60, INT((ROW(A152)-1)/COLUMNS($Q$1:$U$60))+1, MOD(ROW(A152)-1, COLUMNS($Q$1:$U$60))+1)="", "", INDEX($Q$1:$U$60, INT((ROW(A152)-1)/COLUMNS($Q$1:$U$60))+1, MOD(ROW(A152)-1, COLUMNS($Q$1:$U$60))+1))</f>
        <v>43</v>
      </c>
      <c r="AB152" t="str" cm="1">
        <f t="array" ref="AB152">IF(INDEX($V$1:$Z$60, INT((ROW(A152)-1)/COLUMNS($V$1:$Z$60))+1, MOD(ROW(A152)-1, COLUMNS($V$1:$Z$60))+1)="", "", INDEX($V$1:$Z$60, INT((ROW(A152)-1)/COLUMNS($V$1:$Z$60))+1, MOD(ROW(A152)-1, COLUMNS($V$1:$Z$60))+1))</f>
        <v>Florida</v>
      </c>
    </row>
    <row r="153" spans="27:28">
      <c r="AA153" cm="1">
        <f t="array" ref="AA153">IF(INDEX($Q$1:$U$60, INT((ROW(A153)-1)/COLUMNS($Q$1:$U$60))+1, MOD(ROW(A153)-1, COLUMNS($Q$1:$U$60))+1)="", "", INDEX($Q$1:$U$60, INT((ROW(A153)-1)/COLUMNS($Q$1:$U$60))+1, MOD(ROW(A153)-1, COLUMNS($Q$1:$U$60))+1))</f>
        <v>43</v>
      </c>
      <c r="AB153" t="str" cm="1">
        <f t="array" ref="AB153">IF(INDEX($V$1:$Z$60, INT((ROW(A153)-1)/COLUMNS($V$1:$Z$60))+1, MOD(ROW(A153)-1, COLUMNS($V$1:$Z$60))+1)="", "", INDEX($V$1:$Z$60, INT((ROW(A153)-1)/COLUMNS($V$1:$Z$60))+1, MOD(ROW(A153)-1, COLUMNS($V$1:$Z$60))+1))</f>
        <v>Texas</v>
      </c>
    </row>
    <row r="154" spans="27:28">
      <c r="AA154" cm="1">
        <f t="array" ref="AA154">IF(INDEX($Q$1:$U$60, INT((ROW(A154)-1)/COLUMNS($Q$1:$U$60))+1, MOD(ROW(A154)-1, COLUMNS($Q$1:$U$60))+1)="", "", INDEX($Q$1:$U$60, INT((ROW(A154)-1)/COLUMNS($Q$1:$U$60))+1, MOD(ROW(A154)-1, COLUMNS($Q$1:$U$60))+1))</f>
        <v>55</v>
      </c>
      <c r="AB154" t="str" cm="1">
        <f t="array" ref="AB154">IF(INDEX($V$1:$Z$60, INT((ROW(A154)-1)/COLUMNS($V$1:$Z$60))+1, MOD(ROW(A154)-1, COLUMNS($V$1:$Z$60))+1)="", "", INDEX($V$1:$Z$60, INT((ROW(A154)-1)/COLUMNS($V$1:$Z$60))+1, MOD(ROW(A154)-1, COLUMNS($V$1:$Z$60))+1))</f>
        <v>New York</v>
      </c>
    </row>
    <row r="155" spans="27:28">
      <c r="AA155" cm="1">
        <f t="array" ref="AA155">IF(INDEX($Q$1:$U$60, INT((ROW(A155)-1)/COLUMNS($Q$1:$U$60))+1, MOD(ROW(A155)-1, COLUMNS($Q$1:$U$60))+1)="", "", INDEX($Q$1:$U$60, INT((ROW(A155)-1)/COLUMNS($Q$1:$U$60))+1, MOD(ROW(A155)-1, COLUMNS($Q$1:$U$60))+1))</f>
        <v>55</v>
      </c>
      <c r="AB155" t="str" cm="1">
        <f t="array" ref="AB155">IF(INDEX($V$1:$Z$60, INT((ROW(A155)-1)/COLUMNS($V$1:$Z$60))+1, MOD(ROW(A155)-1, COLUMNS($V$1:$Z$60))+1)="", "", INDEX($V$1:$Z$60, INT((ROW(A155)-1)/COLUMNS($V$1:$Z$60))+1, MOD(ROW(A155)-1, COLUMNS($V$1:$Z$60))+1))</f>
        <v>California</v>
      </c>
    </row>
    <row r="156" spans="27:28">
      <c r="AA156" cm="1">
        <f t="array" ref="AA156">IF(INDEX($Q$1:$U$60, INT((ROW(A156)-1)/COLUMNS($Q$1:$U$60))+1, MOD(ROW(A156)-1, COLUMNS($Q$1:$U$60))+1)="", "", INDEX($Q$1:$U$60, INT((ROW(A156)-1)/COLUMNS($Q$1:$U$60))+1, MOD(ROW(A156)-1, COLUMNS($Q$1:$U$60))+1))</f>
        <v>32</v>
      </c>
      <c r="AB156" t="str" cm="1">
        <f t="array" ref="AB156">IF(INDEX($V$1:$Z$60, INT((ROW(A156)-1)/COLUMNS($V$1:$Z$60))+1, MOD(ROW(A156)-1, COLUMNS($V$1:$Z$60))+1)="", "", INDEX($V$1:$Z$60, INT((ROW(A156)-1)/COLUMNS($V$1:$Z$60))+1, MOD(ROW(A156)-1, COLUMNS($V$1:$Z$60))+1))</f>
        <v>Virginia</v>
      </c>
    </row>
    <row r="157" spans="27:28">
      <c r="AA157" cm="1">
        <f t="array" ref="AA157">IF(INDEX($Q$1:$U$60, INT((ROW(A157)-1)/COLUMNS($Q$1:$U$60))+1, MOD(ROW(A157)-1, COLUMNS($Q$1:$U$60))+1)="", "", INDEX($Q$1:$U$60, INT((ROW(A157)-1)/COLUMNS($Q$1:$U$60))+1, MOD(ROW(A157)-1, COLUMNS($Q$1:$U$60))+1))</f>
        <v>44</v>
      </c>
      <c r="AB157" t="str" cm="1">
        <f t="array" ref="AB157">IF(INDEX($V$1:$Z$60, INT((ROW(A157)-1)/COLUMNS($V$1:$Z$60))+1, MOD(ROW(A157)-1, COLUMNS($V$1:$Z$60))+1)="", "", INDEX($V$1:$Z$60, INT((ROW(A157)-1)/COLUMNS($V$1:$Z$60))+1, MOD(ROW(A157)-1, COLUMNS($V$1:$Z$60))+1))</f>
        <v>Florida</v>
      </c>
    </row>
    <row r="158" spans="27:28">
      <c r="AA158" cm="1">
        <f t="array" ref="AA158">IF(INDEX($Q$1:$U$60, INT((ROW(A158)-1)/COLUMNS($Q$1:$U$60))+1, MOD(ROW(A158)-1, COLUMNS($Q$1:$U$60))+1)="", "", INDEX($Q$1:$U$60, INT((ROW(A158)-1)/COLUMNS($Q$1:$U$60))+1, MOD(ROW(A158)-1, COLUMNS($Q$1:$U$60))+1))</f>
        <v>44</v>
      </c>
      <c r="AB158" t="str" cm="1">
        <f t="array" ref="AB158">IF(INDEX($V$1:$Z$60, INT((ROW(A158)-1)/COLUMNS($V$1:$Z$60))+1, MOD(ROW(A158)-1, COLUMNS($V$1:$Z$60))+1)="", "", INDEX($V$1:$Z$60, INT((ROW(A158)-1)/COLUMNS($V$1:$Z$60))+1, MOD(ROW(A158)-1, COLUMNS($V$1:$Z$60))+1))</f>
        <v>Texas</v>
      </c>
    </row>
    <row r="159" spans="27:28">
      <c r="AA159" cm="1">
        <f t="array" ref="AA159">IF(INDEX($Q$1:$U$60, INT((ROW(A159)-1)/COLUMNS($Q$1:$U$60))+1, MOD(ROW(A159)-1, COLUMNS($Q$1:$U$60))+1)="", "", INDEX($Q$1:$U$60, INT((ROW(A159)-1)/COLUMNS($Q$1:$U$60))+1, MOD(ROW(A159)-1, COLUMNS($Q$1:$U$60))+1))</f>
        <v>56</v>
      </c>
      <c r="AB159" t="str" cm="1">
        <f t="array" ref="AB159">IF(INDEX($V$1:$Z$60, INT((ROW(A159)-1)/COLUMNS($V$1:$Z$60))+1, MOD(ROW(A159)-1, COLUMNS($V$1:$Z$60))+1)="", "", INDEX($V$1:$Z$60, INT((ROW(A159)-1)/COLUMNS($V$1:$Z$60))+1, MOD(ROW(A159)-1, COLUMNS($V$1:$Z$60))+1))</f>
        <v>New York</v>
      </c>
    </row>
    <row r="160" spans="27:28">
      <c r="AA160" cm="1">
        <f t="array" ref="AA160">IF(INDEX($Q$1:$U$60, INT((ROW(A160)-1)/COLUMNS($Q$1:$U$60))+1, MOD(ROW(A160)-1, COLUMNS($Q$1:$U$60))+1)="", "", INDEX($Q$1:$U$60, INT((ROW(A160)-1)/COLUMNS($Q$1:$U$60))+1, MOD(ROW(A160)-1, COLUMNS($Q$1:$U$60))+1))</f>
        <v>56</v>
      </c>
      <c r="AB160" t="str" cm="1">
        <f t="array" ref="AB160">IF(INDEX($V$1:$Z$60, INT((ROW(A160)-1)/COLUMNS($V$1:$Z$60))+1, MOD(ROW(A160)-1, COLUMNS($V$1:$Z$60))+1)="", "", INDEX($V$1:$Z$60, INT((ROW(A160)-1)/COLUMNS($V$1:$Z$60))+1, MOD(ROW(A160)-1, COLUMNS($V$1:$Z$60))+1))</f>
        <v>California</v>
      </c>
    </row>
    <row r="161" spans="27:28">
      <c r="AA161" cm="1">
        <f t="array" ref="AA161">IF(INDEX($Q$1:$U$60, INT((ROW(A161)-1)/COLUMNS($Q$1:$U$60))+1, MOD(ROW(A161)-1, COLUMNS($Q$1:$U$60))+1)="", "", INDEX($Q$1:$U$60, INT((ROW(A161)-1)/COLUMNS($Q$1:$U$60))+1, MOD(ROW(A161)-1, COLUMNS($Q$1:$U$60))+1))</f>
        <v>33</v>
      </c>
      <c r="AB161" t="str" cm="1">
        <f t="array" ref="AB161">IF(INDEX($V$1:$Z$60, INT((ROW(A161)-1)/COLUMNS($V$1:$Z$60))+1, MOD(ROW(A161)-1, COLUMNS($V$1:$Z$60))+1)="", "", INDEX($V$1:$Z$60, INT((ROW(A161)-1)/COLUMNS($V$1:$Z$60))+1, MOD(ROW(A161)-1, COLUMNS($V$1:$Z$60))+1))</f>
        <v>Virginia</v>
      </c>
    </row>
    <row r="162" spans="27:28">
      <c r="AA162" cm="1">
        <f t="array" ref="AA162">IF(INDEX($Q$1:$U$60, INT((ROW(A162)-1)/COLUMNS($Q$1:$U$60))+1, MOD(ROW(A162)-1, COLUMNS($Q$1:$U$60))+1)="", "", INDEX($Q$1:$U$60, INT((ROW(A162)-1)/COLUMNS($Q$1:$U$60))+1, MOD(ROW(A162)-1, COLUMNS($Q$1:$U$60))+1))</f>
        <v>45</v>
      </c>
      <c r="AB162" t="str" cm="1">
        <f t="array" ref="AB162">IF(INDEX($V$1:$Z$60, INT((ROW(A162)-1)/COLUMNS($V$1:$Z$60))+1, MOD(ROW(A162)-1, COLUMNS($V$1:$Z$60))+1)="", "", INDEX($V$1:$Z$60, INT((ROW(A162)-1)/COLUMNS($V$1:$Z$60))+1, MOD(ROW(A162)-1, COLUMNS($V$1:$Z$60))+1))</f>
        <v>Florida</v>
      </c>
    </row>
    <row r="163" spans="27:28">
      <c r="AA163" cm="1">
        <f t="array" ref="AA163">IF(INDEX($Q$1:$U$60, INT((ROW(A163)-1)/COLUMNS($Q$1:$U$60))+1, MOD(ROW(A163)-1, COLUMNS($Q$1:$U$60))+1)="", "", INDEX($Q$1:$U$60, INT((ROW(A163)-1)/COLUMNS($Q$1:$U$60))+1, MOD(ROW(A163)-1, COLUMNS($Q$1:$U$60))+1))</f>
        <v>45</v>
      </c>
      <c r="AB163" t="str" cm="1">
        <f t="array" ref="AB163">IF(INDEX($V$1:$Z$60, INT((ROW(A163)-1)/COLUMNS($V$1:$Z$60))+1, MOD(ROW(A163)-1, COLUMNS($V$1:$Z$60))+1)="", "", INDEX($V$1:$Z$60, INT((ROW(A163)-1)/COLUMNS($V$1:$Z$60))+1, MOD(ROW(A163)-1, COLUMNS($V$1:$Z$60))+1))</f>
        <v>Texas</v>
      </c>
    </row>
    <row r="164" spans="27:28">
      <c r="AA164" cm="1">
        <f t="array" ref="AA164">IF(INDEX($Q$1:$U$60, INT((ROW(A164)-1)/COLUMNS($Q$1:$U$60))+1, MOD(ROW(A164)-1, COLUMNS($Q$1:$U$60))+1)="", "", INDEX($Q$1:$U$60, INT((ROW(A164)-1)/COLUMNS($Q$1:$U$60))+1, MOD(ROW(A164)-1, COLUMNS($Q$1:$U$60))+1))</f>
        <v>57</v>
      </c>
      <c r="AB164" t="str" cm="1">
        <f t="array" ref="AB164">IF(INDEX($V$1:$Z$60, INT((ROW(A164)-1)/COLUMNS($V$1:$Z$60))+1, MOD(ROW(A164)-1, COLUMNS($V$1:$Z$60))+1)="", "", INDEX($V$1:$Z$60, INT((ROW(A164)-1)/COLUMNS($V$1:$Z$60))+1, MOD(ROW(A164)-1, COLUMNS($V$1:$Z$60))+1))</f>
        <v>New York</v>
      </c>
    </row>
    <row r="165" spans="27:28">
      <c r="AA165" cm="1">
        <f t="array" ref="AA165">IF(INDEX($Q$1:$U$60, INT((ROW(A165)-1)/COLUMNS($Q$1:$U$60))+1, MOD(ROW(A165)-1, COLUMNS($Q$1:$U$60))+1)="", "", INDEX($Q$1:$U$60, INT((ROW(A165)-1)/COLUMNS($Q$1:$U$60))+1, MOD(ROW(A165)-1, COLUMNS($Q$1:$U$60))+1))</f>
        <v>57</v>
      </c>
      <c r="AB165" t="str" cm="1">
        <f t="array" ref="AB165">IF(INDEX($V$1:$Z$60, INT((ROW(A165)-1)/COLUMNS($V$1:$Z$60))+1, MOD(ROW(A165)-1, COLUMNS($V$1:$Z$60))+1)="", "", INDEX($V$1:$Z$60, INT((ROW(A165)-1)/COLUMNS($V$1:$Z$60))+1, MOD(ROW(A165)-1, COLUMNS($V$1:$Z$60))+1))</f>
        <v>California</v>
      </c>
    </row>
    <row r="166" spans="27:28">
      <c r="AA166" cm="1">
        <f t="array" ref="AA166">IF(INDEX($Q$1:$U$60, INT((ROW(A166)-1)/COLUMNS($Q$1:$U$60))+1, MOD(ROW(A166)-1, COLUMNS($Q$1:$U$60))+1)="", "", INDEX($Q$1:$U$60, INT((ROW(A166)-1)/COLUMNS($Q$1:$U$60))+1, MOD(ROW(A166)-1, COLUMNS($Q$1:$U$60))+1))</f>
        <v>34</v>
      </c>
      <c r="AB166" t="str" cm="1">
        <f t="array" ref="AB166">IF(INDEX($V$1:$Z$60, INT((ROW(A166)-1)/COLUMNS($V$1:$Z$60))+1, MOD(ROW(A166)-1, COLUMNS($V$1:$Z$60))+1)="", "", INDEX($V$1:$Z$60, INT((ROW(A166)-1)/COLUMNS($V$1:$Z$60))+1, MOD(ROW(A166)-1, COLUMNS($V$1:$Z$60))+1))</f>
        <v>Virginia</v>
      </c>
    </row>
    <row r="167" spans="27:28">
      <c r="AA167" cm="1">
        <f t="array" ref="AA167">IF(INDEX($Q$1:$U$60, INT((ROW(A167)-1)/COLUMNS($Q$1:$U$60))+1, MOD(ROW(A167)-1, COLUMNS($Q$1:$U$60))+1)="", "", INDEX($Q$1:$U$60, INT((ROW(A167)-1)/COLUMNS($Q$1:$U$60))+1, MOD(ROW(A167)-1, COLUMNS($Q$1:$U$60))+1))</f>
        <v>46</v>
      </c>
      <c r="AB167" t="str" cm="1">
        <f t="array" ref="AB167">IF(INDEX($V$1:$Z$60, INT((ROW(A167)-1)/COLUMNS($V$1:$Z$60))+1, MOD(ROW(A167)-1, COLUMNS($V$1:$Z$60))+1)="", "", INDEX($V$1:$Z$60, INT((ROW(A167)-1)/COLUMNS($V$1:$Z$60))+1, MOD(ROW(A167)-1, COLUMNS($V$1:$Z$60))+1))</f>
        <v>Florida</v>
      </c>
    </row>
    <row r="168" spans="27:28">
      <c r="AA168" cm="1">
        <f t="array" ref="AA168">IF(INDEX($Q$1:$U$60, INT((ROW(A168)-1)/COLUMNS($Q$1:$U$60))+1, MOD(ROW(A168)-1, COLUMNS($Q$1:$U$60))+1)="", "", INDEX($Q$1:$U$60, INT((ROW(A168)-1)/COLUMNS($Q$1:$U$60))+1, MOD(ROW(A168)-1, COLUMNS($Q$1:$U$60))+1))</f>
        <v>46</v>
      </c>
      <c r="AB168" t="str" cm="1">
        <f t="array" ref="AB168">IF(INDEX($V$1:$Z$60, INT((ROW(A168)-1)/COLUMNS($V$1:$Z$60))+1, MOD(ROW(A168)-1, COLUMNS($V$1:$Z$60))+1)="", "", INDEX($V$1:$Z$60, INT((ROW(A168)-1)/COLUMNS($V$1:$Z$60))+1, MOD(ROW(A168)-1, COLUMNS($V$1:$Z$60))+1))</f>
        <v>Texas</v>
      </c>
    </row>
    <row r="169" spans="27:28">
      <c r="AA169" cm="1">
        <f t="array" ref="AA169">IF(INDEX($Q$1:$U$60, INT((ROW(A169)-1)/COLUMNS($Q$1:$U$60))+1, MOD(ROW(A169)-1, COLUMNS($Q$1:$U$60))+1)="", "", INDEX($Q$1:$U$60, INT((ROW(A169)-1)/COLUMNS($Q$1:$U$60))+1, MOD(ROW(A169)-1, COLUMNS($Q$1:$U$60))+1))</f>
        <v>58</v>
      </c>
      <c r="AB169" t="str" cm="1">
        <f t="array" ref="AB169">IF(INDEX($V$1:$Z$60, INT((ROW(A169)-1)/COLUMNS($V$1:$Z$60))+1, MOD(ROW(A169)-1, COLUMNS($V$1:$Z$60))+1)="", "", INDEX($V$1:$Z$60, INT((ROW(A169)-1)/COLUMNS($V$1:$Z$60))+1, MOD(ROW(A169)-1, COLUMNS($V$1:$Z$60))+1))</f>
        <v>New York</v>
      </c>
    </row>
    <row r="170" spans="27:28">
      <c r="AA170" cm="1">
        <f t="array" ref="AA170">IF(INDEX($Q$1:$U$60, INT((ROW(A170)-1)/COLUMNS($Q$1:$U$60))+1, MOD(ROW(A170)-1, COLUMNS($Q$1:$U$60))+1)="", "", INDEX($Q$1:$U$60, INT((ROW(A170)-1)/COLUMNS($Q$1:$U$60))+1, MOD(ROW(A170)-1, COLUMNS($Q$1:$U$60))+1))</f>
        <v>58</v>
      </c>
      <c r="AB170" t="str" cm="1">
        <f t="array" ref="AB170">IF(INDEX($V$1:$Z$60, INT((ROW(A170)-1)/COLUMNS($V$1:$Z$60))+1, MOD(ROW(A170)-1, COLUMNS($V$1:$Z$60))+1)="", "", INDEX($V$1:$Z$60, INT((ROW(A170)-1)/COLUMNS($V$1:$Z$60))+1, MOD(ROW(A170)-1, COLUMNS($V$1:$Z$60))+1))</f>
        <v>California</v>
      </c>
    </row>
    <row r="171" spans="27:28">
      <c r="AA171" cm="1">
        <f t="array" ref="AA171">IF(INDEX($Q$1:$U$60, INT((ROW(A171)-1)/COLUMNS($Q$1:$U$60))+1, MOD(ROW(A171)-1, COLUMNS($Q$1:$U$60))+1)="", "", INDEX($Q$1:$U$60, INT((ROW(A171)-1)/COLUMNS($Q$1:$U$60))+1, MOD(ROW(A171)-1, COLUMNS($Q$1:$U$60))+1))</f>
        <v>35</v>
      </c>
      <c r="AB171" t="str" cm="1">
        <f t="array" ref="AB171">IF(INDEX($V$1:$Z$60, INT((ROW(A171)-1)/COLUMNS($V$1:$Z$60))+1, MOD(ROW(A171)-1, COLUMNS($V$1:$Z$60))+1)="", "", INDEX($V$1:$Z$60, INT((ROW(A171)-1)/COLUMNS($V$1:$Z$60))+1, MOD(ROW(A171)-1, COLUMNS($V$1:$Z$60))+1))</f>
        <v>Virginia</v>
      </c>
    </row>
    <row r="172" spans="27:28">
      <c r="AA172" cm="1">
        <f t="array" ref="AA172">IF(INDEX($Q$1:$U$60, INT((ROW(A172)-1)/COLUMNS($Q$1:$U$60))+1, MOD(ROW(A172)-1, COLUMNS($Q$1:$U$60))+1)="", "", INDEX($Q$1:$U$60, INT((ROW(A172)-1)/COLUMNS($Q$1:$U$60))+1, MOD(ROW(A172)-1, COLUMNS($Q$1:$U$60))+1))</f>
        <v>47</v>
      </c>
      <c r="AB172" t="str" cm="1">
        <f t="array" ref="AB172">IF(INDEX($V$1:$Z$60, INT((ROW(A172)-1)/COLUMNS($V$1:$Z$60))+1, MOD(ROW(A172)-1, COLUMNS($V$1:$Z$60))+1)="", "", INDEX($V$1:$Z$60, INT((ROW(A172)-1)/COLUMNS($V$1:$Z$60))+1, MOD(ROW(A172)-1, COLUMNS($V$1:$Z$60))+1))</f>
        <v>Florida</v>
      </c>
    </row>
    <row r="173" spans="27:28">
      <c r="AA173" cm="1">
        <f t="array" ref="AA173">IF(INDEX($Q$1:$U$60, INT((ROW(A173)-1)/COLUMNS($Q$1:$U$60))+1, MOD(ROW(A173)-1, COLUMNS($Q$1:$U$60))+1)="", "", INDEX($Q$1:$U$60, INT((ROW(A173)-1)/COLUMNS($Q$1:$U$60))+1, MOD(ROW(A173)-1, COLUMNS($Q$1:$U$60))+1))</f>
        <v>47</v>
      </c>
      <c r="AB173" t="str" cm="1">
        <f t="array" ref="AB173">IF(INDEX($V$1:$Z$60, INT((ROW(A173)-1)/COLUMNS($V$1:$Z$60))+1, MOD(ROW(A173)-1, COLUMNS($V$1:$Z$60))+1)="", "", INDEX($V$1:$Z$60, INT((ROW(A173)-1)/COLUMNS($V$1:$Z$60))+1, MOD(ROW(A173)-1, COLUMNS($V$1:$Z$60))+1))</f>
        <v>Texas</v>
      </c>
    </row>
    <row r="174" spans="27:28">
      <c r="AA174" cm="1">
        <f t="array" ref="AA174">IF(INDEX($Q$1:$U$60, INT((ROW(A174)-1)/COLUMNS($Q$1:$U$60))+1, MOD(ROW(A174)-1, COLUMNS($Q$1:$U$60))+1)="", "", INDEX($Q$1:$U$60, INT((ROW(A174)-1)/COLUMNS($Q$1:$U$60))+1, MOD(ROW(A174)-1, COLUMNS($Q$1:$U$60))+1))</f>
        <v>59</v>
      </c>
      <c r="AB174" t="str" cm="1">
        <f t="array" ref="AB174">IF(INDEX($V$1:$Z$60, INT((ROW(A174)-1)/COLUMNS($V$1:$Z$60))+1, MOD(ROW(A174)-1, COLUMNS($V$1:$Z$60))+1)="", "", INDEX($V$1:$Z$60, INT((ROW(A174)-1)/COLUMNS($V$1:$Z$60))+1, MOD(ROW(A174)-1, COLUMNS($V$1:$Z$60))+1))</f>
        <v>New York</v>
      </c>
    </row>
    <row r="175" spans="27:28">
      <c r="AA175" cm="1">
        <f t="array" ref="AA175">IF(INDEX($Q$1:$U$60, INT((ROW(A175)-1)/COLUMNS($Q$1:$U$60))+1, MOD(ROW(A175)-1, COLUMNS($Q$1:$U$60))+1)="", "", INDEX($Q$1:$U$60, INT((ROW(A175)-1)/COLUMNS($Q$1:$U$60))+1, MOD(ROW(A175)-1, COLUMNS($Q$1:$U$60))+1))</f>
        <v>59</v>
      </c>
      <c r="AB175" t="str" cm="1">
        <f t="array" ref="AB175">IF(INDEX($V$1:$Z$60, INT((ROW(A175)-1)/COLUMNS($V$1:$Z$60))+1, MOD(ROW(A175)-1, COLUMNS($V$1:$Z$60))+1)="", "", INDEX($V$1:$Z$60, INT((ROW(A175)-1)/COLUMNS($V$1:$Z$60))+1, MOD(ROW(A175)-1, COLUMNS($V$1:$Z$60))+1))</f>
        <v>California</v>
      </c>
    </row>
    <row r="176" spans="27:28">
      <c r="AA176" cm="1">
        <f t="array" ref="AA176">IF(INDEX($Q$1:$U$60, INT((ROW(A176)-1)/COLUMNS($Q$1:$U$60))+1, MOD(ROW(A176)-1, COLUMNS($Q$1:$U$60))+1)="", "", INDEX($Q$1:$U$60, INT((ROW(A176)-1)/COLUMNS($Q$1:$U$60))+1, MOD(ROW(A176)-1, COLUMNS($Q$1:$U$60))+1))</f>
        <v>36</v>
      </c>
      <c r="AB176" t="str" cm="1">
        <f t="array" ref="AB176">IF(INDEX($V$1:$Z$60, INT((ROW(A176)-1)/COLUMNS($V$1:$Z$60))+1, MOD(ROW(A176)-1, COLUMNS($V$1:$Z$60))+1)="", "", INDEX($V$1:$Z$60, INT((ROW(A176)-1)/COLUMNS($V$1:$Z$60))+1, MOD(ROW(A176)-1, COLUMNS($V$1:$Z$60))+1))</f>
        <v>Virginia</v>
      </c>
    </row>
    <row r="177" spans="27:28">
      <c r="AA177" cm="1">
        <f t="array" ref="AA177">IF(INDEX($Q$1:$U$60, INT((ROW(A177)-1)/COLUMNS($Q$1:$U$60))+1, MOD(ROW(A177)-1, COLUMNS($Q$1:$U$60))+1)="", "", INDEX($Q$1:$U$60, INT((ROW(A177)-1)/COLUMNS($Q$1:$U$60))+1, MOD(ROW(A177)-1, COLUMNS($Q$1:$U$60))+1))</f>
        <v>48</v>
      </c>
      <c r="AB177" t="str" cm="1">
        <f t="array" ref="AB177">IF(INDEX($V$1:$Z$60, INT((ROW(A177)-1)/COLUMNS($V$1:$Z$60))+1, MOD(ROW(A177)-1, COLUMNS($V$1:$Z$60))+1)="", "", INDEX($V$1:$Z$60, INT((ROW(A177)-1)/COLUMNS($V$1:$Z$60))+1, MOD(ROW(A177)-1, COLUMNS($V$1:$Z$60))+1))</f>
        <v>Florida</v>
      </c>
    </row>
    <row r="178" spans="27:28">
      <c r="AA178" cm="1">
        <f t="array" ref="AA178">IF(INDEX($Q$1:$U$60, INT((ROW(A178)-1)/COLUMNS($Q$1:$U$60))+1, MOD(ROW(A178)-1, COLUMNS($Q$1:$U$60))+1)="", "", INDEX($Q$1:$U$60, INT((ROW(A178)-1)/COLUMNS($Q$1:$U$60))+1, MOD(ROW(A178)-1, COLUMNS($Q$1:$U$60))+1))</f>
        <v>48</v>
      </c>
      <c r="AB178" t="str" cm="1">
        <f t="array" ref="AB178">IF(INDEX($V$1:$Z$60, INT((ROW(A178)-1)/COLUMNS($V$1:$Z$60))+1, MOD(ROW(A178)-1, COLUMNS($V$1:$Z$60))+1)="", "", INDEX($V$1:$Z$60, INT((ROW(A178)-1)/COLUMNS($V$1:$Z$60))+1, MOD(ROW(A178)-1, COLUMNS($V$1:$Z$60))+1))</f>
        <v>Texas</v>
      </c>
    </row>
    <row r="179" spans="27:28">
      <c r="AA179" cm="1">
        <f t="array" ref="AA179">IF(INDEX($Q$1:$U$60, INT((ROW(A179)-1)/COLUMNS($Q$1:$U$60))+1, MOD(ROW(A179)-1, COLUMNS($Q$1:$U$60))+1)="", "", INDEX($Q$1:$U$60, INT((ROW(A179)-1)/COLUMNS($Q$1:$U$60))+1, MOD(ROW(A179)-1, COLUMNS($Q$1:$U$60))+1))</f>
        <v>60</v>
      </c>
      <c r="AB179" t="str" cm="1">
        <f t="array" ref="AB179">IF(INDEX($V$1:$Z$60, INT((ROW(A179)-1)/COLUMNS($V$1:$Z$60))+1, MOD(ROW(A179)-1, COLUMNS($V$1:$Z$60))+1)="", "", INDEX($V$1:$Z$60, INT((ROW(A179)-1)/COLUMNS($V$1:$Z$60))+1, MOD(ROW(A179)-1, COLUMNS($V$1:$Z$60))+1))</f>
        <v>New York</v>
      </c>
    </row>
    <row r="180" spans="27:28">
      <c r="AA180" cm="1">
        <f t="array" ref="AA180">IF(INDEX($Q$1:$U$60, INT((ROW(A180)-1)/COLUMNS($Q$1:$U$60))+1, MOD(ROW(A180)-1, COLUMNS($Q$1:$U$60))+1)="", "", INDEX($Q$1:$U$60, INT((ROW(A180)-1)/COLUMNS($Q$1:$U$60))+1, MOD(ROW(A180)-1, COLUMNS($Q$1:$U$60))+1))</f>
        <v>60</v>
      </c>
      <c r="AB180" t="str" cm="1">
        <f t="array" ref="AB180">IF(INDEX($V$1:$Z$60, INT((ROW(A180)-1)/COLUMNS($V$1:$Z$60))+1, MOD(ROW(A180)-1, COLUMNS($V$1:$Z$60))+1)="", "", INDEX($V$1:$Z$60, INT((ROW(A180)-1)/COLUMNS($V$1:$Z$60))+1, MOD(ROW(A180)-1, COLUMNS($V$1:$Z$60))+1))</f>
        <v>California</v>
      </c>
    </row>
    <row r="181" spans="27:28">
      <c r="AA181" cm="1">
        <f t="array" ref="AA181">IF(INDEX($Q$1:$U$60, INT((ROW(A181)-1)/COLUMNS($Q$1:$U$60))+1, MOD(ROW(A181)-1, COLUMNS($Q$1:$U$60))+1)="", "", INDEX($Q$1:$U$60, INT((ROW(A181)-1)/COLUMNS($Q$1:$U$60))+1, MOD(ROW(A181)-1, COLUMNS($Q$1:$U$60))+1))</f>
        <v>37</v>
      </c>
      <c r="AB181" t="str" cm="1">
        <f t="array" ref="AB181">IF(INDEX($V$1:$Z$60, INT((ROW(A181)-1)/COLUMNS($V$1:$Z$60))+1, MOD(ROW(A181)-1, COLUMNS($V$1:$Z$60))+1)="", "", INDEX($V$1:$Z$60, INT((ROW(A181)-1)/COLUMNS($V$1:$Z$60))+1, MOD(ROW(A181)-1, COLUMNS($V$1:$Z$60))+1))</f>
        <v>Virginia</v>
      </c>
    </row>
    <row r="182" spans="27:28">
      <c r="AA182" cm="1">
        <f t="array" ref="AA182">IF(INDEX($Q$1:$U$60, INT((ROW(A182)-1)/COLUMNS($Q$1:$U$60))+1, MOD(ROW(A182)-1, COLUMNS($Q$1:$U$60))+1)="", "", INDEX($Q$1:$U$60, INT((ROW(A182)-1)/COLUMNS($Q$1:$U$60))+1, MOD(ROW(A182)-1, COLUMNS($Q$1:$U$60))+1))</f>
        <v>49</v>
      </c>
      <c r="AB182" t="str" cm="1">
        <f t="array" ref="AB182">IF(INDEX($V$1:$Z$60, INT((ROW(A182)-1)/COLUMNS($V$1:$Z$60))+1, MOD(ROW(A182)-1, COLUMNS($V$1:$Z$60))+1)="", "", INDEX($V$1:$Z$60, INT((ROW(A182)-1)/COLUMNS($V$1:$Z$60))+1, MOD(ROW(A182)-1, COLUMNS($V$1:$Z$60))+1))</f>
        <v>Florida</v>
      </c>
    </row>
    <row r="183" spans="27:28">
      <c r="AA183" cm="1">
        <f t="array" ref="AA183">IF(INDEX($Q$1:$U$60, INT((ROW(A183)-1)/COLUMNS($Q$1:$U$60))+1, MOD(ROW(A183)-1, COLUMNS($Q$1:$U$60))+1)="", "", INDEX($Q$1:$U$60, INT((ROW(A183)-1)/COLUMNS($Q$1:$U$60))+1, MOD(ROW(A183)-1, COLUMNS($Q$1:$U$60))+1))</f>
        <v>49</v>
      </c>
      <c r="AB183" t="str" cm="1">
        <f t="array" ref="AB183">IF(INDEX($V$1:$Z$60, INT((ROW(A183)-1)/COLUMNS($V$1:$Z$60))+1, MOD(ROW(A183)-1, COLUMNS($V$1:$Z$60))+1)="", "", INDEX($V$1:$Z$60, INT((ROW(A183)-1)/COLUMNS($V$1:$Z$60))+1, MOD(ROW(A183)-1, COLUMNS($V$1:$Z$60))+1))</f>
        <v>Texas</v>
      </c>
    </row>
    <row r="184" spans="27:28">
      <c r="AA184" t="str" cm="1">
        <f t="array" ref="AA184">IF(INDEX($Q$1:$U$60, INT((ROW(A184)-1)/COLUMNS($Q$1:$U$60))+1, MOD(ROW(A184)-1, COLUMNS($Q$1:$U$60))+1)="", "", INDEX($Q$1:$U$60, INT((ROW(A184)-1)/COLUMNS($Q$1:$U$60))+1, MOD(ROW(A184)-1, COLUMNS($Q$1:$U$60))+1))</f>
        <v/>
      </c>
      <c r="AB184" t="str" cm="1">
        <f t="array" ref="AB184">IF(INDEX($V$1:$Z$60, INT((ROW(A184)-1)/COLUMNS($V$1:$Z$60))+1, MOD(ROW(A184)-1, COLUMNS($V$1:$Z$60))+1)="", "", INDEX($V$1:$Z$60, INT((ROW(A184)-1)/COLUMNS($V$1:$Z$60))+1, MOD(ROW(A184)-1, COLUMNS($V$1:$Z$60))+1))</f>
        <v/>
      </c>
    </row>
    <row r="185" spans="27:28">
      <c r="AA185" t="str" cm="1">
        <f t="array" ref="AA185">IF(INDEX($Q$1:$U$60, INT((ROW(A185)-1)/COLUMNS($Q$1:$U$60))+1, MOD(ROW(A185)-1, COLUMNS($Q$1:$U$60))+1)="", "", INDEX($Q$1:$U$60, INT((ROW(A185)-1)/COLUMNS($Q$1:$U$60))+1, MOD(ROW(A185)-1, COLUMNS($Q$1:$U$60))+1))</f>
        <v/>
      </c>
      <c r="AB185" t="str" cm="1">
        <f t="array" ref="AB185">IF(INDEX($V$1:$Z$60, INT((ROW(A185)-1)/COLUMNS($V$1:$Z$60))+1, MOD(ROW(A185)-1, COLUMNS($V$1:$Z$60))+1)="", "", INDEX($V$1:$Z$60, INT((ROW(A185)-1)/COLUMNS($V$1:$Z$60))+1, MOD(ROW(A185)-1, COLUMNS($V$1:$Z$60))+1))</f>
        <v/>
      </c>
    </row>
    <row r="186" spans="27:28">
      <c r="AA186" cm="1">
        <f t="array" ref="AA186">IF(INDEX($Q$1:$U$60, INT((ROW(A186)-1)/COLUMNS($Q$1:$U$60))+1, MOD(ROW(A186)-1, COLUMNS($Q$1:$U$60))+1)="", "", INDEX($Q$1:$U$60, INT((ROW(A186)-1)/COLUMNS($Q$1:$U$60))+1, MOD(ROW(A186)-1, COLUMNS($Q$1:$U$60))+1))</f>
        <v>38</v>
      </c>
      <c r="AB186" t="str" cm="1">
        <f t="array" ref="AB186">IF(INDEX($V$1:$Z$60, INT((ROW(A186)-1)/COLUMNS($V$1:$Z$60))+1, MOD(ROW(A186)-1, COLUMNS($V$1:$Z$60))+1)="", "", INDEX($V$1:$Z$60, INT((ROW(A186)-1)/COLUMNS($V$1:$Z$60))+1, MOD(ROW(A186)-1, COLUMNS($V$1:$Z$60))+1))</f>
        <v>Virginia</v>
      </c>
    </row>
    <row r="187" spans="27:28">
      <c r="AA187" cm="1">
        <f t="array" ref="AA187">IF(INDEX($Q$1:$U$60, INT((ROW(A187)-1)/COLUMNS($Q$1:$U$60))+1, MOD(ROW(A187)-1, COLUMNS($Q$1:$U$60))+1)="", "", INDEX($Q$1:$U$60, INT((ROW(A187)-1)/COLUMNS($Q$1:$U$60))+1, MOD(ROW(A187)-1, COLUMNS($Q$1:$U$60))+1))</f>
        <v>50</v>
      </c>
      <c r="AB187" t="str" cm="1">
        <f t="array" ref="AB187">IF(INDEX($V$1:$Z$60, INT((ROW(A187)-1)/COLUMNS($V$1:$Z$60))+1, MOD(ROW(A187)-1, COLUMNS($V$1:$Z$60))+1)="", "", INDEX($V$1:$Z$60, INT((ROW(A187)-1)/COLUMNS($V$1:$Z$60))+1, MOD(ROW(A187)-1, COLUMNS($V$1:$Z$60))+1))</f>
        <v>Florida</v>
      </c>
    </row>
    <row r="188" spans="27:28">
      <c r="AA188" cm="1">
        <f t="array" ref="AA188">IF(INDEX($Q$1:$U$60, INT((ROW(A188)-1)/COLUMNS($Q$1:$U$60))+1, MOD(ROW(A188)-1, COLUMNS($Q$1:$U$60))+1)="", "", INDEX($Q$1:$U$60, INT((ROW(A188)-1)/COLUMNS($Q$1:$U$60))+1, MOD(ROW(A188)-1, COLUMNS($Q$1:$U$60))+1))</f>
        <v>50</v>
      </c>
      <c r="AB188" t="str" cm="1">
        <f t="array" ref="AB188">IF(INDEX($V$1:$Z$60, INT((ROW(A188)-1)/COLUMNS($V$1:$Z$60))+1, MOD(ROW(A188)-1, COLUMNS($V$1:$Z$60))+1)="", "", INDEX($V$1:$Z$60, INT((ROW(A188)-1)/COLUMNS($V$1:$Z$60))+1, MOD(ROW(A188)-1, COLUMNS($V$1:$Z$60))+1))</f>
        <v>Texas</v>
      </c>
    </row>
    <row r="189" spans="27:28">
      <c r="AA189" t="str" cm="1">
        <f t="array" ref="AA189">IF(INDEX($Q$1:$U$60, INT((ROW(A189)-1)/COLUMNS($Q$1:$U$60))+1, MOD(ROW(A189)-1, COLUMNS($Q$1:$U$60))+1)="", "", INDEX($Q$1:$U$60, INT((ROW(A189)-1)/COLUMNS($Q$1:$U$60))+1, MOD(ROW(A189)-1, COLUMNS($Q$1:$U$60))+1))</f>
        <v/>
      </c>
      <c r="AB189" t="str" cm="1">
        <f t="array" ref="AB189">IF(INDEX($V$1:$Z$60, INT((ROW(A189)-1)/COLUMNS($V$1:$Z$60))+1, MOD(ROW(A189)-1, COLUMNS($V$1:$Z$60))+1)="", "", INDEX($V$1:$Z$60, INT((ROW(A189)-1)/COLUMNS($V$1:$Z$60))+1, MOD(ROW(A189)-1, COLUMNS($V$1:$Z$60))+1))</f>
        <v/>
      </c>
    </row>
    <row r="190" spans="27:28">
      <c r="AA190" t="str" cm="1">
        <f t="array" ref="AA190">IF(INDEX($Q$1:$U$60, INT((ROW(A190)-1)/COLUMNS($Q$1:$U$60))+1, MOD(ROW(A190)-1, COLUMNS($Q$1:$U$60))+1)="", "", INDEX($Q$1:$U$60, INT((ROW(A190)-1)/COLUMNS($Q$1:$U$60))+1, MOD(ROW(A190)-1, COLUMNS($Q$1:$U$60))+1))</f>
        <v/>
      </c>
      <c r="AB190" t="str" cm="1">
        <f t="array" ref="AB190">IF(INDEX($V$1:$Z$60, INT((ROW(A190)-1)/COLUMNS($V$1:$Z$60))+1, MOD(ROW(A190)-1, COLUMNS($V$1:$Z$60))+1)="", "", INDEX($V$1:$Z$60, INT((ROW(A190)-1)/COLUMNS($V$1:$Z$60))+1, MOD(ROW(A190)-1, COLUMNS($V$1:$Z$60))+1))</f>
        <v/>
      </c>
    </row>
    <row r="191" spans="27:28">
      <c r="AA191" cm="1">
        <f t="array" ref="AA191">IF(INDEX($Q$1:$U$60, INT((ROW(A191)-1)/COLUMNS($Q$1:$U$60))+1, MOD(ROW(A191)-1, COLUMNS($Q$1:$U$60))+1)="", "", INDEX($Q$1:$U$60, INT((ROW(A191)-1)/COLUMNS($Q$1:$U$60))+1, MOD(ROW(A191)-1, COLUMNS($Q$1:$U$60))+1))</f>
        <v>39</v>
      </c>
      <c r="AB191" t="str" cm="1">
        <f t="array" ref="AB191">IF(INDEX($V$1:$Z$60, INT((ROW(A191)-1)/COLUMNS($V$1:$Z$60))+1, MOD(ROW(A191)-1, COLUMNS($V$1:$Z$60))+1)="", "", INDEX($V$1:$Z$60, INT((ROW(A191)-1)/COLUMNS($V$1:$Z$60))+1, MOD(ROW(A191)-1, COLUMNS($V$1:$Z$60))+1))</f>
        <v>Virginia</v>
      </c>
    </row>
    <row r="192" spans="27:28">
      <c r="AA192" cm="1">
        <f t="array" ref="AA192">IF(INDEX($Q$1:$U$60, INT((ROW(A192)-1)/COLUMNS($Q$1:$U$60))+1, MOD(ROW(A192)-1, COLUMNS($Q$1:$U$60))+1)="", "", INDEX($Q$1:$U$60, INT((ROW(A192)-1)/COLUMNS($Q$1:$U$60))+1, MOD(ROW(A192)-1, COLUMNS($Q$1:$U$60))+1))</f>
        <v>51</v>
      </c>
      <c r="AB192" t="str" cm="1">
        <f t="array" ref="AB192">IF(INDEX($V$1:$Z$60, INT((ROW(A192)-1)/COLUMNS($V$1:$Z$60))+1, MOD(ROW(A192)-1, COLUMNS($V$1:$Z$60))+1)="", "", INDEX($V$1:$Z$60, INT((ROW(A192)-1)/COLUMNS($V$1:$Z$60))+1, MOD(ROW(A192)-1, COLUMNS($V$1:$Z$60))+1))</f>
        <v>Florida</v>
      </c>
    </row>
    <row r="193" spans="27:28">
      <c r="AA193" cm="1">
        <f t="array" ref="AA193">IF(INDEX($Q$1:$U$60, INT((ROW(A193)-1)/COLUMNS($Q$1:$U$60))+1, MOD(ROW(A193)-1, COLUMNS($Q$1:$U$60))+1)="", "", INDEX($Q$1:$U$60, INT((ROW(A193)-1)/COLUMNS($Q$1:$U$60))+1, MOD(ROW(A193)-1, COLUMNS($Q$1:$U$60))+1))</f>
        <v>51</v>
      </c>
      <c r="AB193" t="str" cm="1">
        <f t="array" ref="AB193">IF(INDEX($V$1:$Z$60, INT((ROW(A193)-1)/COLUMNS($V$1:$Z$60))+1, MOD(ROW(A193)-1, COLUMNS($V$1:$Z$60))+1)="", "", INDEX($V$1:$Z$60, INT((ROW(A193)-1)/COLUMNS($V$1:$Z$60))+1, MOD(ROW(A193)-1, COLUMNS($V$1:$Z$60))+1))</f>
        <v>Texas</v>
      </c>
    </row>
    <row r="194" spans="27:28">
      <c r="AA194" t="str" cm="1">
        <f t="array" ref="AA194">IF(INDEX($Q$1:$U$60, INT((ROW(A194)-1)/COLUMNS($Q$1:$U$60))+1, MOD(ROW(A194)-1, COLUMNS($Q$1:$U$60))+1)="", "", INDEX($Q$1:$U$60, INT((ROW(A194)-1)/COLUMNS($Q$1:$U$60))+1, MOD(ROW(A194)-1, COLUMNS($Q$1:$U$60))+1))</f>
        <v/>
      </c>
      <c r="AB194" t="str" cm="1">
        <f t="array" ref="AB194">IF(INDEX($V$1:$Z$60, INT((ROW(A194)-1)/COLUMNS($V$1:$Z$60))+1, MOD(ROW(A194)-1, COLUMNS($V$1:$Z$60))+1)="", "", INDEX($V$1:$Z$60, INT((ROW(A194)-1)/COLUMNS($V$1:$Z$60))+1, MOD(ROW(A194)-1, COLUMNS($V$1:$Z$60))+1))</f>
        <v/>
      </c>
    </row>
    <row r="195" spans="27:28">
      <c r="AA195" t="str" cm="1">
        <f t="array" ref="AA195">IF(INDEX($Q$1:$U$60, INT((ROW(A195)-1)/COLUMNS($Q$1:$U$60))+1, MOD(ROW(A195)-1, COLUMNS($Q$1:$U$60))+1)="", "", INDEX($Q$1:$U$60, INT((ROW(A195)-1)/COLUMNS($Q$1:$U$60))+1, MOD(ROW(A195)-1, COLUMNS($Q$1:$U$60))+1))</f>
        <v/>
      </c>
      <c r="AB195" t="str" cm="1">
        <f t="array" ref="AB195">IF(INDEX($V$1:$Z$60, INT((ROW(A195)-1)/COLUMNS($V$1:$Z$60))+1, MOD(ROW(A195)-1, COLUMNS($V$1:$Z$60))+1)="", "", INDEX($V$1:$Z$60, INT((ROW(A195)-1)/COLUMNS($V$1:$Z$60))+1, MOD(ROW(A195)-1, COLUMNS($V$1:$Z$60))+1))</f>
        <v/>
      </c>
    </row>
    <row r="196" spans="27:28">
      <c r="AA196" cm="1">
        <f t="array" ref="AA196">IF(INDEX($Q$1:$U$60, INT((ROW(A196)-1)/COLUMNS($Q$1:$U$60))+1, MOD(ROW(A196)-1, COLUMNS($Q$1:$U$60))+1)="", "", INDEX($Q$1:$U$60, INT((ROW(A196)-1)/COLUMNS($Q$1:$U$60))+1, MOD(ROW(A196)-1, COLUMNS($Q$1:$U$60))+1))</f>
        <v>40</v>
      </c>
      <c r="AB196" t="str" cm="1">
        <f t="array" ref="AB196">IF(INDEX($V$1:$Z$60, INT((ROW(A196)-1)/COLUMNS($V$1:$Z$60))+1, MOD(ROW(A196)-1, COLUMNS($V$1:$Z$60))+1)="", "", INDEX($V$1:$Z$60, INT((ROW(A196)-1)/COLUMNS($V$1:$Z$60))+1, MOD(ROW(A196)-1, COLUMNS($V$1:$Z$60))+1))</f>
        <v>Virginia</v>
      </c>
    </row>
    <row r="197" spans="27:28">
      <c r="AA197" cm="1">
        <f t="array" ref="AA197">IF(INDEX($Q$1:$U$60, INT((ROW(A197)-1)/COLUMNS($Q$1:$U$60))+1, MOD(ROW(A197)-1, COLUMNS($Q$1:$U$60))+1)="", "", INDEX($Q$1:$U$60, INT((ROW(A197)-1)/COLUMNS($Q$1:$U$60))+1, MOD(ROW(A197)-1, COLUMNS($Q$1:$U$60))+1))</f>
        <v>52</v>
      </c>
      <c r="AB197" t="str" cm="1">
        <f t="array" ref="AB197">IF(INDEX($V$1:$Z$60, INT((ROW(A197)-1)/COLUMNS($V$1:$Z$60))+1, MOD(ROW(A197)-1, COLUMNS($V$1:$Z$60))+1)="", "", INDEX($V$1:$Z$60, INT((ROW(A197)-1)/COLUMNS($V$1:$Z$60))+1, MOD(ROW(A197)-1, COLUMNS($V$1:$Z$60))+1))</f>
        <v>Florida</v>
      </c>
    </row>
    <row r="198" spans="27:28">
      <c r="AA198" cm="1">
        <f t="array" ref="AA198">IF(INDEX($Q$1:$U$60, INT((ROW(A198)-1)/COLUMNS($Q$1:$U$60))+1, MOD(ROW(A198)-1, COLUMNS($Q$1:$U$60))+1)="", "", INDEX($Q$1:$U$60, INT((ROW(A198)-1)/COLUMNS($Q$1:$U$60))+1, MOD(ROW(A198)-1, COLUMNS($Q$1:$U$60))+1))</f>
        <v>52</v>
      </c>
      <c r="AB198" t="str" cm="1">
        <f t="array" ref="AB198">IF(INDEX($V$1:$Z$60, INT((ROW(A198)-1)/COLUMNS($V$1:$Z$60))+1, MOD(ROW(A198)-1, COLUMNS($V$1:$Z$60))+1)="", "", INDEX($V$1:$Z$60, INT((ROW(A198)-1)/COLUMNS($V$1:$Z$60))+1, MOD(ROW(A198)-1, COLUMNS($V$1:$Z$60))+1))</f>
        <v>Texas</v>
      </c>
    </row>
    <row r="199" spans="27:28">
      <c r="AA199" t="str" cm="1">
        <f t="array" ref="AA199">IF(INDEX($Q$1:$U$60, INT((ROW(A199)-1)/COLUMNS($Q$1:$U$60))+1, MOD(ROW(A199)-1, COLUMNS($Q$1:$U$60))+1)="", "", INDEX($Q$1:$U$60, INT((ROW(A199)-1)/COLUMNS($Q$1:$U$60))+1, MOD(ROW(A199)-1, COLUMNS($Q$1:$U$60))+1))</f>
        <v/>
      </c>
      <c r="AB199" t="str" cm="1">
        <f t="array" ref="AB199">IF(INDEX($V$1:$Z$60, INT((ROW(A199)-1)/COLUMNS($V$1:$Z$60))+1, MOD(ROW(A199)-1, COLUMNS($V$1:$Z$60))+1)="", "", INDEX($V$1:$Z$60, INT((ROW(A199)-1)/COLUMNS($V$1:$Z$60))+1, MOD(ROW(A199)-1, COLUMNS($V$1:$Z$60))+1))</f>
        <v/>
      </c>
    </row>
    <row r="200" spans="27:28">
      <c r="AA200" t="str" cm="1">
        <f t="array" ref="AA200">IF(INDEX($Q$1:$U$60, INT((ROW(A200)-1)/COLUMNS($Q$1:$U$60))+1, MOD(ROW(A200)-1, COLUMNS($Q$1:$U$60))+1)="", "", INDEX($Q$1:$U$60, INT((ROW(A200)-1)/COLUMNS($Q$1:$U$60))+1, MOD(ROW(A200)-1, COLUMNS($Q$1:$U$60))+1))</f>
        <v/>
      </c>
      <c r="AB200" t="str" cm="1">
        <f t="array" ref="AB200">IF(INDEX($V$1:$Z$60, INT((ROW(A200)-1)/COLUMNS($V$1:$Z$60))+1, MOD(ROW(A200)-1, COLUMNS($V$1:$Z$60))+1)="", "", INDEX($V$1:$Z$60, INT((ROW(A200)-1)/COLUMNS($V$1:$Z$60))+1, MOD(ROW(A200)-1, COLUMNS($V$1:$Z$60))+1))</f>
        <v/>
      </c>
    </row>
    <row r="201" spans="27:28">
      <c r="AA201" cm="1">
        <f t="array" ref="AA201">IF(INDEX($Q$1:$U$60, INT((ROW(A201)-1)/COLUMNS($Q$1:$U$60))+1, MOD(ROW(A201)-1, COLUMNS($Q$1:$U$60))+1)="", "", INDEX($Q$1:$U$60, INT((ROW(A201)-1)/COLUMNS($Q$1:$U$60))+1, MOD(ROW(A201)-1, COLUMNS($Q$1:$U$60))+1))</f>
        <v>41</v>
      </c>
      <c r="AB201" t="str" cm="1">
        <f t="array" ref="AB201">IF(INDEX($V$1:$Z$60, INT((ROW(A201)-1)/COLUMNS($V$1:$Z$60))+1, MOD(ROW(A201)-1, COLUMNS($V$1:$Z$60))+1)="", "", INDEX($V$1:$Z$60, INT((ROW(A201)-1)/COLUMNS($V$1:$Z$60))+1, MOD(ROW(A201)-1, COLUMNS($V$1:$Z$60))+1))</f>
        <v>Virginia</v>
      </c>
    </row>
    <row r="202" spans="27:28">
      <c r="AA202" cm="1">
        <f t="array" ref="AA202">IF(INDEX($Q$1:$U$60, INT((ROW(A202)-1)/COLUMNS($Q$1:$U$60))+1, MOD(ROW(A202)-1, COLUMNS($Q$1:$U$60))+1)="", "", INDEX($Q$1:$U$60, INT((ROW(A202)-1)/COLUMNS($Q$1:$U$60))+1, MOD(ROW(A202)-1, COLUMNS($Q$1:$U$60))+1))</f>
        <v>53</v>
      </c>
      <c r="AB202" t="str" cm="1">
        <f t="array" ref="AB202">IF(INDEX($V$1:$Z$60, INT((ROW(A202)-1)/COLUMNS($V$1:$Z$60))+1, MOD(ROW(A202)-1, COLUMNS($V$1:$Z$60))+1)="", "", INDEX($V$1:$Z$60, INT((ROW(A202)-1)/COLUMNS($V$1:$Z$60))+1, MOD(ROW(A202)-1, COLUMNS($V$1:$Z$60))+1))</f>
        <v>Florida</v>
      </c>
    </row>
    <row r="203" spans="27:28">
      <c r="AA203" cm="1">
        <f t="array" ref="AA203">IF(INDEX($Q$1:$U$60, INT((ROW(A203)-1)/COLUMNS($Q$1:$U$60))+1, MOD(ROW(A203)-1, COLUMNS($Q$1:$U$60))+1)="", "", INDEX($Q$1:$U$60, INT((ROW(A203)-1)/COLUMNS($Q$1:$U$60))+1, MOD(ROW(A203)-1, COLUMNS($Q$1:$U$60))+1))</f>
        <v>53</v>
      </c>
      <c r="AB203" t="str" cm="1">
        <f t="array" ref="AB203">IF(INDEX($V$1:$Z$60, INT((ROW(A203)-1)/COLUMNS($V$1:$Z$60))+1, MOD(ROW(A203)-1, COLUMNS($V$1:$Z$60))+1)="", "", INDEX($V$1:$Z$60, INT((ROW(A203)-1)/COLUMNS($V$1:$Z$60))+1, MOD(ROW(A203)-1, COLUMNS($V$1:$Z$60))+1))</f>
        <v>Texas</v>
      </c>
    </row>
    <row r="204" spans="27:28">
      <c r="AA204" t="str" cm="1">
        <f t="array" ref="AA204">IF(INDEX($Q$1:$U$60, INT((ROW(A204)-1)/COLUMNS($Q$1:$U$60))+1, MOD(ROW(A204)-1, COLUMNS($Q$1:$U$60))+1)="", "", INDEX($Q$1:$U$60, INT((ROW(A204)-1)/COLUMNS($Q$1:$U$60))+1, MOD(ROW(A204)-1, COLUMNS($Q$1:$U$60))+1))</f>
        <v/>
      </c>
      <c r="AB204" t="str" cm="1">
        <f t="array" ref="AB204">IF(INDEX($V$1:$Z$60, INT((ROW(A204)-1)/COLUMNS($V$1:$Z$60))+1, MOD(ROW(A204)-1, COLUMNS($V$1:$Z$60))+1)="", "", INDEX($V$1:$Z$60, INT((ROW(A204)-1)/COLUMNS($V$1:$Z$60))+1, MOD(ROW(A204)-1, COLUMNS($V$1:$Z$60))+1))</f>
        <v/>
      </c>
    </row>
    <row r="205" spans="27:28">
      <c r="AA205" t="str" cm="1">
        <f t="array" ref="AA205">IF(INDEX($Q$1:$U$60, INT((ROW(A205)-1)/COLUMNS($Q$1:$U$60))+1, MOD(ROW(A205)-1, COLUMNS($Q$1:$U$60))+1)="", "", INDEX($Q$1:$U$60, INT((ROW(A205)-1)/COLUMNS($Q$1:$U$60))+1, MOD(ROW(A205)-1, COLUMNS($Q$1:$U$60))+1))</f>
        <v/>
      </c>
      <c r="AB205" t="str" cm="1">
        <f t="array" ref="AB205">IF(INDEX($V$1:$Z$60, INT((ROW(A205)-1)/COLUMNS($V$1:$Z$60))+1, MOD(ROW(A205)-1, COLUMNS($V$1:$Z$60))+1)="", "", INDEX($V$1:$Z$60, INT((ROW(A205)-1)/COLUMNS($V$1:$Z$60))+1, MOD(ROW(A205)-1, COLUMNS($V$1:$Z$60))+1))</f>
        <v/>
      </c>
    </row>
    <row r="206" spans="27:28">
      <c r="AA206" cm="1">
        <f t="array" ref="AA206">IF(INDEX($Q$1:$U$60, INT((ROW(A206)-1)/COLUMNS($Q$1:$U$60))+1, MOD(ROW(A206)-1, COLUMNS($Q$1:$U$60))+1)="", "", INDEX($Q$1:$U$60, INT((ROW(A206)-1)/COLUMNS($Q$1:$U$60))+1, MOD(ROW(A206)-1, COLUMNS($Q$1:$U$60))+1))</f>
        <v>42</v>
      </c>
      <c r="AB206" t="str" cm="1">
        <f t="array" ref="AB206">IF(INDEX($V$1:$Z$60, INT((ROW(A206)-1)/COLUMNS($V$1:$Z$60))+1, MOD(ROW(A206)-1, COLUMNS($V$1:$Z$60))+1)="", "", INDEX($V$1:$Z$60, INT((ROW(A206)-1)/COLUMNS($V$1:$Z$60))+1, MOD(ROW(A206)-1, COLUMNS($V$1:$Z$60))+1))</f>
        <v>Virginia</v>
      </c>
    </row>
    <row r="207" spans="27:28">
      <c r="AA207" cm="1">
        <f t="array" ref="AA207">IF(INDEX($Q$1:$U$60, INT((ROW(A207)-1)/COLUMNS($Q$1:$U$60))+1, MOD(ROW(A207)-1, COLUMNS($Q$1:$U$60))+1)="", "", INDEX($Q$1:$U$60, INT((ROW(A207)-1)/COLUMNS($Q$1:$U$60))+1, MOD(ROW(A207)-1, COLUMNS($Q$1:$U$60))+1))</f>
        <v>54</v>
      </c>
      <c r="AB207" t="str" cm="1">
        <f t="array" ref="AB207">IF(INDEX($V$1:$Z$60, INT((ROW(A207)-1)/COLUMNS($V$1:$Z$60))+1, MOD(ROW(A207)-1, COLUMNS($V$1:$Z$60))+1)="", "", INDEX($V$1:$Z$60, INT((ROW(A207)-1)/COLUMNS($V$1:$Z$60))+1, MOD(ROW(A207)-1, COLUMNS($V$1:$Z$60))+1))</f>
        <v>Florida</v>
      </c>
    </row>
    <row r="208" spans="27:28">
      <c r="AA208" cm="1">
        <f t="array" ref="AA208">IF(INDEX($Q$1:$U$60, INT((ROW(A208)-1)/COLUMNS($Q$1:$U$60))+1, MOD(ROW(A208)-1, COLUMNS($Q$1:$U$60))+1)="", "", INDEX($Q$1:$U$60, INT((ROW(A208)-1)/COLUMNS($Q$1:$U$60))+1, MOD(ROW(A208)-1, COLUMNS($Q$1:$U$60))+1))</f>
        <v>54</v>
      </c>
      <c r="AB208" t="str" cm="1">
        <f t="array" ref="AB208">IF(INDEX($V$1:$Z$60, INT((ROW(A208)-1)/COLUMNS($V$1:$Z$60))+1, MOD(ROW(A208)-1, COLUMNS($V$1:$Z$60))+1)="", "", INDEX($V$1:$Z$60, INT((ROW(A208)-1)/COLUMNS($V$1:$Z$60))+1, MOD(ROW(A208)-1, COLUMNS($V$1:$Z$60))+1))</f>
        <v>Texas</v>
      </c>
    </row>
    <row r="209" spans="27:28">
      <c r="AA209" t="str" cm="1">
        <f t="array" ref="AA209">IF(INDEX($Q$1:$U$60, INT((ROW(A209)-1)/COLUMNS($Q$1:$U$60))+1, MOD(ROW(A209)-1, COLUMNS($Q$1:$U$60))+1)="", "", INDEX($Q$1:$U$60, INT((ROW(A209)-1)/COLUMNS($Q$1:$U$60))+1, MOD(ROW(A209)-1, COLUMNS($Q$1:$U$60))+1))</f>
        <v/>
      </c>
      <c r="AB209" t="str" cm="1">
        <f t="array" ref="AB209">IF(INDEX($V$1:$Z$60, INT((ROW(A209)-1)/COLUMNS($V$1:$Z$60))+1, MOD(ROW(A209)-1, COLUMNS($V$1:$Z$60))+1)="", "", INDEX($V$1:$Z$60, INT((ROW(A209)-1)/COLUMNS($V$1:$Z$60))+1, MOD(ROW(A209)-1, COLUMNS($V$1:$Z$60))+1))</f>
        <v/>
      </c>
    </row>
    <row r="210" spans="27:28">
      <c r="AA210" t="str" cm="1">
        <f t="array" ref="AA210">IF(INDEX($Q$1:$U$60, INT((ROW(A210)-1)/COLUMNS($Q$1:$U$60))+1, MOD(ROW(A210)-1, COLUMNS($Q$1:$U$60))+1)="", "", INDEX($Q$1:$U$60, INT((ROW(A210)-1)/COLUMNS($Q$1:$U$60))+1, MOD(ROW(A210)-1, COLUMNS($Q$1:$U$60))+1))</f>
        <v/>
      </c>
      <c r="AB210" t="str" cm="1">
        <f t="array" ref="AB210">IF(INDEX($V$1:$Z$60, INT((ROW(A210)-1)/COLUMNS($V$1:$Z$60))+1, MOD(ROW(A210)-1, COLUMNS($V$1:$Z$60))+1)="", "", INDEX($V$1:$Z$60, INT((ROW(A210)-1)/COLUMNS($V$1:$Z$60))+1, MOD(ROW(A210)-1, COLUMNS($V$1:$Z$60))+1))</f>
        <v/>
      </c>
    </row>
    <row r="211" spans="27:28">
      <c r="AA211" cm="1">
        <f t="array" ref="AA211">IF(INDEX($Q$1:$U$60, INT((ROW(A211)-1)/COLUMNS($Q$1:$U$60))+1, MOD(ROW(A211)-1, COLUMNS($Q$1:$U$60))+1)="", "", INDEX($Q$1:$U$60, INT((ROW(A211)-1)/COLUMNS($Q$1:$U$60))+1, MOD(ROW(A211)-1, COLUMNS($Q$1:$U$60))+1))</f>
        <v>43</v>
      </c>
      <c r="AB211" t="str" cm="1">
        <f t="array" ref="AB211">IF(INDEX($V$1:$Z$60, INT((ROW(A211)-1)/COLUMNS($V$1:$Z$60))+1, MOD(ROW(A211)-1, COLUMNS($V$1:$Z$60))+1)="", "", INDEX($V$1:$Z$60, INT((ROW(A211)-1)/COLUMNS($V$1:$Z$60))+1, MOD(ROW(A211)-1, COLUMNS($V$1:$Z$60))+1))</f>
        <v>Virginia</v>
      </c>
    </row>
    <row r="212" spans="27:28">
      <c r="AA212" cm="1">
        <f t="array" ref="AA212">IF(INDEX($Q$1:$U$60, INT((ROW(A212)-1)/COLUMNS($Q$1:$U$60))+1, MOD(ROW(A212)-1, COLUMNS($Q$1:$U$60))+1)="", "", INDEX($Q$1:$U$60, INT((ROW(A212)-1)/COLUMNS($Q$1:$U$60))+1, MOD(ROW(A212)-1, COLUMNS($Q$1:$U$60))+1))</f>
        <v>55</v>
      </c>
      <c r="AB212" t="str" cm="1">
        <f t="array" ref="AB212">IF(INDEX($V$1:$Z$60, INT((ROW(A212)-1)/COLUMNS($V$1:$Z$60))+1, MOD(ROW(A212)-1, COLUMNS($V$1:$Z$60))+1)="", "", INDEX($V$1:$Z$60, INT((ROW(A212)-1)/COLUMNS($V$1:$Z$60))+1, MOD(ROW(A212)-1, COLUMNS($V$1:$Z$60))+1))</f>
        <v>Florida</v>
      </c>
    </row>
    <row r="213" spans="27:28">
      <c r="AA213" cm="1">
        <f t="array" ref="AA213">IF(INDEX($Q$1:$U$60, INT((ROW(A213)-1)/COLUMNS($Q$1:$U$60))+1, MOD(ROW(A213)-1, COLUMNS($Q$1:$U$60))+1)="", "", INDEX($Q$1:$U$60, INT((ROW(A213)-1)/COLUMNS($Q$1:$U$60))+1, MOD(ROW(A213)-1, COLUMNS($Q$1:$U$60))+1))</f>
        <v>55</v>
      </c>
      <c r="AB213" t="str" cm="1">
        <f t="array" ref="AB213">IF(INDEX($V$1:$Z$60, INT((ROW(A213)-1)/COLUMNS($V$1:$Z$60))+1, MOD(ROW(A213)-1, COLUMNS($V$1:$Z$60))+1)="", "", INDEX($V$1:$Z$60, INT((ROW(A213)-1)/COLUMNS($V$1:$Z$60))+1, MOD(ROW(A213)-1, COLUMNS($V$1:$Z$60))+1))</f>
        <v>Texas</v>
      </c>
    </row>
    <row r="214" spans="27:28">
      <c r="AA214" t="str" cm="1">
        <f t="array" ref="AA214">IF(INDEX($Q$1:$U$60, INT((ROW(A214)-1)/COLUMNS($Q$1:$U$60))+1, MOD(ROW(A214)-1, COLUMNS($Q$1:$U$60))+1)="", "", INDEX($Q$1:$U$60, INT((ROW(A214)-1)/COLUMNS($Q$1:$U$60))+1, MOD(ROW(A214)-1, COLUMNS($Q$1:$U$60))+1))</f>
        <v/>
      </c>
      <c r="AB214" t="str" cm="1">
        <f t="array" ref="AB214">IF(INDEX($V$1:$Z$60, INT((ROW(A214)-1)/COLUMNS($V$1:$Z$60))+1, MOD(ROW(A214)-1, COLUMNS($V$1:$Z$60))+1)="", "", INDEX($V$1:$Z$60, INT((ROW(A214)-1)/COLUMNS($V$1:$Z$60))+1, MOD(ROW(A214)-1, COLUMNS($V$1:$Z$60))+1))</f>
        <v/>
      </c>
    </row>
    <row r="215" spans="27:28">
      <c r="AA215" t="str" cm="1">
        <f t="array" ref="AA215">IF(INDEX($Q$1:$U$60, INT((ROW(A215)-1)/COLUMNS($Q$1:$U$60))+1, MOD(ROW(A215)-1, COLUMNS($Q$1:$U$60))+1)="", "", INDEX($Q$1:$U$60, INT((ROW(A215)-1)/COLUMNS($Q$1:$U$60))+1, MOD(ROW(A215)-1, COLUMNS($Q$1:$U$60))+1))</f>
        <v/>
      </c>
      <c r="AB215" t="str" cm="1">
        <f t="array" ref="AB215">IF(INDEX($V$1:$Z$60, INT((ROW(A215)-1)/COLUMNS($V$1:$Z$60))+1, MOD(ROW(A215)-1, COLUMNS($V$1:$Z$60))+1)="", "", INDEX($V$1:$Z$60, INT((ROW(A215)-1)/COLUMNS($V$1:$Z$60))+1, MOD(ROW(A215)-1, COLUMNS($V$1:$Z$60))+1))</f>
        <v/>
      </c>
    </row>
    <row r="216" spans="27:28">
      <c r="AA216" cm="1">
        <f t="array" ref="AA216">IF(INDEX($Q$1:$U$60, INT((ROW(A216)-1)/COLUMNS($Q$1:$U$60))+1, MOD(ROW(A216)-1, COLUMNS($Q$1:$U$60))+1)="", "", INDEX($Q$1:$U$60, INT((ROW(A216)-1)/COLUMNS($Q$1:$U$60))+1, MOD(ROW(A216)-1, COLUMNS($Q$1:$U$60))+1))</f>
        <v>44</v>
      </c>
      <c r="AB216" t="str" cm="1">
        <f t="array" ref="AB216">IF(INDEX($V$1:$Z$60, INT((ROW(A216)-1)/COLUMNS($V$1:$Z$60))+1, MOD(ROW(A216)-1, COLUMNS($V$1:$Z$60))+1)="", "", INDEX($V$1:$Z$60, INT((ROW(A216)-1)/COLUMNS($V$1:$Z$60))+1, MOD(ROW(A216)-1, COLUMNS($V$1:$Z$60))+1))</f>
        <v>Virginia</v>
      </c>
    </row>
    <row r="217" spans="27:28">
      <c r="AA217" cm="1">
        <f t="array" ref="AA217">IF(INDEX($Q$1:$U$60, INT((ROW(A217)-1)/COLUMNS($Q$1:$U$60))+1, MOD(ROW(A217)-1, COLUMNS($Q$1:$U$60))+1)="", "", INDEX($Q$1:$U$60, INT((ROW(A217)-1)/COLUMNS($Q$1:$U$60))+1, MOD(ROW(A217)-1, COLUMNS($Q$1:$U$60))+1))</f>
        <v>56</v>
      </c>
      <c r="AB217" t="str" cm="1">
        <f t="array" ref="AB217">IF(INDEX($V$1:$Z$60, INT((ROW(A217)-1)/COLUMNS($V$1:$Z$60))+1, MOD(ROW(A217)-1, COLUMNS($V$1:$Z$60))+1)="", "", INDEX($V$1:$Z$60, INT((ROW(A217)-1)/COLUMNS($V$1:$Z$60))+1, MOD(ROW(A217)-1, COLUMNS($V$1:$Z$60))+1))</f>
        <v>Florida</v>
      </c>
    </row>
    <row r="218" spans="27:28">
      <c r="AA218" cm="1">
        <f t="array" ref="AA218">IF(INDEX($Q$1:$U$60, INT((ROW(A218)-1)/COLUMNS($Q$1:$U$60))+1, MOD(ROW(A218)-1, COLUMNS($Q$1:$U$60))+1)="", "", INDEX($Q$1:$U$60, INT((ROW(A218)-1)/COLUMNS($Q$1:$U$60))+1, MOD(ROW(A218)-1, COLUMNS($Q$1:$U$60))+1))</f>
        <v>56</v>
      </c>
      <c r="AB218" t="str" cm="1">
        <f t="array" ref="AB218">IF(INDEX($V$1:$Z$60, INT((ROW(A218)-1)/COLUMNS($V$1:$Z$60))+1, MOD(ROW(A218)-1, COLUMNS($V$1:$Z$60))+1)="", "", INDEX($V$1:$Z$60, INT((ROW(A218)-1)/COLUMNS($V$1:$Z$60))+1, MOD(ROW(A218)-1, COLUMNS($V$1:$Z$60))+1))</f>
        <v>Texas</v>
      </c>
    </row>
    <row r="219" spans="27:28">
      <c r="AA219" t="str" cm="1">
        <f t="array" ref="AA219">IF(INDEX($Q$1:$U$60, INT((ROW(A219)-1)/COLUMNS($Q$1:$U$60))+1, MOD(ROW(A219)-1, COLUMNS($Q$1:$U$60))+1)="", "", INDEX($Q$1:$U$60, INT((ROW(A219)-1)/COLUMNS($Q$1:$U$60))+1, MOD(ROW(A219)-1, COLUMNS($Q$1:$U$60))+1))</f>
        <v/>
      </c>
      <c r="AB219" t="str" cm="1">
        <f t="array" ref="AB219">IF(INDEX($V$1:$Z$60, INT((ROW(A219)-1)/COLUMNS($V$1:$Z$60))+1, MOD(ROW(A219)-1, COLUMNS($V$1:$Z$60))+1)="", "", INDEX($V$1:$Z$60, INT((ROW(A219)-1)/COLUMNS($V$1:$Z$60))+1, MOD(ROW(A219)-1, COLUMNS($V$1:$Z$60))+1))</f>
        <v/>
      </c>
    </row>
    <row r="220" spans="27:28">
      <c r="AA220" t="str" cm="1">
        <f t="array" ref="AA220">IF(INDEX($Q$1:$U$60, INT((ROW(A220)-1)/COLUMNS($Q$1:$U$60))+1, MOD(ROW(A220)-1, COLUMNS($Q$1:$U$60))+1)="", "", INDEX($Q$1:$U$60, INT((ROW(A220)-1)/COLUMNS($Q$1:$U$60))+1, MOD(ROW(A220)-1, COLUMNS($Q$1:$U$60))+1))</f>
        <v/>
      </c>
      <c r="AB220" t="str" cm="1">
        <f t="array" ref="AB220">IF(INDEX($V$1:$Z$60, INT((ROW(A220)-1)/COLUMNS($V$1:$Z$60))+1, MOD(ROW(A220)-1, COLUMNS($V$1:$Z$60))+1)="", "", INDEX($V$1:$Z$60, INT((ROW(A220)-1)/COLUMNS($V$1:$Z$60))+1, MOD(ROW(A220)-1, COLUMNS($V$1:$Z$60))+1))</f>
        <v/>
      </c>
    </row>
    <row r="221" spans="27:28">
      <c r="AA221" cm="1">
        <f t="array" ref="AA221">IF(INDEX($Q$1:$U$60, INT((ROW(A221)-1)/COLUMNS($Q$1:$U$60))+1, MOD(ROW(A221)-1, COLUMNS($Q$1:$U$60))+1)="", "", INDEX($Q$1:$U$60, INT((ROW(A221)-1)/COLUMNS($Q$1:$U$60))+1, MOD(ROW(A221)-1, COLUMNS($Q$1:$U$60))+1))</f>
        <v>45</v>
      </c>
      <c r="AB221" t="str" cm="1">
        <f t="array" ref="AB221">IF(INDEX($V$1:$Z$60, INT((ROW(A221)-1)/COLUMNS($V$1:$Z$60))+1, MOD(ROW(A221)-1, COLUMNS($V$1:$Z$60))+1)="", "", INDEX($V$1:$Z$60, INT((ROW(A221)-1)/COLUMNS($V$1:$Z$60))+1, MOD(ROW(A221)-1, COLUMNS($V$1:$Z$60))+1))</f>
        <v>Virginia</v>
      </c>
    </row>
    <row r="222" spans="27:28">
      <c r="AA222" cm="1">
        <f t="array" ref="AA222">IF(INDEX($Q$1:$U$60, INT((ROW(A222)-1)/COLUMNS($Q$1:$U$60))+1, MOD(ROW(A222)-1, COLUMNS($Q$1:$U$60))+1)="", "", INDEX($Q$1:$U$60, INT((ROW(A222)-1)/COLUMNS($Q$1:$U$60))+1, MOD(ROW(A222)-1, COLUMNS($Q$1:$U$60))+1))</f>
        <v>57</v>
      </c>
      <c r="AB222" t="str" cm="1">
        <f t="array" ref="AB222">IF(INDEX($V$1:$Z$60, INT((ROW(A222)-1)/COLUMNS($V$1:$Z$60))+1, MOD(ROW(A222)-1, COLUMNS($V$1:$Z$60))+1)="", "", INDEX($V$1:$Z$60, INT((ROW(A222)-1)/COLUMNS($V$1:$Z$60))+1, MOD(ROW(A222)-1, COLUMNS($V$1:$Z$60))+1))</f>
        <v>Florida</v>
      </c>
    </row>
    <row r="223" spans="27:28">
      <c r="AA223" cm="1">
        <f t="array" ref="AA223">IF(INDEX($Q$1:$U$60, INT((ROW(A223)-1)/COLUMNS($Q$1:$U$60))+1, MOD(ROW(A223)-1, COLUMNS($Q$1:$U$60))+1)="", "", INDEX($Q$1:$U$60, INT((ROW(A223)-1)/COLUMNS($Q$1:$U$60))+1, MOD(ROW(A223)-1, COLUMNS($Q$1:$U$60))+1))</f>
        <v>57</v>
      </c>
      <c r="AB223" t="str" cm="1">
        <f t="array" ref="AB223">IF(INDEX($V$1:$Z$60, INT((ROW(A223)-1)/COLUMNS($V$1:$Z$60))+1, MOD(ROW(A223)-1, COLUMNS($V$1:$Z$60))+1)="", "", INDEX($V$1:$Z$60, INT((ROW(A223)-1)/COLUMNS($V$1:$Z$60))+1, MOD(ROW(A223)-1, COLUMNS($V$1:$Z$60))+1))</f>
        <v>Texas</v>
      </c>
    </row>
    <row r="224" spans="27:28">
      <c r="AA224" t="str" cm="1">
        <f t="array" ref="AA224">IF(INDEX($Q$1:$U$60, INT((ROW(A224)-1)/COLUMNS($Q$1:$U$60))+1, MOD(ROW(A224)-1, COLUMNS($Q$1:$U$60))+1)="", "", INDEX($Q$1:$U$60, INT((ROW(A224)-1)/COLUMNS($Q$1:$U$60))+1, MOD(ROW(A224)-1, COLUMNS($Q$1:$U$60))+1))</f>
        <v/>
      </c>
      <c r="AB224" t="str" cm="1">
        <f t="array" ref="AB224">IF(INDEX($V$1:$Z$60, INT((ROW(A224)-1)/COLUMNS($V$1:$Z$60))+1, MOD(ROW(A224)-1, COLUMNS($V$1:$Z$60))+1)="", "", INDEX($V$1:$Z$60, INT((ROW(A224)-1)/COLUMNS($V$1:$Z$60))+1, MOD(ROW(A224)-1, COLUMNS($V$1:$Z$60))+1))</f>
        <v/>
      </c>
    </row>
    <row r="225" spans="27:28">
      <c r="AA225" t="str" cm="1">
        <f t="array" ref="AA225">IF(INDEX($Q$1:$U$60, INT((ROW(A225)-1)/COLUMNS($Q$1:$U$60))+1, MOD(ROW(A225)-1, COLUMNS($Q$1:$U$60))+1)="", "", INDEX($Q$1:$U$60, INT((ROW(A225)-1)/COLUMNS($Q$1:$U$60))+1, MOD(ROW(A225)-1, COLUMNS($Q$1:$U$60))+1))</f>
        <v/>
      </c>
      <c r="AB225" t="str" cm="1">
        <f t="array" ref="AB225">IF(INDEX($V$1:$Z$60, INT((ROW(A225)-1)/COLUMNS($V$1:$Z$60))+1, MOD(ROW(A225)-1, COLUMNS($V$1:$Z$60))+1)="", "", INDEX($V$1:$Z$60, INT((ROW(A225)-1)/COLUMNS($V$1:$Z$60))+1, MOD(ROW(A225)-1, COLUMNS($V$1:$Z$60))+1))</f>
        <v/>
      </c>
    </row>
    <row r="226" spans="27:28">
      <c r="AA226" cm="1">
        <f t="array" ref="AA226">IF(INDEX($Q$1:$U$60, INT((ROW(A226)-1)/COLUMNS($Q$1:$U$60))+1, MOD(ROW(A226)-1, COLUMNS($Q$1:$U$60))+1)="", "", INDEX($Q$1:$U$60, INT((ROW(A226)-1)/COLUMNS($Q$1:$U$60))+1, MOD(ROW(A226)-1, COLUMNS($Q$1:$U$60))+1))</f>
        <v>46</v>
      </c>
      <c r="AB226" t="str" cm="1">
        <f t="array" ref="AB226">IF(INDEX($V$1:$Z$60, INT((ROW(A226)-1)/COLUMNS($V$1:$Z$60))+1, MOD(ROW(A226)-1, COLUMNS($V$1:$Z$60))+1)="", "", INDEX($V$1:$Z$60, INT((ROW(A226)-1)/COLUMNS($V$1:$Z$60))+1, MOD(ROW(A226)-1, COLUMNS($V$1:$Z$60))+1))</f>
        <v>Virginia</v>
      </c>
    </row>
    <row r="227" spans="27:28">
      <c r="AA227" cm="1">
        <f t="array" ref="AA227">IF(INDEX($Q$1:$U$60, INT((ROW(A227)-1)/COLUMNS($Q$1:$U$60))+1, MOD(ROW(A227)-1, COLUMNS($Q$1:$U$60))+1)="", "", INDEX($Q$1:$U$60, INT((ROW(A227)-1)/COLUMNS($Q$1:$U$60))+1, MOD(ROW(A227)-1, COLUMNS($Q$1:$U$60))+1))</f>
        <v>58</v>
      </c>
      <c r="AB227" t="str" cm="1">
        <f t="array" ref="AB227">IF(INDEX($V$1:$Z$60, INT((ROW(A227)-1)/COLUMNS($V$1:$Z$60))+1, MOD(ROW(A227)-1, COLUMNS($V$1:$Z$60))+1)="", "", INDEX($V$1:$Z$60, INT((ROW(A227)-1)/COLUMNS($V$1:$Z$60))+1, MOD(ROW(A227)-1, COLUMNS($V$1:$Z$60))+1))</f>
        <v>Florida</v>
      </c>
    </row>
    <row r="228" spans="27:28">
      <c r="AA228" cm="1">
        <f t="array" ref="AA228">IF(INDEX($Q$1:$U$60, INT((ROW(A228)-1)/COLUMNS($Q$1:$U$60))+1, MOD(ROW(A228)-1, COLUMNS($Q$1:$U$60))+1)="", "", INDEX($Q$1:$U$60, INT((ROW(A228)-1)/COLUMNS($Q$1:$U$60))+1, MOD(ROW(A228)-1, COLUMNS($Q$1:$U$60))+1))</f>
        <v>58</v>
      </c>
      <c r="AB228" t="str" cm="1">
        <f t="array" ref="AB228">IF(INDEX($V$1:$Z$60, INT((ROW(A228)-1)/COLUMNS($V$1:$Z$60))+1, MOD(ROW(A228)-1, COLUMNS($V$1:$Z$60))+1)="", "", INDEX($V$1:$Z$60, INT((ROW(A228)-1)/COLUMNS($V$1:$Z$60))+1, MOD(ROW(A228)-1, COLUMNS($V$1:$Z$60))+1))</f>
        <v>Texas</v>
      </c>
    </row>
    <row r="229" spans="27:28">
      <c r="AA229" t="str" cm="1">
        <f t="array" ref="AA229">IF(INDEX($Q$1:$U$60, INT((ROW(A229)-1)/COLUMNS($Q$1:$U$60))+1, MOD(ROW(A229)-1, COLUMNS($Q$1:$U$60))+1)="", "", INDEX($Q$1:$U$60, INT((ROW(A229)-1)/COLUMNS($Q$1:$U$60))+1, MOD(ROW(A229)-1, COLUMNS($Q$1:$U$60))+1))</f>
        <v/>
      </c>
      <c r="AB229" t="str" cm="1">
        <f t="array" ref="AB229">IF(INDEX($V$1:$Z$60, INT((ROW(A229)-1)/COLUMNS($V$1:$Z$60))+1, MOD(ROW(A229)-1, COLUMNS($V$1:$Z$60))+1)="", "", INDEX($V$1:$Z$60, INT((ROW(A229)-1)/COLUMNS($V$1:$Z$60))+1, MOD(ROW(A229)-1, COLUMNS($V$1:$Z$60))+1))</f>
        <v/>
      </c>
    </row>
    <row r="230" spans="27:28">
      <c r="AA230" t="str" cm="1">
        <f t="array" ref="AA230">IF(INDEX($Q$1:$U$60, INT((ROW(A230)-1)/COLUMNS($Q$1:$U$60))+1, MOD(ROW(A230)-1, COLUMNS($Q$1:$U$60))+1)="", "", INDEX($Q$1:$U$60, INT((ROW(A230)-1)/COLUMNS($Q$1:$U$60))+1, MOD(ROW(A230)-1, COLUMNS($Q$1:$U$60))+1))</f>
        <v/>
      </c>
      <c r="AB230" t="str" cm="1">
        <f t="array" ref="AB230">IF(INDEX($V$1:$Z$60, INT((ROW(A230)-1)/COLUMNS($V$1:$Z$60))+1, MOD(ROW(A230)-1, COLUMNS($V$1:$Z$60))+1)="", "", INDEX($V$1:$Z$60, INT((ROW(A230)-1)/COLUMNS($V$1:$Z$60))+1, MOD(ROW(A230)-1, COLUMNS($V$1:$Z$60))+1))</f>
        <v/>
      </c>
    </row>
    <row r="231" spans="27:28">
      <c r="AA231" cm="1">
        <f t="array" ref="AA231">IF(INDEX($Q$1:$U$60, INT((ROW(A231)-1)/COLUMNS($Q$1:$U$60))+1, MOD(ROW(A231)-1, COLUMNS($Q$1:$U$60))+1)="", "", INDEX($Q$1:$U$60, INT((ROW(A231)-1)/COLUMNS($Q$1:$U$60))+1, MOD(ROW(A231)-1, COLUMNS($Q$1:$U$60))+1))</f>
        <v>47</v>
      </c>
      <c r="AB231" t="str" cm="1">
        <f t="array" ref="AB231">IF(INDEX($V$1:$Z$60, INT((ROW(A231)-1)/COLUMNS($V$1:$Z$60))+1, MOD(ROW(A231)-1, COLUMNS($V$1:$Z$60))+1)="", "", INDEX($V$1:$Z$60, INT((ROW(A231)-1)/COLUMNS($V$1:$Z$60))+1, MOD(ROW(A231)-1, COLUMNS($V$1:$Z$60))+1))</f>
        <v>Virginia</v>
      </c>
    </row>
    <row r="232" spans="27:28">
      <c r="AA232" cm="1">
        <f t="array" ref="AA232">IF(INDEX($Q$1:$U$60, INT((ROW(A232)-1)/COLUMNS($Q$1:$U$60))+1, MOD(ROW(A232)-1, COLUMNS($Q$1:$U$60))+1)="", "", INDEX($Q$1:$U$60, INT((ROW(A232)-1)/COLUMNS($Q$1:$U$60))+1, MOD(ROW(A232)-1, COLUMNS($Q$1:$U$60))+1))</f>
        <v>59</v>
      </c>
      <c r="AB232" t="str" cm="1">
        <f t="array" ref="AB232">IF(INDEX($V$1:$Z$60, INT((ROW(A232)-1)/COLUMNS($V$1:$Z$60))+1, MOD(ROW(A232)-1, COLUMNS($V$1:$Z$60))+1)="", "", INDEX($V$1:$Z$60, INT((ROW(A232)-1)/COLUMNS($V$1:$Z$60))+1, MOD(ROW(A232)-1, COLUMNS($V$1:$Z$60))+1))</f>
        <v>Florida</v>
      </c>
    </row>
    <row r="233" spans="27:28">
      <c r="AA233" cm="1">
        <f t="array" ref="AA233">IF(INDEX($Q$1:$U$60, INT((ROW(A233)-1)/COLUMNS($Q$1:$U$60))+1, MOD(ROW(A233)-1, COLUMNS($Q$1:$U$60))+1)="", "", INDEX($Q$1:$U$60, INT((ROW(A233)-1)/COLUMNS($Q$1:$U$60))+1, MOD(ROW(A233)-1, COLUMNS($Q$1:$U$60))+1))</f>
        <v>59</v>
      </c>
      <c r="AB233" t="str" cm="1">
        <f t="array" ref="AB233">IF(INDEX($V$1:$Z$60, INT((ROW(A233)-1)/COLUMNS($V$1:$Z$60))+1, MOD(ROW(A233)-1, COLUMNS($V$1:$Z$60))+1)="", "", INDEX($V$1:$Z$60, INT((ROW(A233)-1)/COLUMNS($V$1:$Z$60))+1, MOD(ROW(A233)-1, COLUMNS($V$1:$Z$60))+1))</f>
        <v>Texas</v>
      </c>
    </row>
    <row r="234" spans="27:28">
      <c r="AA234" t="str" cm="1">
        <f t="array" ref="AA234">IF(INDEX($Q$1:$U$60, INT((ROW(A234)-1)/COLUMNS($Q$1:$U$60))+1, MOD(ROW(A234)-1, COLUMNS($Q$1:$U$60))+1)="", "", INDEX($Q$1:$U$60, INT((ROW(A234)-1)/COLUMNS($Q$1:$U$60))+1, MOD(ROW(A234)-1, COLUMNS($Q$1:$U$60))+1))</f>
        <v/>
      </c>
      <c r="AB234" t="str" cm="1">
        <f t="array" ref="AB234">IF(INDEX($V$1:$Z$60, INT((ROW(A234)-1)/COLUMNS($V$1:$Z$60))+1, MOD(ROW(A234)-1, COLUMNS($V$1:$Z$60))+1)="", "", INDEX($V$1:$Z$60, INT((ROW(A234)-1)/COLUMNS($V$1:$Z$60))+1, MOD(ROW(A234)-1, COLUMNS($V$1:$Z$60))+1))</f>
        <v/>
      </c>
    </row>
    <row r="235" spans="27:28">
      <c r="AA235" t="str" cm="1">
        <f t="array" ref="AA235">IF(INDEX($Q$1:$U$60, INT((ROW(A235)-1)/COLUMNS($Q$1:$U$60))+1, MOD(ROW(A235)-1, COLUMNS($Q$1:$U$60))+1)="", "", INDEX($Q$1:$U$60, INT((ROW(A235)-1)/COLUMNS($Q$1:$U$60))+1, MOD(ROW(A235)-1, COLUMNS($Q$1:$U$60))+1))</f>
        <v/>
      </c>
      <c r="AB235" t="str" cm="1">
        <f t="array" ref="AB235">IF(INDEX($V$1:$Z$60, INT((ROW(A235)-1)/COLUMNS($V$1:$Z$60))+1, MOD(ROW(A235)-1, COLUMNS($V$1:$Z$60))+1)="", "", INDEX($V$1:$Z$60, INT((ROW(A235)-1)/COLUMNS($V$1:$Z$60))+1, MOD(ROW(A235)-1, COLUMNS($V$1:$Z$60))+1))</f>
        <v/>
      </c>
    </row>
    <row r="236" spans="27:28">
      <c r="AA236" cm="1">
        <f t="array" ref="AA236">IF(INDEX($Q$1:$U$60, INT((ROW(A236)-1)/COLUMNS($Q$1:$U$60))+1, MOD(ROW(A236)-1, COLUMNS($Q$1:$U$60))+1)="", "", INDEX($Q$1:$U$60, INT((ROW(A236)-1)/COLUMNS($Q$1:$U$60))+1, MOD(ROW(A236)-1, COLUMNS($Q$1:$U$60))+1))</f>
        <v>48</v>
      </c>
      <c r="AB236" t="str" cm="1">
        <f t="array" ref="AB236">IF(INDEX($V$1:$Z$60, INT((ROW(A236)-1)/COLUMNS($V$1:$Z$60))+1, MOD(ROW(A236)-1, COLUMNS($V$1:$Z$60))+1)="", "", INDEX($V$1:$Z$60, INT((ROW(A236)-1)/COLUMNS($V$1:$Z$60))+1, MOD(ROW(A236)-1, COLUMNS($V$1:$Z$60))+1))</f>
        <v>Virginia</v>
      </c>
    </row>
    <row r="237" spans="27:28">
      <c r="AA237" cm="1">
        <f t="array" ref="AA237">IF(INDEX($Q$1:$U$60, INT((ROW(A237)-1)/COLUMNS($Q$1:$U$60))+1, MOD(ROW(A237)-1, COLUMNS($Q$1:$U$60))+1)="", "", INDEX($Q$1:$U$60, INT((ROW(A237)-1)/COLUMNS($Q$1:$U$60))+1, MOD(ROW(A237)-1, COLUMNS($Q$1:$U$60))+1))</f>
        <v>60</v>
      </c>
      <c r="AB237" t="str" cm="1">
        <f t="array" ref="AB237">IF(INDEX($V$1:$Z$60, INT((ROW(A237)-1)/COLUMNS($V$1:$Z$60))+1, MOD(ROW(A237)-1, COLUMNS($V$1:$Z$60))+1)="", "", INDEX($V$1:$Z$60, INT((ROW(A237)-1)/COLUMNS($V$1:$Z$60))+1, MOD(ROW(A237)-1, COLUMNS($V$1:$Z$60))+1))</f>
        <v>Florida</v>
      </c>
    </row>
    <row r="238" spans="27:28">
      <c r="AA238" cm="1">
        <f t="array" ref="AA238">IF(INDEX($Q$1:$U$60, INT((ROW(A238)-1)/COLUMNS($Q$1:$U$60))+1, MOD(ROW(A238)-1, COLUMNS($Q$1:$U$60))+1)="", "", INDEX($Q$1:$U$60, INT((ROW(A238)-1)/COLUMNS($Q$1:$U$60))+1, MOD(ROW(A238)-1, COLUMNS($Q$1:$U$60))+1))</f>
        <v>60</v>
      </c>
      <c r="AB238" t="str" cm="1">
        <f t="array" ref="AB238">IF(INDEX($V$1:$Z$60, INT((ROW(A238)-1)/COLUMNS($V$1:$Z$60))+1, MOD(ROW(A238)-1, COLUMNS($V$1:$Z$60))+1)="", "", INDEX($V$1:$Z$60, INT((ROW(A238)-1)/COLUMNS($V$1:$Z$60))+1, MOD(ROW(A238)-1, COLUMNS($V$1:$Z$60))+1))</f>
        <v>Texas</v>
      </c>
    </row>
    <row r="239" spans="27:28">
      <c r="AA239" t="str" cm="1">
        <f t="array" ref="AA239">IF(INDEX($Q$1:$U$60, INT((ROW(A239)-1)/COLUMNS($Q$1:$U$60))+1, MOD(ROW(A239)-1, COLUMNS($Q$1:$U$60))+1)="", "", INDEX($Q$1:$U$60, INT((ROW(A239)-1)/COLUMNS($Q$1:$U$60))+1, MOD(ROW(A239)-1, COLUMNS($Q$1:$U$60))+1))</f>
        <v/>
      </c>
      <c r="AB239" t="str" cm="1">
        <f t="array" ref="AB239">IF(INDEX($V$1:$Z$60, INT((ROW(A239)-1)/COLUMNS($V$1:$Z$60))+1, MOD(ROW(A239)-1, COLUMNS($V$1:$Z$60))+1)="", "", INDEX($V$1:$Z$60, INT((ROW(A239)-1)/COLUMNS($V$1:$Z$60))+1, MOD(ROW(A239)-1, COLUMNS($V$1:$Z$60))+1))</f>
        <v/>
      </c>
    </row>
    <row r="240" spans="27:28">
      <c r="AA240" t="str" cm="1">
        <f t="array" ref="AA240">IF(INDEX($Q$1:$U$60, INT((ROW(A240)-1)/COLUMNS($Q$1:$U$60))+1, MOD(ROW(A240)-1, COLUMNS($Q$1:$U$60))+1)="", "", INDEX($Q$1:$U$60, INT((ROW(A240)-1)/COLUMNS($Q$1:$U$60))+1, MOD(ROW(A240)-1, COLUMNS($Q$1:$U$60))+1))</f>
        <v/>
      </c>
      <c r="AB240" t="str" cm="1">
        <f t="array" ref="AB240">IF(INDEX($V$1:$Z$60, INT((ROW(A240)-1)/COLUMNS($V$1:$Z$60))+1, MOD(ROW(A240)-1, COLUMNS($V$1:$Z$60))+1)="", "", INDEX($V$1:$Z$60, INT((ROW(A240)-1)/COLUMNS($V$1:$Z$60))+1, MOD(ROW(A240)-1, COLUMNS($V$1:$Z$60))+1))</f>
        <v/>
      </c>
    </row>
    <row r="241" spans="27:28">
      <c r="AA241" cm="1">
        <f t="array" ref="AA241">IF(INDEX($Q$1:$U$60, INT((ROW(A241)-1)/COLUMNS($Q$1:$U$60))+1, MOD(ROW(A241)-1, COLUMNS($Q$1:$U$60))+1)="", "", INDEX($Q$1:$U$60, INT((ROW(A241)-1)/COLUMNS($Q$1:$U$60))+1, MOD(ROW(A241)-1, COLUMNS($Q$1:$U$60))+1))</f>
        <v>49</v>
      </c>
      <c r="AB241" t="str" cm="1">
        <f t="array" ref="AB241">IF(INDEX($V$1:$Z$60, INT((ROW(A241)-1)/COLUMNS($V$1:$Z$60))+1, MOD(ROW(A241)-1, COLUMNS($V$1:$Z$60))+1)="", "", INDEX($V$1:$Z$60, INT((ROW(A241)-1)/COLUMNS($V$1:$Z$60))+1, MOD(ROW(A241)-1, COLUMNS($V$1:$Z$60))+1))</f>
        <v>Virginia</v>
      </c>
    </row>
    <row r="242" spans="27:28">
      <c r="AA242" t="str" cm="1">
        <f t="array" ref="AA242">IF(INDEX($Q$1:$U$60, INT((ROW(A242)-1)/COLUMNS($Q$1:$U$60))+1, MOD(ROW(A242)-1, COLUMNS($Q$1:$U$60))+1)="", "", INDEX($Q$1:$U$60, INT((ROW(A242)-1)/COLUMNS($Q$1:$U$60))+1, MOD(ROW(A242)-1, COLUMNS($Q$1:$U$60))+1))</f>
        <v/>
      </c>
      <c r="AB242" t="str" cm="1">
        <f t="array" ref="AB242">IF(INDEX($V$1:$Z$60, INT((ROW(A242)-1)/COLUMNS($V$1:$Z$60))+1, MOD(ROW(A242)-1, COLUMNS($V$1:$Z$60))+1)="", "", INDEX($V$1:$Z$60, INT((ROW(A242)-1)/COLUMNS($V$1:$Z$60))+1, MOD(ROW(A242)-1, COLUMNS($V$1:$Z$60))+1))</f>
        <v/>
      </c>
    </row>
    <row r="243" spans="27:28">
      <c r="AA243" t="str" cm="1">
        <f t="array" ref="AA243">IF(INDEX($Q$1:$U$60, INT((ROW(A243)-1)/COLUMNS($Q$1:$U$60))+1, MOD(ROW(A243)-1, COLUMNS($Q$1:$U$60))+1)="", "", INDEX($Q$1:$U$60, INT((ROW(A243)-1)/COLUMNS($Q$1:$U$60))+1, MOD(ROW(A243)-1, COLUMNS($Q$1:$U$60))+1))</f>
        <v/>
      </c>
      <c r="AB243" t="str" cm="1">
        <f t="array" ref="AB243">IF(INDEX($V$1:$Z$60, INT((ROW(A243)-1)/COLUMNS($V$1:$Z$60))+1, MOD(ROW(A243)-1, COLUMNS($V$1:$Z$60))+1)="", "", INDEX($V$1:$Z$60, INT((ROW(A243)-1)/COLUMNS($V$1:$Z$60))+1, MOD(ROW(A243)-1, COLUMNS($V$1:$Z$60))+1))</f>
        <v/>
      </c>
    </row>
    <row r="244" spans="27:28">
      <c r="AA244" t="str" cm="1">
        <f t="array" ref="AA244">IF(INDEX($Q$1:$U$60, INT((ROW(A244)-1)/COLUMNS($Q$1:$U$60))+1, MOD(ROW(A244)-1, COLUMNS($Q$1:$U$60))+1)="", "", INDEX($Q$1:$U$60, INT((ROW(A244)-1)/COLUMNS($Q$1:$U$60))+1, MOD(ROW(A244)-1, COLUMNS($Q$1:$U$60))+1))</f>
        <v/>
      </c>
      <c r="AB244" t="str" cm="1">
        <f t="array" ref="AB244">IF(INDEX($V$1:$Z$60, INT((ROW(A244)-1)/COLUMNS($V$1:$Z$60))+1, MOD(ROW(A244)-1, COLUMNS($V$1:$Z$60))+1)="", "", INDEX($V$1:$Z$60, INT((ROW(A244)-1)/COLUMNS($V$1:$Z$60))+1, MOD(ROW(A244)-1, COLUMNS($V$1:$Z$60))+1))</f>
        <v/>
      </c>
    </row>
    <row r="245" spans="27:28">
      <c r="AA245" t="str" cm="1">
        <f t="array" ref="AA245">IF(INDEX($Q$1:$U$60, INT((ROW(A245)-1)/COLUMNS($Q$1:$U$60))+1, MOD(ROW(A245)-1, COLUMNS($Q$1:$U$60))+1)="", "", INDEX($Q$1:$U$60, INT((ROW(A245)-1)/COLUMNS($Q$1:$U$60))+1, MOD(ROW(A245)-1, COLUMNS($Q$1:$U$60))+1))</f>
        <v/>
      </c>
      <c r="AB245" t="str" cm="1">
        <f t="array" ref="AB245">IF(INDEX($V$1:$Z$60, INT((ROW(A245)-1)/COLUMNS($V$1:$Z$60))+1, MOD(ROW(A245)-1, COLUMNS($V$1:$Z$60))+1)="", "", INDEX($V$1:$Z$60, INT((ROW(A245)-1)/COLUMNS($V$1:$Z$60))+1, MOD(ROW(A245)-1, COLUMNS($V$1:$Z$60))+1))</f>
        <v/>
      </c>
    </row>
    <row r="246" spans="27:28">
      <c r="AA246" cm="1">
        <f t="array" ref="AA246">IF(INDEX($Q$1:$U$60, INT((ROW(A246)-1)/COLUMNS($Q$1:$U$60))+1, MOD(ROW(A246)-1, COLUMNS($Q$1:$U$60))+1)="", "", INDEX($Q$1:$U$60, INT((ROW(A246)-1)/COLUMNS($Q$1:$U$60))+1, MOD(ROW(A246)-1, COLUMNS($Q$1:$U$60))+1))</f>
        <v>50</v>
      </c>
      <c r="AB246" t="str" cm="1">
        <f t="array" ref="AB246">IF(INDEX($V$1:$Z$60, INT((ROW(A246)-1)/COLUMNS($V$1:$Z$60))+1, MOD(ROW(A246)-1, COLUMNS($V$1:$Z$60))+1)="", "", INDEX($V$1:$Z$60, INT((ROW(A246)-1)/COLUMNS($V$1:$Z$60))+1, MOD(ROW(A246)-1, COLUMNS($V$1:$Z$60))+1))</f>
        <v>Virginia</v>
      </c>
    </row>
    <row r="247" spans="27:28">
      <c r="AA247" t="str" cm="1">
        <f t="array" ref="AA247">IF(INDEX($Q$1:$U$60, INT((ROW(A247)-1)/COLUMNS($Q$1:$U$60))+1, MOD(ROW(A247)-1, COLUMNS($Q$1:$U$60))+1)="", "", INDEX($Q$1:$U$60, INT((ROW(A247)-1)/COLUMNS($Q$1:$U$60))+1, MOD(ROW(A247)-1, COLUMNS($Q$1:$U$60))+1))</f>
        <v/>
      </c>
      <c r="AB247" t="str" cm="1">
        <f t="array" ref="AB247">IF(INDEX($V$1:$Z$60, INT((ROW(A247)-1)/COLUMNS($V$1:$Z$60))+1, MOD(ROW(A247)-1, COLUMNS($V$1:$Z$60))+1)="", "", INDEX($V$1:$Z$60, INT((ROW(A247)-1)/COLUMNS($V$1:$Z$60))+1, MOD(ROW(A247)-1, COLUMNS($V$1:$Z$60))+1))</f>
        <v/>
      </c>
    </row>
    <row r="248" spans="27:28">
      <c r="AA248" t="str" cm="1">
        <f t="array" ref="AA248">IF(INDEX($Q$1:$U$60, INT((ROW(A248)-1)/COLUMNS($Q$1:$U$60))+1, MOD(ROW(A248)-1, COLUMNS($Q$1:$U$60))+1)="", "", INDEX($Q$1:$U$60, INT((ROW(A248)-1)/COLUMNS($Q$1:$U$60))+1, MOD(ROW(A248)-1, COLUMNS($Q$1:$U$60))+1))</f>
        <v/>
      </c>
      <c r="AB248" t="str" cm="1">
        <f t="array" ref="AB248">IF(INDEX($V$1:$Z$60, INT((ROW(A248)-1)/COLUMNS($V$1:$Z$60))+1, MOD(ROW(A248)-1, COLUMNS($V$1:$Z$60))+1)="", "", INDEX($V$1:$Z$60, INT((ROW(A248)-1)/COLUMNS($V$1:$Z$60))+1, MOD(ROW(A248)-1, COLUMNS($V$1:$Z$60))+1))</f>
        <v/>
      </c>
    </row>
    <row r="249" spans="27:28">
      <c r="AA249" t="str" cm="1">
        <f t="array" ref="AA249">IF(INDEX($Q$1:$U$60, INT((ROW(A249)-1)/COLUMNS($Q$1:$U$60))+1, MOD(ROW(A249)-1, COLUMNS($Q$1:$U$60))+1)="", "", INDEX($Q$1:$U$60, INT((ROW(A249)-1)/COLUMNS($Q$1:$U$60))+1, MOD(ROW(A249)-1, COLUMNS($Q$1:$U$60))+1))</f>
        <v/>
      </c>
      <c r="AB249" t="str" cm="1">
        <f t="array" ref="AB249">IF(INDEX($V$1:$Z$60, INT((ROW(A249)-1)/COLUMNS($V$1:$Z$60))+1, MOD(ROW(A249)-1, COLUMNS($V$1:$Z$60))+1)="", "", INDEX($V$1:$Z$60, INT((ROW(A249)-1)/COLUMNS($V$1:$Z$60))+1, MOD(ROW(A249)-1, COLUMNS($V$1:$Z$60))+1))</f>
        <v/>
      </c>
    </row>
    <row r="250" spans="27:28">
      <c r="AA250" t="str" cm="1">
        <f t="array" ref="AA250">IF(INDEX($Q$1:$U$60, INT((ROW(A250)-1)/COLUMNS($Q$1:$U$60))+1, MOD(ROW(A250)-1, COLUMNS($Q$1:$U$60))+1)="", "", INDEX($Q$1:$U$60, INT((ROW(A250)-1)/COLUMNS($Q$1:$U$60))+1, MOD(ROW(A250)-1, COLUMNS($Q$1:$U$60))+1))</f>
        <v/>
      </c>
      <c r="AB250" t="str" cm="1">
        <f t="array" ref="AB250">IF(INDEX($V$1:$Z$60, INT((ROW(A250)-1)/COLUMNS($V$1:$Z$60))+1, MOD(ROW(A250)-1, COLUMNS($V$1:$Z$60))+1)="", "", INDEX($V$1:$Z$60, INT((ROW(A250)-1)/COLUMNS($V$1:$Z$60))+1, MOD(ROW(A250)-1, COLUMNS($V$1:$Z$60))+1))</f>
        <v/>
      </c>
    </row>
    <row r="251" spans="27:28">
      <c r="AA251" cm="1">
        <f t="array" ref="AA251">IF(INDEX($Q$1:$U$60, INT((ROW(A251)-1)/COLUMNS($Q$1:$U$60))+1, MOD(ROW(A251)-1, COLUMNS($Q$1:$U$60))+1)="", "", INDEX($Q$1:$U$60, INT((ROW(A251)-1)/COLUMNS($Q$1:$U$60))+1, MOD(ROW(A251)-1, COLUMNS($Q$1:$U$60))+1))</f>
        <v>51</v>
      </c>
      <c r="AB251" t="str" cm="1">
        <f t="array" ref="AB251">IF(INDEX($V$1:$Z$60, INT((ROW(A251)-1)/COLUMNS($V$1:$Z$60))+1, MOD(ROW(A251)-1, COLUMNS($V$1:$Z$60))+1)="", "", INDEX($V$1:$Z$60, INT((ROW(A251)-1)/COLUMNS($V$1:$Z$60))+1, MOD(ROW(A251)-1, COLUMNS($V$1:$Z$60))+1))</f>
        <v>Virginia</v>
      </c>
    </row>
    <row r="252" spans="27:28">
      <c r="AA252" t="str" cm="1">
        <f t="array" ref="AA252">IF(INDEX($Q$1:$U$60, INT((ROW(A252)-1)/COLUMNS($Q$1:$U$60))+1, MOD(ROW(A252)-1, COLUMNS($Q$1:$U$60))+1)="", "", INDEX($Q$1:$U$60, INT((ROW(A252)-1)/COLUMNS($Q$1:$U$60))+1, MOD(ROW(A252)-1, COLUMNS($Q$1:$U$60))+1))</f>
        <v/>
      </c>
      <c r="AB252" t="str" cm="1">
        <f t="array" ref="AB252">IF(INDEX($V$1:$Z$60, INT((ROW(A252)-1)/COLUMNS($V$1:$Z$60))+1, MOD(ROW(A252)-1, COLUMNS($V$1:$Z$60))+1)="", "", INDEX($V$1:$Z$60, INT((ROW(A252)-1)/COLUMNS($V$1:$Z$60))+1, MOD(ROW(A252)-1, COLUMNS($V$1:$Z$60))+1))</f>
        <v/>
      </c>
    </row>
    <row r="253" spans="27:28">
      <c r="AA253" t="str" cm="1">
        <f t="array" ref="AA253">IF(INDEX($Q$1:$U$60, INT((ROW(A253)-1)/COLUMNS($Q$1:$U$60))+1, MOD(ROW(A253)-1, COLUMNS($Q$1:$U$60))+1)="", "", INDEX($Q$1:$U$60, INT((ROW(A253)-1)/COLUMNS($Q$1:$U$60))+1, MOD(ROW(A253)-1, COLUMNS($Q$1:$U$60))+1))</f>
        <v/>
      </c>
      <c r="AB253" t="str" cm="1">
        <f t="array" ref="AB253">IF(INDEX($V$1:$Z$60, INT((ROW(A253)-1)/COLUMNS($V$1:$Z$60))+1, MOD(ROW(A253)-1, COLUMNS($V$1:$Z$60))+1)="", "", INDEX($V$1:$Z$60, INT((ROW(A253)-1)/COLUMNS($V$1:$Z$60))+1, MOD(ROW(A253)-1, COLUMNS($V$1:$Z$60))+1))</f>
        <v/>
      </c>
    </row>
    <row r="254" spans="27:28">
      <c r="AA254" t="str" cm="1">
        <f t="array" ref="AA254">IF(INDEX($Q$1:$U$60, INT((ROW(A254)-1)/COLUMNS($Q$1:$U$60))+1, MOD(ROW(A254)-1, COLUMNS($Q$1:$U$60))+1)="", "", INDEX($Q$1:$U$60, INT((ROW(A254)-1)/COLUMNS($Q$1:$U$60))+1, MOD(ROW(A254)-1, COLUMNS($Q$1:$U$60))+1))</f>
        <v/>
      </c>
      <c r="AB254" t="str" cm="1">
        <f t="array" ref="AB254">IF(INDEX($V$1:$Z$60, INT((ROW(A254)-1)/COLUMNS($V$1:$Z$60))+1, MOD(ROW(A254)-1, COLUMNS($V$1:$Z$60))+1)="", "", INDEX($V$1:$Z$60, INT((ROW(A254)-1)/COLUMNS($V$1:$Z$60))+1, MOD(ROW(A254)-1, COLUMNS($V$1:$Z$60))+1))</f>
        <v/>
      </c>
    </row>
    <row r="255" spans="27:28">
      <c r="AA255" t="str" cm="1">
        <f t="array" ref="AA255">IF(INDEX($Q$1:$U$60, INT((ROW(A255)-1)/COLUMNS($Q$1:$U$60))+1, MOD(ROW(A255)-1, COLUMNS($Q$1:$U$60))+1)="", "", INDEX($Q$1:$U$60, INT((ROW(A255)-1)/COLUMNS($Q$1:$U$60))+1, MOD(ROW(A255)-1, COLUMNS($Q$1:$U$60))+1))</f>
        <v/>
      </c>
      <c r="AB255" t="str" cm="1">
        <f t="array" ref="AB255">IF(INDEX($V$1:$Z$60, INT((ROW(A255)-1)/COLUMNS($V$1:$Z$60))+1, MOD(ROW(A255)-1, COLUMNS($V$1:$Z$60))+1)="", "", INDEX($V$1:$Z$60, INT((ROW(A255)-1)/COLUMNS($V$1:$Z$60))+1, MOD(ROW(A255)-1, COLUMNS($V$1:$Z$60))+1))</f>
        <v/>
      </c>
    </row>
    <row r="256" spans="27:28">
      <c r="AA256" cm="1">
        <f t="array" ref="AA256">IF(INDEX($Q$1:$U$60, INT((ROW(A256)-1)/COLUMNS($Q$1:$U$60))+1, MOD(ROW(A256)-1, COLUMNS($Q$1:$U$60))+1)="", "", INDEX($Q$1:$U$60, INT((ROW(A256)-1)/COLUMNS($Q$1:$U$60))+1, MOD(ROW(A256)-1, COLUMNS($Q$1:$U$60))+1))</f>
        <v>52</v>
      </c>
      <c r="AB256" t="str" cm="1">
        <f t="array" ref="AB256">IF(INDEX($V$1:$Z$60, INT((ROW(A256)-1)/COLUMNS($V$1:$Z$60))+1, MOD(ROW(A256)-1, COLUMNS($V$1:$Z$60))+1)="", "", INDEX($V$1:$Z$60, INT((ROW(A256)-1)/COLUMNS($V$1:$Z$60))+1, MOD(ROW(A256)-1, COLUMNS($V$1:$Z$60))+1))</f>
        <v>Virginia</v>
      </c>
    </row>
    <row r="257" spans="27:28">
      <c r="AA257" t="str" cm="1">
        <f t="array" ref="AA257">IF(INDEX($Q$1:$U$60, INT((ROW(A257)-1)/COLUMNS($Q$1:$U$60))+1, MOD(ROW(A257)-1, COLUMNS($Q$1:$U$60))+1)="", "", INDEX($Q$1:$U$60, INT((ROW(A257)-1)/COLUMNS($Q$1:$U$60))+1, MOD(ROW(A257)-1, COLUMNS($Q$1:$U$60))+1))</f>
        <v/>
      </c>
      <c r="AB257" t="str" cm="1">
        <f t="array" ref="AB257">IF(INDEX($V$1:$Z$60, INT((ROW(A257)-1)/COLUMNS($V$1:$Z$60))+1, MOD(ROW(A257)-1, COLUMNS($V$1:$Z$60))+1)="", "", INDEX($V$1:$Z$60, INT((ROW(A257)-1)/COLUMNS($V$1:$Z$60))+1, MOD(ROW(A257)-1, COLUMNS($V$1:$Z$60))+1))</f>
        <v/>
      </c>
    </row>
    <row r="258" spans="27:28">
      <c r="AA258" t="str" cm="1">
        <f t="array" ref="AA258">IF(INDEX($Q$1:$U$60, INT((ROW(A258)-1)/COLUMNS($Q$1:$U$60))+1, MOD(ROW(A258)-1, COLUMNS($Q$1:$U$60))+1)="", "", INDEX($Q$1:$U$60, INT((ROW(A258)-1)/COLUMNS($Q$1:$U$60))+1, MOD(ROW(A258)-1, COLUMNS($Q$1:$U$60))+1))</f>
        <v/>
      </c>
      <c r="AB258" t="str" cm="1">
        <f t="array" ref="AB258">IF(INDEX($V$1:$Z$60, INT((ROW(A258)-1)/COLUMNS($V$1:$Z$60))+1, MOD(ROW(A258)-1, COLUMNS($V$1:$Z$60))+1)="", "", INDEX($V$1:$Z$60, INT((ROW(A258)-1)/COLUMNS($V$1:$Z$60))+1, MOD(ROW(A258)-1, COLUMNS($V$1:$Z$60))+1))</f>
        <v/>
      </c>
    </row>
    <row r="259" spans="27:28">
      <c r="AA259" t="str" cm="1">
        <f t="array" ref="AA259">IF(INDEX($Q$1:$U$60, INT((ROW(A259)-1)/COLUMNS($Q$1:$U$60))+1, MOD(ROW(A259)-1, COLUMNS($Q$1:$U$60))+1)="", "", INDEX($Q$1:$U$60, INT((ROW(A259)-1)/COLUMNS($Q$1:$U$60))+1, MOD(ROW(A259)-1, COLUMNS($Q$1:$U$60))+1))</f>
        <v/>
      </c>
      <c r="AB259" t="str" cm="1">
        <f t="array" ref="AB259">IF(INDEX($V$1:$Z$60, INT((ROW(A259)-1)/COLUMNS($V$1:$Z$60))+1, MOD(ROW(A259)-1, COLUMNS($V$1:$Z$60))+1)="", "", INDEX($V$1:$Z$60, INT((ROW(A259)-1)/COLUMNS($V$1:$Z$60))+1, MOD(ROW(A259)-1, COLUMNS($V$1:$Z$60))+1))</f>
        <v/>
      </c>
    </row>
    <row r="260" spans="27:28">
      <c r="AA260" t="str" cm="1">
        <f t="array" ref="AA260">IF(INDEX($Q$1:$U$60, INT((ROW(A260)-1)/COLUMNS($Q$1:$U$60))+1, MOD(ROW(A260)-1, COLUMNS($Q$1:$U$60))+1)="", "", INDEX($Q$1:$U$60, INT((ROW(A260)-1)/COLUMNS($Q$1:$U$60))+1, MOD(ROW(A260)-1, COLUMNS($Q$1:$U$60))+1))</f>
        <v/>
      </c>
      <c r="AB260" t="str" cm="1">
        <f t="array" ref="AB260">IF(INDEX($V$1:$Z$60, INT((ROW(A260)-1)/COLUMNS($V$1:$Z$60))+1, MOD(ROW(A260)-1, COLUMNS($V$1:$Z$60))+1)="", "", INDEX($V$1:$Z$60, INT((ROW(A260)-1)/COLUMNS($V$1:$Z$60))+1, MOD(ROW(A260)-1, COLUMNS($V$1:$Z$60))+1))</f>
        <v/>
      </c>
    </row>
    <row r="261" spans="27:28">
      <c r="AA261" cm="1">
        <f t="array" ref="AA261">IF(INDEX($Q$1:$U$60, INT((ROW(A261)-1)/COLUMNS($Q$1:$U$60))+1, MOD(ROW(A261)-1, COLUMNS($Q$1:$U$60))+1)="", "", INDEX($Q$1:$U$60, INT((ROW(A261)-1)/COLUMNS($Q$1:$U$60))+1, MOD(ROW(A261)-1, COLUMNS($Q$1:$U$60))+1))</f>
        <v>53</v>
      </c>
      <c r="AB261" t="str" cm="1">
        <f t="array" ref="AB261">IF(INDEX($V$1:$Z$60, INT((ROW(A261)-1)/COLUMNS($V$1:$Z$60))+1, MOD(ROW(A261)-1, COLUMNS($V$1:$Z$60))+1)="", "", INDEX($V$1:$Z$60, INT((ROW(A261)-1)/COLUMNS($V$1:$Z$60))+1, MOD(ROW(A261)-1, COLUMNS($V$1:$Z$60))+1))</f>
        <v>Virginia</v>
      </c>
    </row>
    <row r="262" spans="27:28">
      <c r="AA262" t="str" cm="1">
        <f t="array" ref="AA262">IF(INDEX($Q$1:$U$60, INT((ROW(A262)-1)/COLUMNS($Q$1:$U$60))+1, MOD(ROW(A262)-1, COLUMNS($Q$1:$U$60))+1)="", "", INDEX($Q$1:$U$60, INT((ROW(A262)-1)/COLUMNS($Q$1:$U$60))+1, MOD(ROW(A262)-1, COLUMNS($Q$1:$U$60))+1))</f>
        <v/>
      </c>
      <c r="AB262" t="str" cm="1">
        <f t="array" ref="AB262">IF(INDEX($V$1:$Z$60, INT((ROW(A262)-1)/COLUMNS($V$1:$Z$60))+1, MOD(ROW(A262)-1, COLUMNS($V$1:$Z$60))+1)="", "", INDEX($V$1:$Z$60, INT((ROW(A262)-1)/COLUMNS($V$1:$Z$60))+1, MOD(ROW(A262)-1, COLUMNS($V$1:$Z$60))+1))</f>
        <v/>
      </c>
    </row>
    <row r="263" spans="27:28">
      <c r="AA263" t="str" cm="1">
        <f t="array" ref="AA263">IF(INDEX($Q$1:$U$60, INT((ROW(A263)-1)/COLUMNS($Q$1:$U$60))+1, MOD(ROW(A263)-1, COLUMNS($Q$1:$U$60))+1)="", "", INDEX($Q$1:$U$60, INT((ROW(A263)-1)/COLUMNS($Q$1:$U$60))+1, MOD(ROW(A263)-1, COLUMNS($Q$1:$U$60))+1))</f>
        <v/>
      </c>
      <c r="AB263" t="str" cm="1">
        <f t="array" ref="AB263">IF(INDEX($V$1:$Z$60, INT((ROW(A263)-1)/COLUMNS($V$1:$Z$60))+1, MOD(ROW(A263)-1, COLUMNS($V$1:$Z$60))+1)="", "", INDEX($V$1:$Z$60, INT((ROW(A263)-1)/COLUMNS($V$1:$Z$60))+1, MOD(ROW(A263)-1, COLUMNS($V$1:$Z$60))+1))</f>
        <v/>
      </c>
    </row>
    <row r="264" spans="27:28">
      <c r="AA264" t="str" cm="1">
        <f t="array" ref="AA264">IF(INDEX($Q$1:$U$60, INT((ROW(A264)-1)/COLUMNS($Q$1:$U$60))+1, MOD(ROW(A264)-1, COLUMNS($Q$1:$U$60))+1)="", "", INDEX($Q$1:$U$60, INT((ROW(A264)-1)/COLUMNS($Q$1:$U$60))+1, MOD(ROW(A264)-1, COLUMNS($Q$1:$U$60))+1))</f>
        <v/>
      </c>
      <c r="AB264" t="str" cm="1">
        <f t="array" ref="AB264">IF(INDEX($V$1:$Z$60, INT((ROW(A264)-1)/COLUMNS($V$1:$Z$60))+1, MOD(ROW(A264)-1, COLUMNS($V$1:$Z$60))+1)="", "", INDEX($V$1:$Z$60, INT((ROW(A264)-1)/COLUMNS($V$1:$Z$60))+1, MOD(ROW(A264)-1, COLUMNS($V$1:$Z$60))+1))</f>
        <v/>
      </c>
    </row>
    <row r="265" spans="27:28">
      <c r="AA265" t="str" cm="1">
        <f t="array" ref="AA265">IF(INDEX($Q$1:$U$60, INT((ROW(A265)-1)/COLUMNS($Q$1:$U$60))+1, MOD(ROW(A265)-1, COLUMNS($Q$1:$U$60))+1)="", "", INDEX($Q$1:$U$60, INT((ROW(A265)-1)/COLUMNS($Q$1:$U$60))+1, MOD(ROW(A265)-1, COLUMNS($Q$1:$U$60))+1))</f>
        <v/>
      </c>
      <c r="AB265" t="str" cm="1">
        <f t="array" ref="AB265">IF(INDEX($V$1:$Z$60, INT((ROW(A265)-1)/COLUMNS($V$1:$Z$60))+1, MOD(ROW(A265)-1, COLUMNS($V$1:$Z$60))+1)="", "", INDEX($V$1:$Z$60, INT((ROW(A265)-1)/COLUMNS($V$1:$Z$60))+1, MOD(ROW(A265)-1, COLUMNS($V$1:$Z$60))+1))</f>
        <v/>
      </c>
    </row>
    <row r="266" spans="27:28">
      <c r="AA266" cm="1">
        <f t="array" ref="AA266">IF(INDEX($Q$1:$U$60, INT((ROW(A266)-1)/COLUMNS($Q$1:$U$60))+1, MOD(ROW(A266)-1, COLUMNS($Q$1:$U$60))+1)="", "", INDEX($Q$1:$U$60, INT((ROW(A266)-1)/COLUMNS($Q$1:$U$60))+1, MOD(ROW(A266)-1, COLUMNS($Q$1:$U$60))+1))</f>
        <v>54</v>
      </c>
      <c r="AB266" t="str" cm="1">
        <f t="array" ref="AB266">IF(INDEX($V$1:$Z$60, INT((ROW(A266)-1)/COLUMNS($V$1:$Z$60))+1, MOD(ROW(A266)-1, COLUMNS($V$1:$Z$60))+1)="", "", INDEX($V$1:$Z$60, INT((ROW(A266)-1)/COLUMNS($V$1:$Z$60))+1, MOD(ROW(A266)-1, COLUMNS($V$1:$Z$60))+1))</f>
        <v>Virginia</v>
      </c>
    </row>
    <row r="267" spans="27:28">
      <c r="AA267" t="str" cm="1">
        <f t="array" ref="AA267">IF(INDEX($Q$1:$U$60, INT((ROW(A267)-1)/COLUMNS($Q$1:$U$60))+1, MOD(ROW(A267)-1, COLUMNS($Q$1:$U$60))+1)="", "", INDEX($Q$1:$U$60, INT((ROW(A267)-1)/COLUMNS($Q$1:$U$60))+1, MOD(ROW(A267)-1, COLUMNS($Q$1:$U$60))+1))</f>
        <v/>
      </c>
      <c r="AB267" t="str" cm="1">
        <f t="array" ref="AB267">IF(INDEX($V$1:$Z$60, INT((ROW(A267)-1)/COLUMNS($V$1:$Z$60))+1, MOD(ROW(A267)-1, COLUMNS($V$1:$Z$60))+1)="", "", INDEX($V$1:$Z$60, INT((ROW(A267)-1)/COLUMNS($V$1:$Z$60))+1, MOD(ROW(A267)-1, COLUMNS($V$1:$Z$60))+1))</f>
        <v/>
      </c>
    </row>
    <row r="268" spans="27:28">
      <c r="AA268" t="str" cm="1">
        <f t="array" ref="AA268">IF(INDEX($Q$1:$U$60, INT((ROW(A268)-1)/COLUMNS($Q$1:$U$60))+1, MOD(ROW(A268)-1, COLUMNS($Q$1:$U$60))+1)="", "", INDEX($Q$1:$U$60, INT((ROW(A268)-1)/COLUMNS($Q$1:$U$60))+1, MOD(ROW(A268)-1, COLUMNS($Q$1:$U$60))+1))</f>
        <v/>
      </c>
      <c r="AB268" t="str" cm="1">
        <f t="array" ref="AB268">IF(INDEX($V$1:$Z$60, INT((ROW(A268)-1)/COLUMNS($V$1:$Z$60))+1, MOD(ROW(A268)-1, COLUMNS($V$1:$Z$60))+1)="", "", INDEX($V$1:$Z$60, INT((ROW(A268)-1)/COLUMNS($V$1:$Z$60))+1, MOD(ROW(A268)-1, COLUMNS($V$1:$Z$60))+1))</f>
        <v/>
      </c>
    </row>
    <row r="269" spans="27:28">
      <c r="AA269" t="str" cm="1">
        <f t="array" ref="AA269">IF(INDEX($Q$1:$U$60, INT((ROW(A269)-1)/COLUMNS($Q$1:$U$60))+1, MOD(ROW(A269)-1, COLUMNS($Q$1:$U$60))+1)="", "", INDEX($Q$1:$U$60, INT((ROW(A269)-1)/COLUMNS($Q$1:$U$60))+1, MOD(ROW(A269)-1, COLUMNS($Q$1:$U$60))+1))</f>
        <v/>
      </c>
      <c r="AB269" t="str" cm="1">
        <f t="array" ref="AB269">IF(INDEX($V$1:$Z$60, INT((ROW(A269)-1)/COLUMNS($V$1:$Z$60))+1, MOD(ROW(A269)-1, COLUMNS($V$1:$Z$60))+1)="", "", INDEX($V$1:$Z$60, INT((ROW(A269)-1)/COLUMNS($V$1:$Z$60))+1, MOD(ROW(A269)-1, COLUMNS($V$1:$Z$60))+1))</f>
        <v/>
      </c>
    </row>
    <row r="270" spans="27:28">
      <c r="AA270" t="str" cm="1">
        <f t="array" ref="AA270">IF(INDEX($Q$1:$U$60, INT((ROW(A270)-1)/COLUMNS($Q$1:$U$60))+1, MOD(ROW(A270)-1, COLUMNS($Q$1:$U$60))+1)="", "", INDEX($Q$1:$U$60, INT((ROW(A270)-1)/COLUMNS($Q$1:$U$60))+1, MOD(ROW(A270)-1, COLUMNS($Q$1:$U$60))+1))</f>
        <v/>
      </c>
      <c r="AB270" t="str" cm="1">
        <f t="array" ref="AB270">IF(INDEX($V$1:$Z$60, INT((ROW(A270)-1)/COLUMNS($V$1:$Z$60))+1, MOD(ROW(A270)-1, COLUMNS($V$1:$Z$60))+1)="", "", INDEX($V$1:$Z$60, INT((ROW(A270)-1)/COLUMNS($V$1:$Z$60))+1, MOD(ROW(A270)-1, COLUMNS($V$1:$Z$60))+1))</f>
        <v/>
      </c>
    </row>
    <row r="271" spans="27:28">
      <c r="AA271" cm="1">
        <f t="array" ref="AA271">IF(INDEX($Q$1:$U$60, INT((ROW(A271)-1)/COLUMNS($Q$1:$U$60))+1, MOD(ROW(A271)-1, COLUMNS($Q$1:$U$60))+1)="", "", INDEX($Q$1:$U$60, INT((ROW(A271)-1)/COLUMNS($Q$1:$U$60))+1, MOD(ROW(A271)-1, COLUMNS($Q$1:$U$60))+1))</f>
        <v>55</v>
      </c>
      <c r="AB271" t="str" cm="1">
        <f t="array" ref="AB271">IF(INDEX($V$1:$Z$60, INT((ROW(A271)-1)/COLUMNS($V$1:$Z$60))+1, MOD(ROW(A271)-1, COLUMNS($V$1:$Z$60))+1)="", "", INDEX($V$1:$Z$60, INT((ROW(A271)-1)/COLUMNS($V$1:$Z$60))+1, MOD(ROW(A271)-1, COLUMNS($V$1:$Z$60))+1))</f>
        <v>Virginia</v>
      </c>
    </row>
    <row r="272" spans="27:28">
      <c r="AA272" t="str" cm="1">
        <f t="array" ref="AA272">IF(INDEX($Q$1:$U$60, INT((ROW(A272)-1)/COLUMNS($Q$1:$U$60))+1, MOD(ROW(A272)-1, COLUMNS($Q$1:$U$60))+1)="", "", INDEX($Q$1:$U$60, INT((ROW(A272)-1)/COLUMNS($Q$1:$U$60))+1, MOD(ROW(A272)-1, COLUMNS($Q$1:$U$60))+1))</f>
        <v/>
      </c>
      <c r="AB272" t="str" cm="1">
        <f t="array" ref="AB272">IF(INDEX($V$1:$Z$60, INT((ROW(A272)-1)/COLUMNS($V$1:$Z$60))+1, MOD(ROW(A272)-1, COLUMNS($V$1:$Z$60))+1)="", "", INDEX($V$1:$Z$60, INT((ROW(A272)-1)/COLUMNS($V$1:$Z$60))+1, MOD(ROW(A272)-1, COLUMNS($V$1:$Z$60))+1))</f>
        <v/>
      </c>
    </row>
    <row r="273" spans="27:28">
      <c r="AA273" t="str" cm="1">
        <f t="array" ref="AA273">IF(INDEX($Q$1:$U$60, INT((ROW(A273)-1)/COLUMNS($Q$1:$U$60))+1, MOD(ROW(A273)-1, COLUMNS($Q$1:$U$60))+1)="", "", INDEX($Q$1:$U$60, INT((ROW(A273)-1)/COLUMNS($Q$1:$U$60))+1, MOD(ROW(A273)-1, COLUMNS($Q$1:$U$60))+1))</f>
        <v/>
      </c>
      <c r="AB273" t="str" cm="1">
        <f t="array" ref="AB273">IF(INDEX($V$1:$Z$60, INT((ROW(A273)-1)/COLUMNS($V$1:$Z$60))+1, MOD(ROW(A273)-1, COLUMNS($V$1:$Z$60))+1)="", "", INDEX($V$1:$Z$60, INT((ROW(A273)-1)/COLUMNS($V$1:$Z$60))+1, MOD(ROW(A273)-1, COLUMNS($V$1:$Z$60))+1))</f>
        <v/>
      </c>
    </row>
    <row r="274" spans="27:28">
      <c r="AA274" t="str" cm="1">
        <f t="array" ref="AA274">IF(INDEX($Q$1:$U$60, INT((ROW(A274)-1)/COLUMNS($Q$1:$U$60))+1, MOD(ROW(A274)-1, COLUMNS($Q$1:$U$60))+1)="", "", INDEX($Q$1:$U$60, INT((ROW(A274)-1)/COLUMNS($Q$1:$U$60))+1, MOD(ROW(A274)-1, COLUMNS($Q$1:$U$60))+1))</f>
        <v/>
      </c>
      <c r="AB274" t="str" cm="1">
        <f t="array" ref="AB274">IF(INDEX($V$1:$Z$60, INT((ROW(A274)-1)/COLUMNS($V$1:$Z$60))+1, MOD(ROW(A274)-1, COLUMNS($V$1:$Z$60))+1)="", "", INDEX($V$1:$Z$60, INT((ROW(A274)-1)/COLUMNS($V$1:$Z$60))+1, MOD(ROW(A274)-1, COLUMNS($V$1:$Z$60))+1))</f>
        <v/>
      </c>
    </row>
    <row r="275" spans="27:28">
      <c r="AA275" t="str" cm="1">
        <f t="array" ref="AA275">IF(INDEX($Q$1:$U$60, INT((ROW(A275)-1)/COLUMNS($Q$1:$U$60))+1, MOD(ROW(A275)-1, COLUMNS($Q$1:$U$60))+1)="", "", INDEX($Q$1:$U$60, INT((ROW(A275)-1)/COLUMNS($Q$1:$U$60))+1, MOD(ROW(A275)-1, COLUMNS($Q$1:$U$60))+1))</f>
        <v/>
      </c>
      <c r="AB275" t="str" cm="1">
        <f t="array" ref="AB275">IF(INDEX($V$1:$Z$60, INT((ROW(A275)-1)/COLUMNS($V$1:$Z$60))+1, MOD(ROW(A275)-1, COLUMNS($V$1:$Z$60))+1)="", "", INDEX($V$1:$Z$60, INT((ROW(A275)-1)/COLUMNS($V$1:$Z$60))+1, MOD(ROW(A275)-1, COLUMNS($V$1:$Z$60))+1))</f>
        <v/>
      </c>
    </row>
    <row r="276" spans="27:28">
      <c r="AA276" cm="1">
        <f t="array" ref="AA276">IF(INDEX($Q$1:$U$60, INT((ROW(A276)-1)/COLUMNS($Q$1:$U$60))+1, MOD(ROW(A276)-1, COLUMNS($Q$1:$U$60))+1)="", "", INDEX($Q$1:$U$60, INT((ROW(A276)-1)/COLUMNS($Q$1:$U$60))+1, MOD(ROW(A276)-1, COLUMNS($Q$1:$U$60))+1))</f>
        <v>56</v>
      </c>
      <c r="AB276" t="str" cm="1">
        <f t="array" ref="AB276">IF(INDEX($V$1:$Z$60, INT((ROW(A276)-1)/COLUMNS($V$1:$Z$60))+1, MOD(ROW(A276)-1, COLUMNS($V$1:$Z$60))+1)="", "", INDEX($V$1:$Z$60, INT((ROW(A276)-1)/COLUMNS($V$1:$Z$60))+1, MOD(ROW(A276)-1, COLUMNS($V$1:$Z$60))+1))</f>
        <v>Virginia</v>
      </c>
    </row>
    <row r="277" spans="27:28">
      <c r="AA277" t="str" cm="1">
        <f t="array" ref="AA277">IF(INDEX($Q$1:$U$60, INT((ROW(A277)-1)/COLUMNS($Q$1:$U$60))+1, MOD(ROW(A277)-1, COLUMNS($Q$1:$U$60))+1)="", "", INDEX($Q$1:$U$60, INT((ROW(A277)-1)/COLUMNS($Q$1:$U$60))+1, MOD(ROW(A277)-1, COLUMNS($Q$1:$U$60))+1))</f>
        <v/>
      </c>
      <c r="AB277" t="str" cm="1">
        <f t="array" ref="AB277">IF(INDEX($V$1:$Z$60, INT((ROW(A277)-1)/COLUMNS($V$1:$Z$60))+1, MOD(ROW(A277)-1, COLUMNS($V$1:$Z$60))+1)="", "", INDEX($V$1:$Z$60, INT((ROW(A277)-1)/COLUMNS($V$1:$Z$60))+1, MOD(ROW(A277)-1, COLUMNS($V$1:$Z$60))+1))</f>
        <v/>
      </c>
    </row>
    <row r="278" spans="27:28">
      <c r="AA278" t="str" cm="1">
        <f t="array" ref="AA278">IF(INDEX($Q$1:$U$60, INT((ROW(A278)-1)/COLUMNS($Q$1:$U$60))+1, MOD(ROW(A278)-1, COLUMNS($Q$1:$U$60))+1)="", "", INDEX($Q$1:$U$60, INT((ROW(A278)-1)/COLUMNS($Q$1:$U$60))+1, MOD(ROW(A278)-1, COLUMNS($Q$1:$U$60))+1))</f>
        <v/>
      </c>
      <c r="AB278" t="str" cm="1">
        <f t="array" ref="AB278">IF(INDEX($V$1:$Z$60, INT((ROW(A278)-1)/COLUMNS($V$1:$Z$60))+1, MOD(ROW(A278)-1, COLUMNS($V$1:$Z$60))+1)="", "", INDEX($V$1:$Z$60, INT((ROW(A278)-1)/COLUMNS($V$1:$Z$60))+1, MOD(ROW(A278)-1, COLUMNS($V$1:$Z$60))+1))</f>
        <v/>
      </c>
    </row>
    <row r="279" spans="27:28">
      <c r="AA279" t="str" cm="1">
        <f t="array" ref="AA279">IF(INDEX($Q$1:$U$60, INT((ROW(A279)-1)/COLUMNS($Q$1:$U$60))+1, MOD(ROW(A279)-1, COLUMNS($Q$1:$U$60))+1)="", "", INDEX($Q$1:$U$60, INT((ROW(A279)-1)/COLUMNS($Q$1:$U$60))+1, MOD(ROW(A279)-1, COLUMNS($Q$1:$U$60))+1))</f>
        <v/>
      </c>
      <c r="AB279" t="str" cm="1">
        <f t="array" ref="AB279">IF(INDEX($V$1:$Z$60, INT((ROW(A279)-1)/COLUMNS($V$1:$Z$60))+1, MOD(ROW(A279)-1, COLUMNS($V$1:$Z$60))+1)="", "", INDEX($V$1:$Z$60, INT((ROW(A279)-1)/COLUMNS($V$1:$Z$60))+1, MOD(ROW(A279)-1, COLUMNS($V$1:$Z$60))+1))</f>
        <v/>
      </c>
    </row>
    <row r="280" spans="27:28">
      <c r="AA280" t="str" cm="1">
        <f t="array" ref="AA280">IF(INDEX($Q$1:$U$60, INT((ROW(A280)-1)/COLUMNS($Q$1:$U$60))+1, MOD(ROW(A280)-1, COLUMNS($Q$1:$U$60))+1)="", "", INDEX($Q$1:$U$60, INT((ROW(A280)-1)/COLUMNS($Q$1:$U$60))+1, MOD(ROW(A280)-1, COLUMNS($Q$1:$U$60))+1))</f>
        <v/>
      </c>
      <c r="AB280" t="str" cm="1">
        <f t="array" ref="AB280">IF(INDEX($V$1:$Z$60, INT((ROW(A280)-1)/COLUMNS($V$1:$Z$60))+1, MOD(ROW(A280)-1, COLUMNS($V$1:$Z$60))+1)="", "", INDEX($V$1:$Z$60, INT((ROW(A280)-1)/COLUMNS($V$1:$Z$60))+1, MOD(ROW(A280)-1, COLUMNS($V$1:$Z$60))+1))</f>
        <v/>
      </c>
    </row>
    <row r="281" spans="27:28">
      <c r="AA281" cm="1">
        <f t="array" ref="AA281">IF(INDEX($Q$1:$U$60, INT((ROW(A281)-1)/COLUMNS($Q$1:$U$60))+1, MOD(ROW(A281)-1, COLUMNS($Q$1:$U$60))+1)="", "", INDEX($Q$1:$U$60, INT((ROW(A281)-1)/COLUMNS($Q$1:$U$60))+1, MOD(ROW(A281)-1, COLUMNS($Q$1:$U$60))+1))</f>
        <v>57</v>
      </c>
      <c r="AB281" t="str" cm="1">
        <f t="array" ref="AB281">IF(INDEX($V$1:$Z$60, INT((ROW(A281)-1)/COLUMNS($V$1:$Z$60))+1, MOD(ROW(A281)-1, COLUMNS($V$1:$Z$60))+1)="", "", INDEX($V$1:$Z$60, INT((ROW(A281)-1)/COLUMNS($V$1:$Z$60))+1, MOD(ROW(A281)-1, COLUMNS($V$1:$Z$60))+1))</f>
        <v>Virginia</v>
      </c>
    </row>
    <row r="282" spans="27:28">
      <c r="AA282" t="str" cm="1">
        <f t="array" ref="AA282">IF(INDEX($Q$1:$U$60, INT((ROW(A282)-1)/COLUMNS($Q$1:$U$60))+1, MOD(ROW(A282)-1, COLUMNS($Q$1:$U$60))+1)="", "", INDEX($Q$1:$U$60, INT((ROW(A282)-1)/COLUMNS($Q$1:$U$60))+1, MOD(ROW(A282)-1, COLUMNS($Q$1:$U$60))+1))</f>
        <v/>
      </c>
      <c r="AB282" t="str" cm="1">
        <f t="array" ref="AB282">IF(INDEX($V$1:$Z$60, INT((ROW(A282)-1)/COLUMNS($V$1:$Z$60))+1, MOD(ROW(A282)-1, COLUMNS($V$1:$Z$60))+1)="", "", INDEX($V$1:$Z$60, INT((ROW(A282)-1)/COLUMNS($V$1:$Z$60))+1, MOD(ROW(A282)-1, COLUMNS($V$1:$Z$60))+1))</f>
        <v/>
      </c>
    </row>
    <row r="283" spans="27:28">
      <c r="AA283" t="str" cm="1">
        <f t="array" ref="AA283">IF(INDEX($Q$1:$U$60, INT((ROW(A283)-1)/COLUMNS($Q$1:$U$60))+1, MOD(ROW(A283)-1, COLUMNS($Q$1:$U$60))+1)="", "", INDEX($Q$1:$U$60, INT((ROW(A283)-1)/COLUMNS($Q$1:$U$60))+1, MOD(ROW(A283)-1, COLUMNS($Q$1:$U$60))+1))</f>
        <v/>
      </c>
      <c r="AB283" t="str" cm="1">
        <f t="array" ref="AB283">IF(INDEX($V$1:$Z$60, INT((ROW(A283)-1)/COLUMNS($V$1:$Z$60))+1, MOD(ROW(A283)-1, COLUMNS($V$1:$Z$60))+1)="", "", INDEX($V$1:$Z$60, INT((ROW(A283)-1)/COLUMNS($V$1:$Z$60))+1, MOD(ROW(A283)-1, COLUMNS($V$1:$Z$60))+1))</f>
        <v/>
      </c>
    </row>
    <row r="284" spans="27:28">
      <c r="AA284" t="str" cm="1">
        <f t="array" ref="AA284">IF(INDEX($Q$1:$U$60, INT((ROW(A284)-1)/COLUMNS($Q$1:$U$60))+1, MOD(ROW(A284)-1, COLUMNS($Q$1:$U$60))+1)="", "", INDEX($Q$1:$U$60, INT((ROW(A284)-1)/COLUMNS($Q$1:$U$60))+1, MOD(ROW(A284)-1, COLUMNS($Q$1:$U$60))+1))</f>
        <v/>
      </c>
      <c r="AB284" t="str" cm="1">
        <f t="array" ref="AB284">IF(INDEX($V$1:$Z$60, INT((ROW(A284)-1)/COLUMNS($V$1:$Z$60))+1, MOD(ROW(A284)-1, COLUMNS($V$1:$Z$60))+1)="", "", INDEX($V$1:$Z$60, INT((ROW(A284)-1)/COLUMNS($V$1:$Z$60))+1, MOD(ROW(A284)-1, COLUMNS($V$1:$Z$60))+1))</f>
        <v/>
      </c>
    </row>
    <row r="285" spans="27:28">
      <c r="AA285" t="str" cm="1">
        <f t="array" ref="AA285">IF(INDEX($Q$1:$U$60, INT((ROW(A285)-1)/COLUMNS($Q$1:$U$60))+1, MOD(ROW(A285)-1, COLUMNS($Q$1:$U$60))+1)="", "", INDEX($Q$1:$U$60, INT((ROW(A285)-1)/COLUMNS($Q$1:$U$60))+1, MOD(ROW(A285)-1, COLUMNS($Q$1:$U$60))+1))</f>
        <v/>
      </c>
      <c r="AB285" t="str" cm="1">
        <f t="array" ref="AB285">IF(INDEX($V$1:$Z$60, INT((ROW(A285)-1)/COLUMNS($V$1:$Z$60))+1, MOD(ROW(A285)-1, COLUMNS($V$1:$Z$60))+1)="", "", INDEX($V$1:$Z$60, INT((ROW(A285)-1)/COLUMNS($V$1:$Z$60))+1, MOD(ROW(A285)-1, COLUMNS($V$1:$Z$60))+1))</f>
        <v/>
      </c>
    </row>
    <row r="286" spans="27:28">
      <c r="AA286" cm="1">
        <f t="array" ref="AA286">IF(INDEX($Q$1:$U$60, INT((ROW(A286)-1)/COLUMNS($Q$1:$U$60))+1, MOD(ROW(A286)-1, COLUMNS($Q$1:$U$60))+1)="", "", INDEX($Q$1:$U$60, INT((ROW(A286)-1)/COLUMNS($Q$1:$U$60))+1, MOD(ROW(A286)-1, COLUMNS($Q$1:$U$60))+1))</f>
        <v>58</v>
      </c>
      <c r="AB286" t="str" cm="1">
        <f t="array" ref="AB286">IF(INDEX($V$1:$Z$60, INT((ROW(A286)-1)/COLUMNS($V$1:$Z$60))+1, MOD(ROW(A286)-1, COLUMNS($V$1:$Z$60))+1)="", "", INDEX($V$1:$Z$60, INT((ROW(A286)-1)/COLUMNS($V$1:$Z$60))+1, MOD(ROW(A286)-1, COLUMNS($V$1:$Z$60))+1))</f>
        <v>Virginia</v>
      </c>
    </row>
    <row r="287" spans="27:28">
      <c r="AA287" t="str" cm="1">
        <f t="array" ref="AA287">IF(INDEX($Q$1:$U$60, INT((ROW(A287)-1)/COLUMNS($Q$1:$U$60))+1, MOD(ROW(A287)-1, COLUMNS($Q$1:$U$60))+1)="", "", INDEX($Q$1:$U$60, INT((ROW(A287)-1)/COLUMNS($Q$1:$U$60))+1, MOD(ROW(A287)-1, COLUMNS($Q$1:$U$60))+1))</f>
        <v/>
      </c>
      <c r="AB287" t="str" cm="1">
        <f t="array" ref="AB287">IF(INDEX($V$1:$Z$60, INT((ROW(A287)-1)/COLUMNS($V$1:$Z$60))+1, MOD(ROW(A287)-1, COLUMNS($V$1:$Z$60))+1)="", "", INDEX($V$1:$Z$60, INT((ROW(A287)-1)/COLUMNS($V$1:$Z$60))+1, MOD(ROW(A287)-1, COLUMNS($V$1:$Z$60))+1))</f>
        <v/>
      </c>
    </row>
    <row r="288" spans="27:28">
      <c r="AA288" t="str" cm="1">
        <f t="array" ref="AA288">IF(INDEX($Q$1:$U$60, INT((ROW(A288)-1)/COLUMNS($Q$1:$U$60))+1, MOD(ROW(A288)-1, COLUMNS($Q$1:$U$60))+1)="", "", INDEX($Q$1:$U$60, INT((ROW(A288)-1)/COLUMNS($Q$1:$U$60))+1, MOD(ROW(A288)-1, COLUMNS($Q$1:$U$60))+1))</f>
        <v/>
      </c>
      <c r="AB288" t="str" cm="1">
        <f t="array" ref="AB288">IF(INDEX($V$1:$Z$60, INT((ROW(A288)-1)/COLUMNS($V$1:$Z$60))+1, MOD(ROW(A288)-1, COLUMNS($V$1:$Z$60))+1)="", "", INDEX($V$1:$Z$60, INT((ROW(A288)-1)/COLUMNS($V$1:$Z$60))+1, MOD(ROW(A288)-1, COLUMNS($V$1:$Z$60))+1))</f>
        <v/>
      </c>
    </row>
    <row r="289" spans="27:28">
      <c r="AA289" t="str" cm="1">
        <f t="array" ref="AA289">IF(INDEX($Q$1:$U$60, INT((ROW(A289)-1)/COLUMNS($Q$1:$U$60))+1, MOD(ROW(A289)-1, COLUMNS($Q$1:$U$60))+1)="", "", INDEX($Q$1:$U$60, INT((ROW(A289)-1)/COLUMNS($Q$1:$U$60))+1, MOD(ROW(A289)-1, COLUMNS($Q$1:$U$60))+1))</f>
        <v/>
      </c>
      <c r="AB289" t="str" cm="1">
        <f t="array" ref="AB289">IF(INDEX($V$1:$Z$60, INT((ROW(A289)-1)/COLUMNS($V$1:$Z$60))+1, MOD(ROW(A289)-1, COLUMNS($V$1:$Z$60))+1)="", "", INDEX($V$1:$Z$60, INT((ROW(A289)-1)/COLUMNS($V$1:$Z$60))+1, MOD(ROW(A289)-1, COLUMNS($V$1:$Z$60))+1))</f>
        <v/>
      </c>
    </row>
    <row r="290" spans="27:28">
      <c r="AA290" t="str" cm="1">
        <f t="array" ref="AA290">IF(INDEX($Q$1:$U$60, INT((ROW(A290)-1)/COLUMNS($Q$1:$U$60))+1, MOD(ROW(A290)-1, COLUMNS($Q$1:$U$60))+1)="", "", INDEX($Q$1:$U$60, INT((ROW(A290)-1)/COLUMNS($Q$1:$U$60))+1, MOD(ROW(A290)-1, COLUMNS($Q$1:$U$60))+1))</f>
        <v/>
      </c>
      <c r="AB290" t="str" cm="1">
        <f t="array" ref="AB290">IF(INDEX($V$1:$Z$60, INT((ROW(A290)-1)/COLUMNS($V$1:$Z$60))+1, MOD(ROW(A290)-1, COLUMNS($V$1:$Z$60))+1)="", "", INDEX($V$1:$Z$60, INT((ROW(A290)-1)/COLUMNS($V$1:$Z$60))+1, MOD(ROW(A290)-1, COLUMNS($V$1:$Z$60))+1))</f>
        <v/>
      </c>
    </row>
    <row r="291" spans="27:28">
      <c r="AA291" cm="1">
        <f t="array" ref="AA291">IF(INDEX($Q$1:$U$60, INT((ROW(A291)-1)/COLUMNS($Q$1:$U$60))+1, MOD(ROW(A291)-1, COLUMNS($Q$1:$U$60))+1)="", "", INDEX($Q$1:$U$60, INT((ROW(A291)-1)/COLUMNS($Q$1:$U$60))+1, MOD(ROW(A291)-1, COLUMNS($Q$1:$U$60))+1))</f>
        <v>59</v>
      </c>
      <c r="AB291" t="str" cm="1">
        <f t="array" ref="AB291">IF(INDEX($V$1:$Z$60, INT((ROW(A291)-1)/COLUMNS($V$1:$Z$60))+1, MOD(ROW(A291)-1, COLUMNS($V$1:$Z$60))+1)="", "", INDEX($V$1:$Z$60, INT((ROW(A291)-1)/COLUMNS($V$1:$Z$60))+1, MOD(ROW(A291)-1, COLUMNS($V$1:$Z$60))+1))</f>
        <v>Virginia</v>
      </c>
    </row>
    <row r="292" spans="27:28">
      <c r="AA292" t="str" cm="1">
        <f t="array" ref="AA292">IF(INDEX($Q$1:$U$60, INT((ROW(A292)-1)/COLUMNS($Q$1:$U$60))+1, MOD(ROW(A292)-1, COLUMNS($Q$1:$U$60))+1)="", "", INDEX($Q$1:$U$60, INT((ROW(A292)-1)/COLUMNS($Q$1:$U$60))+1, MOD(ROW(A292)-1, COLUMNS($Q$1:$U$60))+1))</f>
        <v/>
      </c>
      <c r="AB292" t="str" cm="1">
        <f t="array" ref="AB292">IF(INDEX($V$1:$Z$60, INT((ROW(A292)-1)/COLUMNS($V$1:$Z$60))+1, MOD(ROW(A292)-1, COLUMNS($V$1:$Z$60))+1)="", "", INDEX($V$1:$Z$60, INT((ROW(A292)-1)/COLUMNS($V$1:$Z$60))+1, MOD(ROW(A292)-1, COLUMNS($V$1:$Z$60))+1))</f>
        <v/>
      </c>
    </row>
    <row r="293" spans="27:28">
      <c r="AA293" t="str" cm="1">
        <f t="array" ref="AA293">IF(INDEX($Q$1:$U$60, INT((ROW(A293)-1)/COLUMNS($Q$1:$U$60))+1, MOD(ROW(A293)-1, COLUMNS($Q$1:$U$60))+1)="", "", INDEX($Q$1:$U$60, INT((ROW(A293)-1)/COLUMNS($Q$1:$U$60))+1, MOD(ROW(A293)-1, COLUMNS($Q$1:$U$60))+1))</f>
        <v/>
      </c>
      <c r="AB293" t="str" cm="1">
        <f t="array" ref="AB293">IF(INDEX($V$1:$Z$60, INT((ROW(A293)-1)/COLUMNS($V$1:$Z$60))+1, MOD(ROW(A293)-1, COLUMNS($V$1:$Z$60))+1)="", "", INDEX($V$1:$Z$60, INT((ROW(A293)-1)/COLUMNS($V$1:$Z$60))+1, MOD(ROW(A293)-1, COLUMNS($V$1:$Z$60))+1))</f>
        <v/>
      </c>
    </row>
    <row r="294" spans="27:28">
      <c r="AA294" t="str" cm="1">
        <f t="array" ref="AA294">IF(INDEX($Q$1:$U$60, INT((ROW(A294)-1)/COLUMNS($Q$1:$U$60))+1, MOD(ROW(A294)-1, COLUMNS($Q$1:$U$60))+1)="", "", INDEX($Q$1:$U$60, INT((ROW(A294)-1)/COLUMNS($Q$1:$U$60))+1, MOD(ROW(A294)-1, COLUMNS($Q$1:$U$60))+1))</f>
        <v/>
      </c>
      <c r="AB294" t="str" cm="1">
        <f t="array" ref="AB294">IF(INDEX($V$1:$Z$60, INT((ROW(A294)-1)/COLUMNS($V$1:$Z$60))+1, MOD(ROW(A294)-1, COLUMNS($V$1:$Z$60))+1)="", "", INDEX($V$1:$Z$60, INT((ROW(A294)-1)/COLUMNS($V$1:$Z$60))+1, MOD(ROW(A294)-1, COLUMNS($V$1:$Z$60))+1))</f>
        <v/>
      </c>
    </row>
    <row r="295" spans="27:28">
      <c r="AA295" t="str" cm="1">
        <f t="array" ref="AA295">IF(INDEX($Q$1:$U$60, INT((ROW(A295)-1)/COLUMNS($Q$1:$U$60))+1, MOD(ROW(A295)-1, COLUMNS($Q$1:$U$60))+1)="", "", INDEX($Q$1:$U$60, INT((ROW(A295)-1)/COLUMNS($Q$1:$U$60))+1, MOD(ROW(A295)-1, COLUMNS($Q$1:$U$60))+1))</f>
        <v/>
      </c>
      <c r="AB295" t="str" cm="1">
        <f t="array" ref="AB295">IF(INDEX($V$1:$Z$60, INT((ROW(A295)-1)/COLUMNS($V$1:$Z$60))+1, MOD(ROW(A295)-1, COLUMNS($V$1:$Z$60))+1)="", "", INDEX($V$1:$Z$60, INT((ROW(A295)-1)/COLUMNS($V$1:$Z$60))+1, MOD(ROW(A295)-1, COLUMNS($V$1:$Z$60))+1))</f>
        <v/>
      </c>
    </row>
    <row r="296" spans="27:28">
      <c r="AA296" cm="1">
        <f t="array" ref="AA296">IF(INDEX($Q$1:$U$60, INT((ROW(A296)-1)/COLUMNS($Q$1:$U$60))+1, MOD(ROW(A296)-1, COLUMNS($Q$1:$U$60))+1)="", "", INDEX($Q$1:$U$60, INT((ROW(A296)-1)/COLUMNS($Q$1:$U$60))+1, MOD(ROW(A296)-1, COLUMNS($Q$1:$U$60))+1))</f>
        <v>60</v>
      </c>
      <c r="AB296" t="str" cm="1">
        <f t="array" ref="AB296">IF(INDEX($V$1:$Z$60, INT((ROW(A296)-1)/COLUMNS($V$1:$Z$60))+1, MOD(ROW(A296)-1, COLUMNS($V$1:$Z$60))+1)="", "", INDEX($V$1:$Z$60, INT((ROW(A296)-1)/COLUMNS($V$1:$Z$60))+1, MOD(ROW(A296)-1, COLUMNS($V$1:$Z$60))+1))</f>
        <v>Virginia</v>
      </c>
    </row>
    <row r="297" spans="27:28">
      <c r="AA297" t="str" cm="1">
        <f t="array" ref="AA297">IF(INDEX($Q$1:$U$60, INT((ROW(A297)-1)/COLUMNS($Q$1:$U$60))+1, MOD(ROW(A297)-1, COLUMNS($Q$1:$U$60))+1)="", "", INDEX($Q$1:$U$60, INT((ROW(A297)-1)/COLUMNS($Q$1:$U$60))+1, MOD(ROW(A297)-1, COLUMNS($Q$1:$U$60))+1))</f>
        <v/>
      </c>
    </row>
    <row r="298" spans="27:28">
      <c r="AA298" t="str" cm="1">
        <f t="array" ref="AA298">IF(INDEX($Q$1:$U$60, INT((ROW(A298)-1)/COLUMNS($Q$1:$U$60))+1, MOD(ROW(A298)-1, COLUMNS($Q$1:$U$60))+1)="", "", INDEX($Q$1:$U$60, INT((ROW(A298)-1)/COLUMNS($Q$1:$U$60))+1, MOD(ROW(A298)-1, COLUMNS($Q$1:$U$60))+1))</f>
        <v/>
      </c>
    </row>
    <row r="299" spans="27:28">
      <c r="AA299" t="str" cm="1">
        <f t="array" ref="AA299">IF(INDEX($Q$1:$U$60, INT((ROW(A299)-1)/COLUMNS($Q$1:$U$60))+1, MOD(ROW(A299)-1, COLUMNS($Q$1:$U$60))+1)="", "", INDEX($Q$1:$U$60, INT((ROW(A299)-1)/COLUMNS($Q$1:$U$60))+1, MOD(ROW(A299)-1, COLUMNS($Q$1:$U$60))+1))</f>
        <v/>
      </c>
    </row>
    <row r="300" spans="27:28">
      <c r="AA300" t="str" cm="1">
        <f t="array" ref="AA300">IF(INDEX($Q$1:$U$60, INT((ROW(A300)-1)/COLUMNS($Q$1:$U$60))+1, MOD(ROW(A300)-1, COLUMNS($Q$1:$U$60))+1)="", "", INDEX($Q$1:$U$60, INT((ROW(A300)-1)/COLUMNS($Q$1:$U$60))+1, MOD(ROW(A300)-1, COLUMNS($Q$1:$U$60))+1))</f>
        <v/>
      </c>
    </row>
    <row r="302" spans="27:28">
      <c r="AB302" t="str" cm="1">
        <f t="array" ref="AB302">IF(INDEX(V:Z, INT((ROW(A301)-1)/COLUMNS(V:Z))+1, MOD(ROW(A301)-1, COLUMNS(V:Z))+1)="", "", INDEX(V:Z, INT((ROW(A301)-1)/COLUMNS(V:Z))+1, MOD(ROW(A301)-1, COLUMNS(V:Z))+1))</f>
        <v/>
      </c>
    </row>
    <row r="303" spans="27:28">
      <c r="AB303" t="str" cm="1">
        <f t="array" ref="AB303">IF(INDEX(V:Z, INT((ROW(A302)-1)/COLUMNS(V:Z))+1, MOD(ROW(A302)-1, COLUMNS(V:Z))+1)="", "", INDEX(V:Z, INT((ROW(A302)-1)/COLUMNS(V:Z))+1, MOD(ROW(A302)-1, COLUMNS(V:Z))+1))</f>
        <v/>
      </c>
    </row>
    <row r="304" spans="27:28">
      <c r="AB304" t="str" cm="1">
        <f t="array" ref="AB304">IF(INDEX(V:Z, INT((ROW(A303)-1)/COLUMNS(V:Z))+1, MOD(ROW(A303)-1, COLUMNS(V:Z))+1)="", "", INDEX(V:Z, INT((ROW(A303)-1)/COLUMNS(V:Z))+1, MOD(ROW(A303)-1, COLUMNS(V:Z))+1))</f>
        <v/>
      </c>
    </row>
    <row r="305" spans="28:28">
      <c r="AB305" t="str" cm="1">
        <f t="array" ref="AB305">IF(INDEX(V:Z, INT((ROW(A304)-1)/COLUMNS(V:Z))+1, MOD(ROW(A304)-1, COLUMNS(V:Z))+1)="", "", INDEX(V:Z, INT((ROW(A304)-1)/COLUMNS(V:Z))+1, MOD(ROW(A304)-1, COLUMNS(V:Z))+1))</f>
        <v/>
      </c>
    </row>
    <row r="306" spans="28:28">
      <c r="AB306" t="str" cm="1">
        <f t="array" ref="AB306">IF(INDEX(V:Z, INT((ROW(A305)-1)/COLUMNS(V:Z))+1, MOD(ROW(A305)-1, COLUMNS(V:Z))+1)="", "", INDEX(V:Z, INT((ROW(A305)-1)/COLUMNS(V:Z))+1, MOD(ROW(A305)-1, COLUMNS(V:Z))+1))</f>
        <v/>
      </c>
    </row>
    <row r="307" spans="28:28">
      <c r="AB307" t="str" cm="1">
        <f t="array" ref="AB307">IF(INDEX(V:Z, INT((ROW(A306)-1)/COLUMNS(V:Z))+1, MOD(ROW(A306)-1, COLUMNS(V:Z))+1)="", "", INDEX(V:Z, INT((ROW(A306)-1)/COLUMNS(V:Z))+1, MOD(ROW(A306)-1, COLUMNS(V:Z))+1))</f>
        <v/>
      </c>
    </row>
    <row r="308" spans="28:28">
      <c r="AB308" t="str" cm="1">
        <f t="array" ref="AB308">IF(INDEX(V:Z, INT((ROW(A307)-1)/COLUMNS(V:Z))+1, MOD(ROW(A307)-1, COLUMNS(V:Z))+1)="", "", INDEX(V:Z, INT((ROW(A307)-1)/COLUMNS(V:Z))+1, MOD(ROW(A307)-1, COLUMNS(V:Z))+1))</f>
        <v/>
      </c>
    </row>
    <row r="309" spans="28:28">
      <c r="AB309" t="str" cm="1">
        <f t="array" ref="AB309">IF(INDEX(V:Z, INT((ROW(A308)-1)/COLUMNS(V:Z))+1, MOD(ROW(A308)-1, COLUMNS(V:Z))+1)="", "", INDEX(V:Z, INT((ROW(A308)-1)/COLUMNS(V:Z))+1, MOD(ROW(A308)-1, COLUMNS(V:Z))+1))</f>
        <v/>
      </c>
    </row>
    <row r="310" spans="28:28">
      <c r="AB310" t="str" cm="1">
        <f t="array" ref="AB310">IF(INDEX(V:Z, INT((ROW(A309)-1)/COLUMNS(V:Z))+1, MOD(ROW(A309)-1, COLUMNS(V:Z))+1)="", "", INDEX(V:Z, INT((ROW(A309)-1)/COLUMNS(V:Z))+1, MOD(ROW(A309)-1, COLUMNS(V:Z))+1))</f>
        <v/>
      </c>
    </row>
    <row r="311" spans="28:28">
      <c r="AB311" t="str" cm="1">
        <f t="array" ref="AB311">IF(INDEX(V:Z, INT((ROW(A310)-1)/COLUMNS(V:Z))+1, MOD(ROW(A310)-1, COLUMNS(V:Z))+1)="", "", INDEX(V:Z, INT((ROW(A310)-1)/COLUMNS(V:Z))+1, MOD(ROW(A310)-1, COLUMNS(V:Z))+1))</f>
        <v/>
      </c>
    </row>
    <row r="312" spans="28:28">
      <c r="AB312" t="str" cm="1">
        <f t="array" ref="AB312">IF(INDEX(V:Z, INT((ROW(A311)-1)/COLUMNS(V:Z))+1, MOD(ROW(A311)-1, COLUMNS(V:Z))+1)="", "", INDEX(V:Z, INT((ROW(A311)-1)/COLUMNS(V:Z))+1, MOD(ROW(A311)-1, COLUMNS(V:Z))+1))</f>
        <v/>
      </c>
    </row>
    <row r="313" spans="28:28">
      <c r="AB313" t="str" cm="1">
        <f t="array" ref="AB313">IF(INDEX(V:Z, INT((ROW(A312)-1)/COLUMNS(V:Z))+1, MOD(ROW(A312)-1, COLUMNS(V:Z))+1)="", "", INDEX(V:Z, INT((ROW(A312)-1)/COLUMNS(V:Z))+1, MOD(ROW(A312)-1, COLUMNS(V:Z))+1))</f>
        <v/>
      </c>
    </row>
    <row r="314" spans="28:28">
      <c r="AB314" t="str" cm="1">
        <f t="array" ref="AB314">IF(INDEX(V:Z, INT((ROW(A313)-1)/COLUMNS(V:Z))+1, MOD(ROW(A313)-1, COLUMNS(V:Z))+1)="", "", INDEX(V:Z, INT((ROW(A313)-1)/COLUMNS(V:Z))+1, MOD(ROW(A313)-1, COLUMNS(V:Z))+1))</f>
        <v/>
      </c>
    </row>
    <row r="315" spans="28:28">
      <c r="AB315" t="str" cm="1">
        <f t="array" ref="AB315">IF(INDEX(V:Z, INT((ROW(A314)-1)/COLUMNS(V:Z))+1, MOD(ROW(A314)-1, COLUMNS(V:Z))+1)="", "", INDEX(V:Z, INT((ROW(A314)-1)/COLUMNS(V:Z))+1, MOD(ROW(A314)-1, COLUMNS(V:Z))+1))</f>
        <v/>
      </c>
    </row>
    <row r="316" spans="28:28">
      <c r="AB316" t="str" cm="1">
        <f t="array" ref="AB316">IF(INDEX(V:Z, INT((ROW(A315)-1)/COLUMNS(V:Z))+1, MOD(ROW(A315)-1, COLUMNS(V:Z))+1)="", "", INDEX(V:Z, INT((ROW(A315)-1)/COLUMNS(V:Z))+1, MOD(ROW(A315)-1, COLUMNS(V:Z))+1))</f>
        <v/>
      </c>
    </row>
    <row r="317" spans="28:28">
      <c r="AB317" t="str" cm="1">
        <f t="array" ref="AB317">IF(INDEX(V:Z, INT((ROW(A316)-1)/COLUMNS(V:Z))+1, MOD(ROW(A316)-1, COLUMNS(V:Z))+1)="", "", INDEX(V:Z, INT((ROW(A316)-1)/COLUMNS(V:Z))+1, MOD(ROW(A316)-1, COLUMNS(V:Z))+1))</f>
        <v/>
      </c>
    </row>
    <row r="318" spans="28:28">
      <c r="AB318" t="str" cm="1">
        <f t="array" ref="AB318">IF(INDEX(V:Z, INT((ROW(A317)-1)/COLUMNS(V:Z))+1, MOD(ROW(A317)-1, COLUMNS(V:Z))+1)="", "", INDEX(V:Z, INT((ROW(A317)-1)/COLUMNS(V:Z))+1, MOD(ROW(A317)-1, COLUMNS(V:Z))+1))</f>
        <v/>
      </c>
    </row>
    <row r="319" spans="28:28">
      <c r="AB319" t="str" cm="1">
        <f t="array" ref="AB319">IF(INDEX(V:Z, INT((ROW(A318)-1)/COLUMNS(V:Z))+1, MOD(ROW(A318)-1, COLUMNS(V:Z))+1)="", "", INDEX(V:Z, INT((ROW(A318)-1)/COLUMNS(V:Z))+1, MOD(ROW(A318)-1, COLUMNS(V:Z))+1))</f>
        <v/>
      </c>
    </row>
    <row r="320" spans="28:28">
      <c r="AB320" t="str" cm="1">
        <f t="array" ref="AB320">IF(INDEX(V:Z, INT((ROW(A319)-1)/COLUMNS(V:Z))+1, MOD(ROW(A319)-1, COLUMNS(V:Z))+1)="", "", INDEX(V:Z, INT((ROW(A319)-1)/COLUMNS(V:Z))+1, MOD(ROW(A319)-1, COLUMNS(V:Z))+1))</f>
        <v/>
      </c>
    </row>
    <row r="321" spans="28:28">
      <c r="AB321" t="str" cm="1">
        <f t="array" ref="AB321">IF(INDEX(V:Z, INT((ROW(A320)-1)/COLUMNS(V:Z))+1, MOD(ROW(A320)-1, COLUMNS(V:Z))+1)="", "", INDEX(V:Z, INT((ROW(A320)-1)/COLUMNS(V:Z))+1, MOD(ROW(A320)-1, COLUMNS(V:Z))+1))</f>
        <v/>
      </c>
    </row>
    <row r="322" spans="28:28">
      <c r="AB322" t="str" cm="1">
        <f t="array" ref="AB322">IF(INDEX(V:Z, INT((ROW(A321)-1)/COLUMNS(V:Z))+1, MOD(ROW(A321)-1, COLUMNS(V:Z))+1)="", "", INDEX(V:Z, INT((ROW(A321)-1)/COLUMNS(V:Z))+1, MOD(ROW(A321)-1, COLUMNS(V:Z))+1))</f>
        <v/>
      </c>
    </row>
    <row r="323" spans="28:28">
      <c r="AB323" t="str" cm="1">
        <f t="array" ref="AB323">IF(INDEX(V:Z, INT((ROW(A322)-1)/COLUMNS(V:Z))+1, MOD(ROW(A322)-1, COLUMNS(V:Z))+1)="", "", INDEX(V:Z, INT((ROW(A322)-1)/COLUMNS(V:Z))+1, MOD(ROW(A322)-1, COLUMNS(V:Z))+1))</f>
        <v/>
      </c>
    </row>
    <row r="324" spans="28:28">
      <c r="AB324" t="str" cm="1">
        <f t="array" ref="AB324">IF(INDEX(V:Z, INT((ROW(A323)-1)/COLUMNS(V:Z))+1, MOD(ROW(A323)-1, COLUMNS(V:Z))+1)="", "", INDEX(V:Z, INT((ROW(A323)-1)/COLUMNS(V:Z))+1, MOD(ROW(A323)-1, COLUMNS(V:Z))+1))</f>
        <v/>
      </c>
    </row>
    <row r="325" spans="28:28">
      <c r="AB325" t="str" cm="1">
        <f t="array" ref="AB325">IF(INDEX(V:Z, INT((ROW(A324)-1)/COLUMNS(V:Z))+1, MOD(ROW(A324)-1, COLUMNS(V:Z))+1)="", "", INDEX(V:Z, INT((ROW(A324)-1)/COLUMNS(V:Z))+1, MOD(ROW(A324)-1, COLUMNS(V:Z))+1))</f>
        <v/>
      </c>
    </row>
    <row r="326" spans="28:28">
      <c r="AB326" t="str" cm="1">
        <f t="array" ref="AB326">IF(INDEX(V:Z, INT((ROW(A325)-1)/COLUMNS(V:Z))+1, MOD(ROW(A325)-1, COLUMNS(V:Z))+1)="", "", INDEX(V:Z, INT((ROW(A325)-1)/COLUMNS(V:Z))+1, MOD(ROW(A325)-1, COLUMNS(V:Z))+1))</f>
        <v/>
      </c>
    </row>
    <row r="327" spans="28:28">
      <c r="AB327" t="str" cm="1">
        <f t="array" ref="AB327">IF(INDEX(V:Z, INT((ROW(A326)-1)/COLUMNS(V:Z))+1, MOD(ROW(A326)-1, COLUMNS(V:Z))+1)="", "", INDEX(V:Z, INT((ROW(A326)-1)/COLUMNS(V:Z))+1, MOD(ROW(A326)-1, COLUMNS(V:Z))+1))</f>
        <v/>
      </c>
    </row>
    <row r="328" spans="28:28">
      <c r="AB328" t="str" cm="1">
        <f t="array" ref="AB328">IF(INDEX(V:Z, INT((ROW(A327)-1)/COLUMNS(V:Z))+1, MOD(ROW(A327)-1, COLUMNS(V:Z))+1)="", "", INDEX(V:Z, INT((ROW(A327)-1)/COLUMNS(V:Z))+1, MOD(ROW(A327)-1, COLUMNS(V:Z))+1))</f>
        <v/>
      </c>
    </row>
    <row r="329" spans="28:28">
      <c r="AB329" t="str" cm="1">
        <f t="array" ref="AB329">IF(INDEX(V:Z, INT((ROW(A328)-1)/COLUMNS(V:Z))+1, MOD(ROW(A328)-1, COLUMNS(V:Z))+1)="", "", INDEX(V:Z, INT((ROW(A328)-1)/COLUMNS(V:Z))+1, MOD(ROW(A328)-1, COLUMNS(V:Z))+1))</f>
        <v/>
      </c>
    </row>
    <row r="330" spans="28:28">
      <c r="AB330" t="str" cm="1">
        <f t="array" ref="AB330">IF(INDEX(V:Z, INT((ROW(A329)-1)/COLUMNS(V:Z))+1, MOD(ROW(A329)-1, COLUMNS(V:Z))+1)="", "", INDEX(V:Z, INT((ROW(A329)-1)/COLUMNS(V:Z))+1, MOD(ROW(A329)-1, COLUMNS(V:Z))+1))</f>
        <v/>
      </c>
    </row>
    <row r="331" spans="28:28">
      <c r="AB331" t="str" cm="1">
        <f t="array" ref="AB331">IF(INDEX(V:Z, INT((ROW(A330)-1)/COLUMNS(V:Z))+1, MOD(ROW(A330)-1, COLUMNS(V:Z))+1)="", "", INDEX(V:Z, INT((ROW(A330)-1)/COLUMNS(V:Z))+1, MOD(ROW(A330)-1, COLUMNS(V:Z))+1))</f>
        <v/>
      </c>
    </row>
    <row r="332" spans="28:28">
      <c r="AB332" t="str" cm="1">
        <f t="array" ref="AB332">IF(INDEX(V:Z, INT((ROW(A331)-1)/COLUMNS(V:Z))+1, MOD(ROW(A331)-1, COLUMNS(V:Z))+1)="", "", INDEX(V:Z, INT((ROW(A331)-1)/COLUMNS(V:Z))+1, MOD(ROW(A331)-1, COLUMNS(V:Z))+1))</f>
        <v/>
      </c>
    </row>
    <row r="333" spans="28:28">
      <c r="AB333" t="str" cm="1">
        <f t="array" ref="AB333">IF(INDEX(V:Z, INT((ROW(A332)-1)/COLUMNS(V:Z))+1, MOD(ROW(A332)-1, COLUMNS(V:Z))+1)="", "", INDEX(V:Z, INT((ROW(A332)-1)/COLUMNS(V:Z))+1, MOD(ROW(A332)-1, COLUMNS(V:Z))+1))</f>
        <v/>
      </c>
    </row>
    <row r="334" spans="28:28">
      <c r="AB334" t="str" cm="1">
        <f t="array" ref="AB334">IF(INDEX(V:Z, INT((ROW(A333)-1)/COLUMNS(V:Z))+1, MOD(ROW(A333)-1, COLUMNS(V:Z))+1)="", "", INDEX(V:Z, INT((ROW(A333)-1)/COLUMNS(V:Z))+1, MOD(ROW(A333)-1, COLUMNS(V:Z))+1))</f>
        <v/>
      </c>
    </row>
    <row r="335" spans="28:28">
      <c r="AB335" t="str" cm="1">
        <f t="array" ref="AB335">IF(INDEX(V:Z, INT((ROW(A334)-1)/COLUMNS(V:Z))+1, MOD(ROW(A334)-1, COLUMNS(V:Z))+1)="", "", INDEX(V:Z, INT((ROW(A334)-1)/COLUMNS(V:Z))+1, MOD(ROW(A334)-1, COLUMNS(V:Z))+1))</f>
        <v/>
      </c>
    </row>
    <row r="336" spans="28:28">
      <c r="AB336" t="str" cm="1">
        <f t="array" ref="AB336">IF(INDEX(V:Z, INT((ROW(A335)-1)/COLUMNS(V:Z))+1, MOD(ROW(A335)-1, COLUMNS(V:Z))+1)="", "", INDEX(V:Z, INT((ROW(A335)-1)/COLUMNS(V:Z))+1, MOD(ROW(A335)-1, COLUMNS(V:Z))+1))</f>
        <v/>
      </c>
    </row>
    <row r="337" spans="28:28">
      <c r="AB337" t="str" cm="1">
        <f t="array" ref="AB337">IF(INDEX(V:Z, INT((ROW(A336)-1)/COLUMNS(V:Z))+1, MOD(ROW(A336)-1, COLUMNS(V:Z))+1)="", "", INDEX(V:Z, INT((ROW(A336)-1)/COLUMNS(V:Z))+1, MOD(ROW(A336)-1, COLUMNS(V:Z))+1))</f>
        <v/>
      </c>
    </row>
    <row r="338" spans="28:28">
      <c r="AB338" t="str" cm="1">
        <f t="array" ref="AB338">IF(INDEX(V:Z, INT((ROW(A337)-1)/COLUMNS(V:Z))+1, MOD(ROW(A337)-1, COLUMNS(V:Z))+1)="", "", INDEX(V:Z, INT((ROW(A337)-1)/COLUMNS(V:Z))+1, MOD(ROW(A337)-1, COLUMNS(V:Z))+1))</f>
        <v/>
      </c>
    </row>
    <row r="339" spans="28:28">
      <c r="AB339" t="str" cm="1">
        <f t="array" ref="AB339">IF(INDEX(V:Z, INT((ROW(A338)-1)/COLUMNS(V:Z))+1, MOD(ROW(A338)-1, COLUMNS(V:Z))+1)="", "", INDEX(V:Z, INT((ROW(A338)-1)/COLUMNS(V:Z))+1, MOD(ROW(A338)-1, COLUMNS(V:Z))+1))</f>
        <v/>
      </c>
    </row>
    <row r="340" spans="28:28">
      <c r="AB340" t="str" cm="1">
        <f t="array" ref="AB340">IF(INDEX(V:Z, INT((ROW(A339)-1)/COLUMNS(V:Z))+1, MOD(ROW(A339)-1, COLUMNS(V:Z))+1)="", "", INDEX(V:Z, INT((ROW(A339)-1)/COLUMNS(V:Z))+1, MOD(ROW(A339)-1, COLUMNS(V:Z))+1))</f>
        <v/>
      </c>
    </row>
    <row r="341" spans="28:28">
      <c r="AB341" t="str" cm="1">
        <f t="array" ref="AB341">IF(INDEX(V:Z, INT((ROW(A340)-1)/COLUMNS(V:Z))+1, MOD(ROW(A340)-1, COLUMNS(V:Z))+1)="", "", INDEX(V:Z, INT((ROW(A340)-1)/COLUMNS(V:Z))+1, MOD(ROW(A340)-1, COLUMNS(V:Z))+1))</f>
        <v/>
      </c>
    </row>
    <row r="342" spans="28:28">
      <c r="AB342" t="str" cm="1">
        <f t="array" ref="AB342">IF(INDEX(V:Z, INT((ROW(A341)-1)/COLUMNS(V:Z))+1, MOD(ROW(A341)-1, COLUMNS(V:Z))+1)="", "", INDEX(V:Z, INT((ROW(A341)-1)/COLUMNS(V:Z))+1, MOD(ROW(A341)-1, COLUMNS(V:Z))+1))</f>
        <v/>
      </c>
    </row>
    <row r="343" spans="28:28">
      <c r="AB343" t="str" cm="1">
        <f t="array" ref="AB343">IF(INDEX(V:Z, INT((ROW(A342)-1)/COLUMNS(V:Z))+1, MOD(ROW(A342)-1, COLUMNS(V:Z))+1)="", "", INDEX(V:Z, INT((ROW(A342)-1)/COLUMNS(V:Z))+1, MOD(ROW(A342)-1, COLUMNS(V:Z))+1))</f>
        <v/>
      </c>
    </row>
    <row r="344" spans="28:28">
      <c r="AB344" t="str" cm="1">
        <f t="array" ref="AB344">IF(INDEX(V:Z, INT((ROW(A343)-1)/COLUMNS(V:Z))+1, MOD(ROW(A343)-1, COLUMNS(V:Z))+1)="", "", INDEX(V:Z, INT((ROW(A343)-1)/COLUMNS(V:Z))+1, MOD(ROW(A343)-1, COLUMNS(V:Z))+1))</f>
        <v/>
      </c>
    </row>
    <row r="345" spans="28:28">
      <c r="AB345" t="str" cm="1">
        <f t="array" ref="AB345">IF(INDEX(V:Z, INT((ROW(A344)-1)/COLUMNS(V:Z))+1, MOD(ROW(A344)-1, COLUMNS(V:Z))+1)="", "", INDEX(V:Z, INT((ROW(A344)-1)/COLUMNS(V:Z))+1, MOD(ROW(A344)-1, COLUMNS(V:Z))+1))</f>
        <v/>
      </c>
    </row>
    <row r="346" spans="28:28">
      <c r="AB346" t="str" cm="1">
        <f t="array" ref="AB346">IF(INDEX(V:Z, INT((ROW(A345)-1)/COLUMNS(V:Z))+1, MOD(ROW(A345)-1, COLUMNS(V:Z))+1)="", "", INDEX(V:Z, INT((ROW(A345)-1)/COLUMNS(V:Z))+1, MOD(ROW(A345)-1, COLUMNS(V:Z))+1))</f>
        <v/>
      </c>
    </row>
    <row r="347" spans="28:28">
      <c r="AB347" t="str" cm="1">
        <f t="array" ref="AB347">IF(INDEX(V:Z, INT((ROW(A346)-1)/COLUMNS(V:Z))+1, MOD(ROW(A346)-1, COLUMNS(V:Z))+1)="", "", INDEX(V:Z, INT((ROW(A346)-1)/COLUMNS(V:Z))+1, MOD(ROW(A346)-1, COLUMNS(V:Z))+1))</f>
        <v/>
      </c>
    </row>
    <row r="348" spans="28:28">
      <c r="AB348" t="str" cm="1">
        <f t="array" ref="AB348">IF(INDEX(V:Z, INT((ROW(A347)-1)/COLUMNS(V:Z))+1, MOD(ROW(A347)-1, COLUMNS(V:Z))+1)="", "", INDEX(V:Z, INT((ROW(A347)-1)/COLUMNS(V:Z))+1, MOD(ROW(A347)-1, COLUMNS(V:Z))+1))</f>
        <v/>
      </c>
    </row>
    <row r="349" spans="28:28">
      <c r="AB349" t="str" cm="1">
        <f t="array" ref="AB349">IF(INDEX(V:Z, INT((ROW(A348)-1)/COLUMNS(V:Z))+1, MOD(ROW(A348)-1, COLUMNS(V:Z))+1)="", "", INDEX(V:Z, INT((ROW(A348)-1)/COLUMNS(V:Z))+1, MOD(ROW(A348)-1, COLUMNS(V:Z))+1))</f>
        <v/>
      </c>
    </row>
    <row r="350" spans="28:28">
      <c r="AB350" t="str" cm="1">
        <f t="array" ref="AB350">IF(INDEX(V:Z, INT((ROW(A349)-1)/COLUMNS(V:Z))+1, MOD(ROW(A349)-1, COLUMNS(V:Z))+1)="", "", INDEX(V:Z, INT((ROW(A349)-1)/COLUMNS(V:Z))+1, MOD(ROW(A349)-1, COLUMNS(V:Z))+1))</f>
        <v/>
      </c>
    </row>
    <row r="351" spans="28:28">
      <c r="AB351" t="str" cm="1">
        <f t="array" ref="AB351">IF(INDEX(V:Z, INT((ROW(A350)-1)/COLUMNS(V:Z))+1, MOD(ROW(A350)-1, COLUMNS(V:Z))+1)="", "", INDEX(V:Z, INT((ROW(A350)-1)/COLUMNS(V:Z))+1, MOD(ROW(A350)-1, COLUMNS(V:Z))+1))</f>
        <v/>
      </c>
    </row>
    <row r="352" spans="28:28">
      <c r="AB352" t="str" cm="1">
        <f t="array" ref="AB352">IF(INDEX(V:Z, INT((ROW(A351)-1)/COLUMNS(V:Z))+1, MOD(ROW(A351)-1, COLUMNS(V:Z))+1)="", "", INDEX(V:Z, INT((ROW(A351)-1)/COLUMNS(V:Z))+1, MOD(ROW(A351)-1, COLUMNS(V:Z))+1))</f>
        <v/>
      </c>
    </row>
    <row r="353" spans="28:28">
      <c r="AB353" t="str" cm="1">
        <f t="array" ref="AB353">IF(INDEX(V:Z, INT((ROW(A352)-1)/COLUMNS(V:Z))+1, MOD(ROW(A352)-1, COLUMNS(V:Z))+1)="", "", INDEX(V:Z, INT((ROW(A352)-1)/COLUMNS(V:Z))+1, MOD(ROW(A352)-1, COLUMNS(V:Z))+1))</f>
        <v/>
      </c>
    </row>
    <row r="354" spans="28:28">
      <c r="AB354" t="str" cm="1">
        <f t="array" ref="AB354">IF(INDEX(V:Z, INT((ROW(A353)-1)/COLUMNS(V:Z))+1, MOD(ROW(A353)-1, COLUMNS(V:Z))+1)="", "", INDEX(V:Z, INT((ROW(A353)-1)/COLUMNS(V:Z))+1, MOD(ROW(A353)-1, COLUMNS(V:Z))+1))</f>
        <v/>
      </c>
    </row>
    <row r="355" spans="28:28">
      <c r="AB355" t="str" cm="1">
        <f t="array" ref="AB355">IF(INDEX(V:Z, INT((ROW(A354)-1)/COLUMNS(V:Z))+1, MOD(ROW(A354)-1, COLUMNS(V:Z))+1)="", "", INDEX(V:Z, INT((ROW(A354)-1)/COLUMNS(V:Z))+1, MOD(ROW(A354)-1, COLUMNS(V:Z))+1))</f>
        <v/>
      </c>
    </row>
    <row r="356" spans="28:28">
      <c r="AB356" t="str" cm="1">
        <f t="array" ref="AB356">IF(INDEX(V:Z, INT((ROW(A355)-1)/COLUMNS(V:Z))+1, MOD(ROW(A355)-1, COLUMNS(V:Z))+1)="", "", INDEX(V:Z, INT((ROW(A355)-1)/COLUMNS(V:Z))+1, MOD(ROW(A355)-1, COLUMNS(V:Z))+1))</f>
        <v/>
      </c>
    </row>
    <row r="357" spans="28:28">
      <c r="AB357" t="str" cm="1">
        <f t="array" ref="AB357">IF(INDEX(V:Z, INT((ROW(A356)-1)/COLUMNS(V:Z))+1, MOD(ROW(A356)-1, COLUMNS(V:Z))+1)="", "", INDEX(V:Z, INT((ROW(A356)-1)/COLUMNS(V:Z))+1, MOD(ROW(A356)-1, COLUMNS(V:Z))+1))</f>
        <v/>
      </c>
    </row>
    <row r="358" spans="28:28">
      <c r="AB358" t="str" cm="1">
        <f t="array" ref="AB358">IF(INDEX(V:Z, INT((ROW(A357)-1)/COLUMNS(V:Z))+1, MOD(ROW(A357)-1, COLUMNS(V:Z))+1)="", "", INDEX(V:Z, INT((ROW(A357)-1)/COLUMNS(V:Z))+1, MOD(ROW(A357)-1, COLUMNS(V:Z))+1))</f>
        <v/>
      </c>
    </row>
    <row r="359" spans="28:28">
      <c r="AB359" t="str" cm="1">
        <f t="array" ref="AB359">IF(INDEX(V:Z, INT((ROW(A358)-1)/COLUMNS(V:Z))+1, MOD(ROW(A358)-1, COLUMNS(V:Z))+1)="", "", INDEX(V:Z, INT((ROW(A358)-1)/COLUMNS(V:Z))+1, MOD(ROW(A358)-1, COLUMNS(V:Z))+1))</f>
        <v/>
      </c>
    </row>
    <row r="360" spans="28:28">
      <c r="AB360" t="str" cm="1">
        <f t="array" ref="AB360">IF(INDEX(V:Z, INT((ROW(A359)-1)/COLUMNS(V:Z))+1, MOD(ROW(A359)-1, COLUMNS(V:Z))+1)="", "", INDEX(V:Z, INT((ROW(A359)-1)/COLUMNS(V:Z))+1, MOD(ROW(A359)-1, COLUMNS(V:Z))+1))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showGridLines="0" tabSelected="1" workbookViewId="0">
      <selection activeCell="B15" sqref="B15"/>
    </sheetView>
  </sheetViews>
  <sheetFormatPr defaultColWidth="11.5546875" defaultRowHeight="15" customHeight="1"/>
  <cols>
    <col min="1" max="1" width="26.109375" style="2" bestFit="1" customWidth="1"/>
    <col min="2" max="2" width="18.44140625" style="2" customWidth="1"/>
    <col min="3" max="3" width="17.44140625" style="2" customWidth="1"/>
    <col min="4" max="4" width="24.6640625" style="2" bestFit="1" customWidth="1"/>
    <col min="5" max="5" width="26.44140625" style="3" customWidth="1"/>
    <col min="6" max="6" width="21.33203125" style="2" bestFit="1" customWidth="1"/>
    <col min="7" max="7" width="18.33203125" style="2" bestFit="1" customWidth="1"/>
    <col min="8" max="8" width="17.44140625" style="2" bestFit="1" customWidth="1"/>
    <col min="9" max="16384" width="11.5546875" style="2"/>
  </cols>
  <sheetData>
    <row r="1" spans="1:9" ht="15" customHeight="1">
      <c r="A1" s="2" t="s">
        <v>0</v>
      </c>
    </row>
    <row r="3" spans="1:9" ht="15" customHeight="1">
      <c r="A3" s="59" t="s">
        <v>5</v>
      </c>
      <c r="B3" s="59"/>
      <c r="C3" s="59"/>
      <c r="D3" s="59"/>
      <c r="E3" s="59"/>
      <c r="F3" s="5"/>
      <c r="G3" s="5"/>
      <c r="H3" s="5"/>
      <c r="I3" s="5"/>
    </row>
    <row r="4" spans="1:9" ht="15" customHeight="1">
      <c r="A4" s="4" t="s">
        <v>1</v>
      </c>
      <c r="B4" s="4" t="s">
        <v>2</v>
      </c>
      <c r="C4" s="4" t="s">
        <v>7</v>
      </c>
      <c r="D4" s="4" t="s">
        <v>8</v>
      </c>
      <c r="E4" s="6" t="s">
        <v>3</v>
      </c>
      <c r="F4" s="4" t="s">
        <v>4</v>
      </c>
      <c r="G4" s="4" t="s">
        <v>9</v>
      </c>
    </row>
    <row r="5" spans="1:9" ht="15" customHeight="1">
      <c r="A5" s="7">
        <v>99454</v>
      </c>
      <c r="B5" s="8">
        <v>45.12</v>
      </c>
      <c r="C5" s="2" t="s">
        <v>6</v>
      </c>
      <c r="E5" s="3" t="b">
        <v>1</v>
      </c>
      <c r="F5" s="9">
        <f>IF(E5, B5, 0)</f>
        <v>45.12</v>
      </c>
      <c r="G5" s="2" t="str">
        <f>IF(E5, C5, 0)</f>
        <v>N/A</v>
      </c>
    </row>
    <row r="6" spans="1:9" ht="15" customHeight="1">
      <c r="A6" s="7">
        <v>99457</v>
      </c>
      <c r="B6" s="8">
        <v>46.85</v>
      </c>
      <c r="C6" s="2">
        <v>20</v>
      </c>
      <c r="D6" s="10">
        <v>1</v>
      </c>
      <c r="E6" s="3" t="b">
        <v>1</v>
      </c>
      <c r="F6" s="9">
        <f>IF(E6, B6, 0)</f>
        <v>46.85</v>
      </c>
      <c r="G6" s="11">
        <f>IF(E6, C6*D6, 0)</f>
        <v>20</v>
      </c>
    </row>
    <row r="7" spans="1:9" ht="15" customHeight="1">
      <c r="A7" s="7">
        <v>99458</v>
      </c>
      <c r="B7" s="8">
        <v>37.619999999999997</v>
      </c>
      <c r="C7" s="2">
        <v>20</v>
      </c>
      <c r="D7" s="12">
        <v>1</v>
      </c>
      <c r="E7" s="3" t="b">
        <v>1</v>
      </c>
      <c r="F7" s="13">
        <f>IF(E7, B7*D7, 0)</f>
        <v>37.619999999999997</v>
      </c>
      <c r="G7" s="11">
        <f t="shared" ref="G7:G10" si="0">IF(E7, C7*D7, 0)</f>
        <v>20</v>
      </c>
    </row>
    <row r="8" spans="1:9" ht="15" customHeight="1">
      <c r="A8" s="7">
        <v>99490</v>
      </c>
      <c r="B8" s="8">
        <v>59.9</v>
      </c>
      <c r="C8" s="2">
        <v>20</v>
      </c>
      <c r="D8" s="10">
        <v>1</v>
      </c>
      <c r="E8" s="3" t="b">
        <v>1</v>
      </c>
      <c r="F8" s="9">
        <f>IF(AND(E8=TRUE, E9=FALSE), B8, 0)</f>
        <v>59.9</v>
      </c>
      <c r="G8" s="11">
        <f t="shared" si="0"/>
        <v>20</v>
      </c>
    </row>
    <row r="9" spans="1:9" ht="15" customHeight="1">
      <c r="A9" s="7">
        <v>99491</v>
      </c>
      <c r="B9" s="8">
        <v>80.98</v>
      </c>
      <c r="C9" s="2">
        <v>30</v>
      </c>
      <c r="D9" s="10">
        <v>1</v>
      </c>
      <c r="E9" s="3" t="b">
        <v>0</v>
      </c>
      <c r="F9" s="9">
        <f>IF(AND(E9=TRUE, E8=FALSE), B9, 0)</f>
        <v>0</v>
      </c>
      <c r="G9" s="11">
        <f t="shared" si="0"/>
        <v>0</v>
      </c>
    </row>
    <row r="10" spans="1:9" ht="15" customHeight="1">
      <c r="A10" s="7">
        <v>99091</v>
      </c>
      <c r="B10" s="8">
        <v>51.29</v>
      </c>
      <c r="C10" s="2">
        <v>30</v>
      </c>
      <c r="D10" s="10">
        <v>1</v>
      </c>
      <c r="E10" s="3" t="b">
        <v>1</v>
      </c>
      <c r="F10" s="9">
        <f>IF(E10, B10, 0)</f>
        <v>51.29</v>
      </c>
      <c r="G10" s="11">
        <f t="shared" si="0"/>
        <v>30</v>
      </c>
    </row>
    <row r="11" spans="1:9" ht="15" customHeight="1">
      <c r="F11" s="8"/>
    </row>
    <row r="12" spans="1:9" ht="15" customHeight="1">
      <c r="F12" s="8"/>
    </row>
    <row r="13" spans="1:9" ht="15" customHeight="1">
      <c r="A13" s="59" t="s">
        <v>10</v>
      </c>
      <c r="B13" s="59"/>
      <c r="C13" s="59"/>
      <c r="D13" s="59"/>
      <c r="E13" s="59" t="b">
        <v>1</v>
      </c>
      <c r="F13" s="5"/>
      <c r="G13" s="5"/>
      <c r="H13" s="5"/>
      <c r="I13" s="5"/>
    </row>
    <row r="14" spans="1:9" ht="15" customHeight="1">
      <c r="A14" s="4" t="s">
        <v>1</v>
      </c>
      <c r="B14" s="4" t="s">
        <v>2</v>
      </c>
      <c r="C14" s="4" t="s">
        <v>7</v>
      </c>
      <c r="D14" s="4" t="s">
        <v>8</v>
      </c>
      <c r="E14" s="6" t="s">
        <v>3</v>
      </c>
      <c r="F14" s="4" t="s">
        <v>4</v>
      </c>
      <c r="G14" s="4" t="s">
        <v>9</v>
      </c>
    </row>
    <row r="15" spans="1:9" ht="15" customHeight="1">
      <c r="A15" s="7">
        <v>99496</v>
      </c>
      <c r="B15" s="8">
        <v>237</v>
      </c>
      <c r="C15" s="2" t="s">
        <v>6</v>
      </c>
      <c r="E15" s="3" t="b">
        <v>1</v>
      </c>
      <c r="F15" s="9">
        <f>IF(E15, B15, 0)</f>
        <v>237</v>
      </c>
      <c r="G15" s="14" t="str">
        <f>IF(E15, C15, 0)</f>
        <v>N/A</v>
      </c>
    </row>
    <row r="16" spans="1:9" ht="15" customHeight="1">
      <c r="A16" s="7">
        <v>99453</v>
      </c>
      <c r="B16" s="2">
        <v>18.95</v>
      </c>
      <c r="C16" s="2" t="s">
        <v>6</v>
      </c>
      <c r="D16" s="10"/>
      <c r="E16" s="3" t="b">
        <v>1</v>
      </c>
      <c r="F16" s="9">
        <f>IF(E16, B16, 0)</f>
        <v>18.95</v>
      </c>
      <c r="G16" s="14" t="str">
        <f>IF(E16, C16, 0)</f>
        <v>N/A</v>
      </c>
    </row>
    <row r="18" spans="1:9" ht="15" customHeight="1">
      <c r="A18" s="59" t="s">
        <v>11</v>
      </c>
      <c r="B18" s="59"/>
      <c r="C18" s="59"/>
      <c r="D18" s="59"/>
      <c r="E18" s="59" t="b">
        <v>1</v>
      </c>
      <c r="F18" s="5"/>
      <c r="G18" s="5"/>
      <c r="H18" s="5"/>
      <c r="I18" s="5"/>
    </row>
    <row r="19" spans="1:9" ht="15" customHeight="1">
      <c r="A19" s="15" t="s">
        <v>12</v>
      </c>
      <c r="B19" s="9">
        <f>SUM(F5:F10)</f>
        <v>240.78</v>
      </c>
    </row>
    <row r="20" spans="1:9" ht="15" customHeight="1">
      <c r="A20" s="15" t="s">
        <v>13</v>
      </c>
      <c r="B20" s="9">
        <f>SUM(F15:F16)</f>
        <v>255.95</v>
      </c>
    </row>
    <row r="22" spans="1:9" ht="15" customHeight="1">
      <c r="A22" s="59" t="s">
        <v>14</v>
      </c>
      <c r="B22" s="59"/>
      <c r="C22" s="59"/>
      <c r="D22" s="59"/>
      <c r="E22" s="59" t="b">
        <v>1</v>
      </c>
      <c r="F22" s="5"/>
      <c r="G22" s="5"/>
      <c r="H22" s="5"/>
      <c r="I22" s="5"/>
    </row>
    <row r="23" spans="1:9" ht="15" customHeight="1">
      <c r="A23" s="16" t="s">
        <v>18</v>
      </c>
      <c r="B23" s="16" t="s">
        <v>19</v>
      </c>
      <c r="C23" s="16" t="s">
        <v>20</v>
      </c>
      <c r="D23" s="16" t="s">
        <v>21</v>
      </c>
      <c r="E23" s="16" t="s">
        <v>22</v>
      </c>
      <c r="F23" s="34" t="s">
        <v>112</v>
      </c>
      <c r="G23" s="34" t="s">
        <v>105</v>
      </c>
      <c r="H23" s="34" t="s">
        <v>106</v>
      </c>
      <c r="I23" s="34" t="s">
        <v>107</v>
      </c>
    </row>
    <row r="24" spans="1:9" ht="15" customHeight="1">
      <c r="A24" s="15" t="s">
        <v>15</v>
      </c>
      <c r="B24" s="17">
        <v>50000</v>
      </c>
      <c r="C24" s="2">
        <v>40</v>
      </c>
      <c r="D24" s="9">
        <f>B24/(C24*52)</f>
        <v>24.03846153846154</v>
      </c>
      <c r="E24" s="12">
        <v>1</v>
      </c>
      <c r="F24" s="39">
        <f>B24/E24/12</f>
        <v>4166.666666666667</v>
      </c>
      <c r="G24" s="40">
        <f>C24/$A$40/E24</f>
        <v>26.666666666666668</v>
      </c>
      <c r="H24" s="28">
        <v>0.85</v>
      </c>
      <c r="I24" s="9">
        <f>G24*H24</f>
        <v>22.666666666666668</v>
      </c>
    </row>
    <row r="25" spans="1:9" ht="15" customHeight="1">
      <c r="A25" s="15" t="s">
        <v>16</v>
      </c>
      <c r="B25" s="17">
        <v>70000</v>
      </c>
      <c r="C25" s="2">
        <v>40</v>
      </c>
      <c r="D25" s="9">
        <f t="shared" ref="D25" si="1">B25/(C25*52)</f>
        <v>33.653846153846153</v>
      </c>
      <c r="E25" s="12">
        <v>50</v>
      </c>
      <c r="F25" s="39">
        <f>B25/E25/12</f>
        <v>116.66666666666667</v>
      </c>
      <c r="G25" s="40">
        <f>C25/$A$40/E25</f>
        <v>0.53333333333333333</v>
      </c>
      <c r="H25" s="28">
        <v>0.85</v>
      </c>
      <c r="I25" s="9">
        <f t="shared" ref="I25:I26" si="2">G25*H25</f>
        <v>0.45333333333333331</v>
      </c>
    </row>
    <row r="26" spans="1:9" ht="15" customHeight="1">
      <c r="A26" s="15" t="s">
        <v>17</v>
      </c>
      <c r="B26" s="17">
        <v>120000</v>
      </c>
      <c r="C26" s="2">
        <v>40</v>
      </c>
      <c r="D26" s="9">
        <f>B26/(C26*52)</f>
        <v>57.692307692307693</v>
      </c>
      <c r="E26" s="12">
        <v>250</v>
      </c>
      <c r="F26" s="39">
        <f>B26/E26/12</f>
        <v>40</v>
      </c>
      <c r="G26" s="40">
        <f>C26/$A$40/E26</f>
        <v>0.10666666666666667</v>
      </c>
      <c r="H26" s="28">
        <v>0.85</v>
      </c>
      <c r="I26" s="9">
        <f t="shared" si="2"/>
        <v>9.0666666666666673E-2</v>
      </c>
    </row>
    <row r="28" spans="1:9" ht="15" customHeight="1">
      <c r="A28" s="59" t="s">
        <v>29</v>
      </c>
      <c r="B28" s="59"/>
      <c r="C28" s="59"/>
      <c r="D28" s="59"/>
      <c r="E28" s="59" t="b">
        <v>1</v>
      </c>
      <c r="F28" s="5"/>
      <c r="G28" s="5"/>
      <c r="H28" s="5"/>
      <c r="I28" s="5"/>
    </row>
    <row r="29" spans="1:9" ht="15" customHeight="1">
      <c r="A29" s="16" t="s">
        <v>18</v>
      </c>
      <c r="B29" s="16" t="s">
        <v>32</v>
      </c>
      <c r="C29" s="16" t="s">
        <v>33</v>
      </c>
    </row>
    <row r="30" spans="1:9" ht="15" customHeight="1">
      <c r="A30" s="18" t="s">
        <v>30</v>
      </c>
      <c r="B30" s="19">
        <v>30000</v>
      </c>
      <c r="C30" s="9">
        <f>B30*12/2080</f>
        <v>173.07692307692307</v>
      </c>
    </row>
    <row r="31" spans="1:9" ht="15" customHeight="1">
      <c r="A31" s="18" t="s">
        <v>29</v>
      </c>
      <c r="B31" s="19">
        <v>10000</v>
      </c>
      <c r="C31" s="9">
        <f t="shared" ref="C31" si="3">B31*12/2080</f>
        <v>57.692307692307693</v>
      </c>
    </row>
    <row r="32" spans="1:9" ht="15" customHeight="1">
      <c r="A32" s="18" t="s">
        <v>120</v>
      </c>
      <c r="B32" s="19">
        <v>15000</v>
      </c>
      <c r="C32" s="9">
        <f>B32*12/2080</f>
        <v>86.538461538461533</v>
      </c>
    </row>
    <row r="33" spans="1:9" ht="15" customHeight="1">
      <c r="A33" s="18" t="s">
        <v>31</v>
      </c>
      <c r="B33" s="19">
        <v>5000</v>
      </c>
      <c r="C33" s="9">
        <f>B33*12/2080</f>
        <v>28.846153846153847</v>
      </c>
    </row>
    <row r="34" spans="1:9" ht="15" customHeight="1">
      <c r="B34" s="38"/>
    </row>
    <row r="38" spans="1:9" ht="15" customHeight="1">
      <c r="A38" s="59" t="s">
        <v>23</v>
      </c>
      <c r="B38" s="59"/>
      <c r="C38" s="59"/>
      <c r="D38" s="59"/>
      <c r="E38" s="59" t="b">
        <v>1</v>
      </c>
      <c r="F38" s="5"/>
      <c r="G38" s="5"/>
      <c r="H38" s="5"/>
      <c r="I38" s="5"/>
    </row>
    <row r="39" spans="1:9" ht="15" customHeight="1">
      <c r="A39" s="2" t="s">
        <v>24</v>
      </c>
    </row>
    <row r="40" spans="1:9" ht="15" customHeight="1">
      <c r="A40" s="9">
        <f>SUM(G5:G10)/60</f>
        <v>1.5</v>
      </c>
    </row>
    <row r="41" spans="1:9" ht="15" customHeight="1">
      <c r="B41" s="2" t="s">
        <v>25</v>
      </c>
      <c r="C41" s="20">
        <f>$A$40*D24/E24</f>
        <v>36.057692307692307</v>
      </c>
    </row>
    <row r="42" spans="1:9" ht="15" customHeight="1">
      <c r="B42" s="2" t="s">
        <v>26</v>
      </c>
      <c r="C42" s="20">
        <f>$A$40*D25/E25</f>
        <v>1.0096153846153846</v>
      </c>
    </row>
    <row r="43" spans="1:9" ht="15" customHeight="1" thickBot="1">
      <c r="B43" s="21" t="s">
        <v>27</v>
      </c>
      <c r="C43" s="22">
        <f>$A$40*D26/E26</f>
        <v>0.3461538461538462</v>
      </c>
    </row>
    <row r="44" spans="1:9" ht="15" customHeight="1" thickTop="1">
      <c r="B44" s="23" t="s">
        <v>28</v>
      </c>
      <c r="C44" s="20">
        <f>C41+C42+C43</f>
        <v>37.41346153846154</v>
      </c>
    </row>
    <row r="47" spans="1:9" ht="15" customHeight="1" thickBot="1">
      <c r="B47" s="24" t="s">
        <v>34</v>
      </c>
      <c r="C47" s="25">
        <f>B19</f>
        <v>240.78</v>
      </c>
    </row>
    <row r="48" spans="1:9" ht="15" customHeight="1" thickTop="1">
      <c r="B48" s="23" t="s">
        <v>35</v>
      </c>
      <c r="C48" s="9">
        <f>C47</f>
        <v>240.78</v>
      </c>
    </row>
    <row r="49" spans="3:3" ht="15" customHeight="1">
      <c r="C49" s="8"/>
    </row>
  </sheetData>
  <mergeCells count="6">
    <mergeCell ref="A3:E3"/>
    <mergeCell ref="A13:E13"/>
    <mergeCell ref="A18:E18"/>
    <mergeCell ref="A22:E22"/>
    <mergeCell ref="A38:E38"/>
    <mergeCell ref="A28:E28"/>
  </mergeCells>
  <dataValidations count="1">
    <dataValidation type="whole" operator="equal" allowBlank="1" showInputMessage="1" showErrorMessage="1" sqref="D8:D10 D6 D16">
      <formula1>1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76200</xdr:colOff>
                    <xdr:row>4</xdr:row>
                    <xdr:rowOff>161925</xdr:rowOff>
                  </from>
                  <to>
                    <xdr:col>4</xdr:col>
                    <xdr:colOff>1600200</xdr:colOff>
                    <xdr:row>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76200</xdr:colOff>
                    <xdr:row>3</xdr:row>
                    <xdr:rowOff>123825</xdr:rowOff>
                  </from>
                  <to>
                    <xdr:col>4</xdr:col>
                    <xdr:colOff>1600200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76200</xdr:colOff>
                    <xdr:row>5</xdr:row>
                    <xdr:rowOff>152400</xdr:rowOff>
                  </from>
                  <to>
                    <xdr:col>4</xdr:col>
                    <xdr:colOff>1600200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123825</xdr:rowOff>
                  </from>
                  <to>
                    <xdr:col>4</xdr:col>
                    <xdr:colOff>1600200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114300</xdr:rowOff>
                  </from>
                  <to>
                    <xdr:col>4</xdr:col>
                    <xdr:colOff>1600200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76200</xdr:colOff>
                    <xdr:row>8</xdr:row>
                    <xdr:rowOff>123825</xdr:rowOff>
                  </from>
                  <to>
                    <xdr:col>4</xdr:col>
                    <xdr:colOff>1600200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76200</xdr:colOff>
                    <xdr:row>14</xdr:row>
                    <xdr:rowOff>161925</xdr:rowOff>
                  </from>
                  <to>
                    <xdr:col>4</xdr:col>
                    <xdr:colOff>1600200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76200</xdr:colOff>
                    <xdr:row>13</xdr:row>
                    <xdr:rowOff>123825</xdr:rowOff>
                  </from>
                  <to>
                    <xdr:col>4</xdr:col>
                    <xdr:colOff>1600200</xdr:colOff>
                    <xdr:row>15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workbookViewId="0">
      <selection activeCell="D49" sqref="D49"/>
    </sheetView>
  </sheetViews>
  <sheetFormatPr defaultColWidth="11.5546875" defaultRowHeight="15.75"/>
  <cols>
    <col min="1" max="1" width="18.77734375" style="2" customWidth="1"/>
    <col min="2" max="2" width="31.44140625" style="2" bestFit="1" customWidth="1"/>
    <col min="3" max="3" width="11" style="2" bestFit="1" customWidth="1"/>
    <col min="4" max="4" width="43.33203125" style="2" bestFit="1" customWidth="1"/>
    <col min="5" max="16384" width="11.5546875" style="2"/>
  </cols>
  <sheetData>
    <row r="1" spans="1:4">
      <c r="A1" s="26" t="s">
        <v>46</v>
      </c>
      <c r="B1" s="26" t="s">
        <v>47</v>
      </c>
      <c r="C1" s="26" t="s">
        <v>48</v>
      </c>
      <c r="D1" s="26" t="s">
        <v>49</v>
      </c>
    </row>
    <row r="2" spans="1:4">
      <c r="A2" s="26" t="s">
        <v>50</v>
      </c>
      <c r="B2" s="27" t="s">
        <v>51</v>
      </c>
      <c r="C2" s="27">
        <v>60</v>
      </c>
      <c r="D2" s="27" t="s">
        <v>52</v>
      </c>
    </row>
    <row r="3" spans="1:4">
      <c r="A3" s="27"/>
      <c r="B3" s="27" t="s">
        <v>53</v>
      </c>
      <c r="C3" s="27">
        <v>1</v>
      </c>
      <c r="D3" s="27" t="s">
        <v>54</v>
      </c>
    </row>
    <row r="4" spans="1:4">
      <c r="A4" s="27"/>
      <c r="B4" s="27" t="s">
        <v>55</v>
      </c>
      <c r="C4" s="27">
        <v>13</v>
      </c>
      <c r="D4" s="27" t="s">
        <v>56</v>
      </c>
    </row>
    <row r="5" spans="1:4">
      <c r="A5" s="27"/>
      <c r="B5" s="27" t="s">
        <v>57</v>
      </c>
      <c r="C5" s="27">
        <v>13</v>
      </c>
      <c r="D5" s="27" t="s">
        <v>58</v>
      </c>
    </row>
    <row r="6" spans="1:4">
      <c r="A6" s="27"/>
      <c r="B6" s="27" t="s">
        <v>59</v>
      </c>
      <c r="C6" s="27">
        <v>25</v>
      </c>
      <c r="D6" s="27" t="s">
        <v>60</v>
      </c>
    </row>
    <row r="7" spans="1:4">
      <c r="A7" s="27"/>
      <c r="B7" s="27" t="s">
        <v>61</v>
      </c>
      <c r="C7" s="27">
        <v>25</v>
      </c>
      <c r="D7" s="27" t="s">
        <v>62</v>
      </c>
    </row>
    <row r="9" spans="1:4">
      <c r="A9" s="31" t="s">
        <v>63</v>
      </c>
      <c r="B9" s="32" t="s">
        <v>64</v>
      </c>
      <c r="C9" s="56">
        <v>0.08</v>
      </c>
      <c r="D9" s="32" t="s">
        <v>65</v>
      </c>
    </row>
    <row r="10" spans="1:4">
      <c r="B10" s="2" t="s">
        <v>66</v>
      </c>
      <c r="C10" s="57">
        <v>1.4999999999999999E-2</v>
      </c>
      <c r="D10" s="2" t="s">
        <v>67</v>
      </c>
    </row>
    <row r="11" spans="1:4">
      <c r="B11" s="2" t="s">
        <v>68</v>
      </c>
      <c r="C11" s="58">
        <v>0.05</v>
      </c>
      <c r="D11" s="2" t="s">
        <v>69</v>
      </c>
    </row>
    <row r="12" spans="1:4">
      <c r="B12" s="2" t="s">
        <v>98</v>
      </c>
      <c r="C12" s="30">
        <f>C11/12</f>
        <v>4.1666666666666666E-3</v>
      </c>
      <c r="D12" s="2" t="s">
        <v>99</v>
      </c>
    </row>
    <row r="13" spans="1:4">
      <c r="B13" s="2" t="s">
        <v>104</v>
      </c>
      <c r="C13" s="55">
        <v>50</v>
      </c>
      <c r="D13" s="2" t="s">
        <v>101</v>
      </c>
    </row>
    <row r="14" spans="1:4">
      <c r="B14" s="2" t="s">
        <v>102</v>
      </c>
      <c r="C14" s="55">
        <v>100</v>
      </c>
      <c r="D14" s="2" t="s">
        <v>103</v>
      </c>
    </row>
    <row r="15" spans="1:4">
      <c r="A15" s="31" t="s">
        <v>70</v>
      </c>
      <c r="B15" s="32" t="s">
        <v>71</v>
      </c>
      <c r="C15" s="54">
        <v>50000</v>
      </c>
      <c r="D15" s="32" t="s">
        <v>72</v>
      </c>
    </row>
    <row r="16" spans="1:4">
      <c r="B16" s="2" t="s">
        <v>73</v>
      </c>
      <c r="C16" s="55">
        <v>70000</v>
      </c>
      <c r="D16" s="2" t="s">
        <v>74</v>
      </c>
    </row>
    <row r="17" spans="1:4">
      <c r="B17" s="2" t="s">
        <v>75</v>
      </c>
      <c r="C17" s="55">
        <v>80000</v>
      </c>
      <c r="D17" s="2" t="s">
        <v>76</v>
      </c>
    </row>
    <row r="18" spans="1:4">
      <c r="B18" s="2" t="s">
        <v>77</v>
      </c>
      <c r="C18" s="55">
        <v>60000</v>
      </c>
      <c r="D18" s="2" t="s">
        <v>78</v>
      </c>
    </row>
    <row r="19" spans="1:4">
      <c r="B19" s="2" t="s">
        <v>79</v>
      </c>
      <c r="C19" s="55">
        <v>90000</v>
      </c>
      <c r="D19" s="2" t="s">
        <v>80</v>
      </c>
    </row>
    <row r="20" spans="1:4">
      <c r="A20" s="31" t="s">
        <v>81</v>
      </c>
      <c r="B20" s="32" t="s">
        <v>82</v>
      </c>
      <c r="C20" s="50">
        <f>'Unit Economics'!B19</f>
        <v>240.78</v>
      </c>
      <c r="D20" s="32" t="s">
        <v>83</v>
      </c>
    </row>
    <row r="21" spans="1:4">
      <c r="B21" s="2" t="s">
        <v>84</v>
      </c>
      <c r="C21" s="51">
        <f>'Unit Economics'!B20</f>
        <v>255.95</v>
      </c>
      <c r="D21" s="2" t="s">
        <v>85</v>
      </c>
    </row>
    <row r="22" spans="1:4">
      <c r="A22" s="31" t="s">
        <v>14</v>
      </c>
      <c r="B22" s="32" t="s">
        <v>108</v>
      </c>
      <c r="C22" s="50">
        <f>'Unit Economics'!I24*4</f>
        <v>90.666666666666671</v>
      </c>
      <c r="D22" s="32" t="s">
        <v>83</v>
      </c>
    </row>
    <row r="23" spans="1:4">
      <c r="B23" s="2" t="s">
        <v>109</v>
      </c>
      <c r="C23" s="72">
        <f>C22/'Unit Economics'!E25</f>
        <v>1.8133333333333335</v>
      </c>
      <c r="D23" s="2" t="s">
        <v>85</v>
      </c>
    </row>
    <row r="24" spans="1:4">
      <c r="B24" s="2" t="s">
        <v>113</v>
      </c>
      <c r="C24" s="73">
        <f>C22/'Unit Economics'!E26</f>
        <v>0.36266666666666669</v>
      </c>
    </row>
    <row r="25" spans="1:4">
      <c r="B25" s="36" t="s">
        <v>114</v>
      </c>
      <c r="C25" s="74">
        <f>'Unit Economics'!B25/'Unit Economics'!E25/12</f>
        <v>116.66666666666667</v>
      </c>
    </row>
    <row r="26" spans="1:4">
      <c r="B26" s="36" t="s">
        <v>115</v>
      </c>
      <c r="C26" s="74">
        <f>'Unit Economics'!B26/'Unit Economics'!E26/12</f>
        <v>40</v>
      </c>
    </row>
    <row r="27" spans="1:4">
      <c r="A27" s="31" t="s">
        <v>111</v>
      </c>
      <c r="B27" s="32" t="s">
        <v>86</v>
      </c>
      <c r="C27" s="33">
        <v>0</v>
      </c>
      <c r="D27" s="32" t="s">
        <v>116</v>
      </c>
    </row>
    <row r="28" spans="1:4">
      <c r="A28" s="41"/>
      <c r="B28" s="37" t="s">
        <v>117</v>
      </c>
      <c r="C28" s="42">
        <v>0</v>
      </c>
      <c r="D28" s="37"/>
    </row>
    <row r="29" spans="1:4">
      <c r="B29" s="37" t="s">
        <v>87</v>
      </c>
      <c r="C29" s="44">
        <v>185</v>
      </c>
      <c r="D29" s="37" t="s">
        <v>121</v>
      </c>
    </row>
    <row r="30" spans="1:4">
      <c r="A30" s="31" t="s">
        <v>110</v>
      </c>
      <c r="B30" s="49" t="s">
        <v>30</v>
      </c>
      <c r="C30" s="50">
        <f>'Unit Economics'!B30:B33</f>
        <v>30000</v>
      </c>
      <c r="D30" s="32"/>
    </row>
    <row r="31" spans="1:4">
      <c r="B31" s="18" t="s">
        <v>29</v>
      </c>
      <c r="C31" s="51">
        <v>10000</v>
      </c>
    </row>
    <row r="32" spans="1:4">
      <c r="B32" s="18" t="s">
        <v>120</v>
      </c>
      <c r="C32" s="51">
        <v>15000</v>
      </c>
    </row>
    <row r="33" spans="1:4" ht="16.5" thickBot="1">
      <c r="B33" s="24" t="s">
        <v>31</v>
      </c>
      <c r="C33" s="60">
        <v>5000</v>
      </c>
    </row>
    <row r="34" spans="1:4" ht="16.5" thickTop="1">
      <c r="B34" s="2" t="s">
        <v>122</v>
      </c>
      <c r="C34" s="71">
        <f>SUM(C30:C33)</f>
        <v>60000</v>
      </c>
    </row>
    <row r="36" spans="1:4">
      <c r="B36" s="2" t="s">
        <v>123</v>
      </c>
      <c r="C36" s="61">
        <v>150000</v>
      </c>
    </row>
    <row r="37" spans="1:4">
      <c r="B37" s="2" t="s">
        <v>124</v>
      </c>
      <c r="C37" s="61">
        <v>10000</v>
      </c>
    </row>
    <row r="38" spans="1:4">
      <c r="A38" s="31" t="s">
        <v>126</v>
      </c>
      <c r="B38" s="49" t="s">
        <v>89</v>
      </c>
      <c r="C38" s="65">
        <v>1</v>
      </c>
      <c r="D38" s="32"/>
    </row>
    <row r="39" spans="1:4">
      <c r="B39" s="18" t="s">
        <v>90</v>
      </c>
      <c r="C39" s="66">
        <v>1.05</v>
      </c>
    </row>
    <row r="40" spans="1:4">
      <c r="B40" s="18" t="s">
        <v>91</v>
      </c>
      <c r="C40" s="66">
        <v>1.03</v>
      </c>
    </row>
    <row r="41" spans="1:4">
      <c r="B41" s="18" t="s">
        <v>92</v>
      </c>
      <c r="C41" s="67">
        <v>1.08</v>
      </c>
      <c r="D41" s="37"/>
    </row>
    <row r="42" spans="1:4">
      <c r="A42" s="68"/>
      <c r="B42" s="69" t="s">
        <v>93</v>
      </c>
      <c r="C42" s="70">
        <v>1.1000000000000001</v>
      </c>
      <c r="D42" s="68"/>
    </row>
    <row r="43" spans="1:4" ht="16.5" thickBot="1">
      <c r="A43" s="31" t="s">
        <v>134</v>
      </c>
      <c r="B43" s="76" t="s">
        <v>128</v>
      </c>
      <c r="C43" s="77">
        <v>1500000</v>
      </c>
      <c r="D43" s="37"/>
    </row>
    <row r="44" spans="1:4" ht="16.5" thickTop="1">
      <c r="A44"/>
      <c r="B44" s="36" t="s">
        <v>129</v>
      </c>
      <c r="C44" s="78">
        <v>300000</v>
      </c>
      <c r="D44" s="37"/>
    </row>
    <row r="45" spans="1:4">
      <c r="A45"/>
      <c r="B45" s="36" t="s">
        <v>130</v>
      </c>
      <c r="C45" s="78">
        <v>500000</v>
      </c>
      <c r="D45" s="37"/>
    </row>
    <row r="46" spans="1:4">
      <c r="A46"/>
      <c r="B46" s="36" t="s">
        <v>131</v>
      </c>
      <c r="C46" s="78">
        <v>250000</v>
      </c>
    </row>
    <row r="47" spans="1:4">
      <c r="A47"/>
      <c r="B47" s="36" t="s">
        <v>144</v>
      </c>
      <c r="C47" s="78">
        <v>150000</v>
      </c>
    </row>
    <row r="48" spans="1:4">
      <c r="A48"/>
      <c r="B48" s="36" t="s">
        <v>145</v>
      </c>
      <c r="C48" s="78">
        <v>150000</v>
      </c>
    </row>
    <row r="49" spans="1:3" ht="16.5" thickBot="1">
      <c r="A49"/>
      <c r="B49" s="79" t="s">
        <v>132</v>
      </c>
      <c r="C49" s="80">
        <v>150000</v>
      </c>
    </row>
    <row r="50" spans="1:3" ht="16.5" thickTop="1">
      <c r="A50"/>
      <c r="B50" s="2" t="s">
        <v>133</v>
      </c>
      <c r="C50" s="75">
        <f>SUM(C44:C49)</f>
        <v>1500000</v>
      </c>
    </row>
    <row r="51" spans="1:3">
      <c r="B51" s="68" t="s">
        <v>147</v>
      </c>
      <c r="C51" s="85">
        <f>'Year 0'!I13</f>
        <v>237500</v>
      </c>
    </row>
  </sheetData>
  <dataValidations count="4">
    <dataValidation type="whole" operator="equal" allowBlank="1" showInputMessage="1" showErrorMessage="1" sqref="C2">
      <formula1>60</formula1>
    </dataValidation>
    <dataValidation type="whole" operator="equal" allowBlank="1" showInputMessage="1" showErrorMessage="1" sqref="C3">
      <formula1>1</formula1>
    </dataValidation>
    <dataValidation type="whole" operator="equal" allowBlank="1" showInputMessage="1" showErrorMessage="1" sqref="C4:C5">
      <formula1>13</formula1>
    </dataValidation>
    <dataValidation type="whole" operator="equal" allowBlank="1" showInputMessage="1" showErrorMessage="1" sqref="C6:C7">
      <formula1>25</formula1>
    </dataValidation>
  </dataValidations>
  <pageMargins left="0.7" right="0.7" top="0.75" bottom="0.75" header="0.3" footer="0.3"/>
  <pageSetup orientation="portrait" r:id="rId1"/>
  <ignoredErrors>
    <ignoredError sqref="C5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F28" sqref="F28"/>
    </sheetView>
  </sheetViews>
  <sheetFormatPr defaultRowHeight="15"/>
  <cols>
    <col min="1" max="1" width="5.77734375" bestFit="1" customWidth="1"/>
    <col min="2" max="2" width="9.5546875" bestFit="1" customWidth="1"/>
    <col min="3" max="3" width="15.88671875" bestFit="1" customWidth="1"/>
    <col min="4" max="4" width="20.77734375" bestFit="1" customWidth="1"/>
    <col min="5" max="5" width="15.6640625" bestFit="1" customWidth="1"/>
    <col min="6" max="6" width="17.77734375" bestFit="1" customWidth="1"/>
    <col min="7" max="7" width="13.21875" bestFit="1" customWidth="1"/>
    <col min="8" max="8" width="12.88671875" bestFit="1" customWidth="1"/>
    <col min="9" max="9" width="16.109375" bestFit="1" customWidth="1"/>
  </cols>
  <sheetData>
    <row r="1" spans="1:9">
      <c r="A1" s="81" t="s">
        <v>135</v>
      </c>
      <c r="B1" s="81" t="s">
        <v>136</v>
      </c>
      <c r="C1" s="81" t="s">
        <v>137</v>
      </c>
      <c r="D1" s="81" t="s">
        <v>138</v>
      </c>
      <c r="E1" s="81" t="s">
        <v>139</v>
      </c>
      <c r="F1" s="81" t="s">
        <v>140</v>
      </c>
      <c r="G1" s="81" t="s">
        <v>141</v>
      </c>
      <c r="H1" s="81" t="s">
        <v>142</v>
      </c>
      <c r="I1" s="81" t="s">
        <v>143</v>
      </c>
    </row>
    <row r="2" spans="1:9" ht="15.75">
      <c r="A2" s="2">
        <v>1</v>
      </c>
      <c r="B2" s="83">
        <f>Assumptions!$C$44/12</f>
        <v>25000</v>
      </c>
      <c r="C2" s="83">
        <f>IF(A2&lt;=3,Assumptions!$C$45*0.6/3,Assumptions!$C$45*0.4/9)</f>
        <v>100000</v>
      </c>
      <c r="D2" s="83">
        <f>IF(A2&gt;=7,Assumptions!$C$46/6,0)</f>
        <v>0</v>
      </c>
      <c r="E2" s="83">
        <f>IF(A2&gt;=10,Assumptions!$C$47/12,0)</f>
        <v>0</v>
      </c>
      <c r="F2" s="83">
        <f>IF(A2&gt;=6,Assumptions!$C$48/6,0)</f>
        <v>0</v>
      </c>
      <c r="G2" s="82">
        <v>0</v>
      </c>
      <c r="H2" s="83">
        <f>SUM(B2:G2)</f>
        <v>125000</v>
      </c>
      <c r="I2" s="83">
        <f>Assumptions!$C$43-H2</f>
        <v>1375000</v>
      </c>
    </row>
    <row r="3" spans="1:9" ht="15.75">
      <c r="A3" s="2">
        <v>2</v>
      </c>
      <c r="B3" s="83">
        <f>Assumptions!$C$44/12</f>
        <v>25000</v>
      </c>
      <c r="C3" s="83">
        <f>IF(A3&lt;=3,Assumptions!$C$45*0.6/3,Assumptions!$C$45*0.4/9)</f>
        <v>100000</v>
      </c>
      <c r="D3" s="83">
        <f>IF(A3&gt;=7,Assumptions!$C$46/6,0)</f>
        <v>0</v>
      </c>
      <c r="E3" s="83">
        <f>IF(A3&gt;=10,Assumptions!$C$47/12,0)</f>
        <v>0</v>
      </c>
      <c r="F3" s="83">
        <f>IF(A3&gt;=6,Assumptions!$C$48/6,0)</f>
        <v>0</v>
      </c>
      <c r="G3" s="82">
        <v>0</v>
      </c>
      <c r="H3" s="83">
        <f t="shared" ref="H3:H13" si="0">SUM(B3:G3)</f>
        <v>125000</v>
      </c>
      <c r="I3" s="82">
        <f>I2-H3</f>
        <v>1250000</v>
      </c>
    </row>
    <row r="4" spans="1:9" ht="15.75">
      <c r="A4" s="2">
        <v>3</v>
      </c>
      <c r="B4" s="83">
        <f>Assumptions!$C$44/12</f>
        <v>25000</v>
      </c>
      <c r="C4" s="83">
        <f>IF(A4&lt;=3,Assumptions!$C$45*0.6/3,Assumptions!$C$45*0.4/9)</f>
        <v>100000</v>
      </c>
      <c r="D4" s="83">
        <f>IF(A4&gt;=7,Assumptions!$C$46/6,0)</f>
        <v>0</v>
      </c>
      <c r="E4" s="83">
        <f>IF(A4&gt;=10,Assumptions!$C$47/12,0)</f>
        <v>0</v>
      </c>
      <c r="F4" s="83">
        <f>IF(A4&gt;=6,Assumptions!$C$48/6,0)</f>
        <v>0</v>
      </c>
      <c r="G4" s="82">
        <v>0</v>
      </c>
      <c r="H4" s="83">
        <f t="shared" si="0"/>
        <v>125000</v>
      </c>
      <c r="I4" s="82">
        <f t="shared" ref="I4:I13" si="1">I3-H4</f>
        <v>1125000</v>
      </c>
    </row>
    <row r="5" spans="1:9" ht="15.75">
      <c r="A5" s="2">
        <v>4</v>
      </c>
      <c r="B5" s="83">
        <f>Assumptions!$C$44/12</f>
        <v>25000</v>
      </c>
      <c r="C5" s="83">
        <f>IF(A5&lt;=3,Assumptions!$C$45*0.6/3,Assumptions!$C$45*0.4/9)</f>
        <v>22222.222222222223</v>
      </c>
      <c r="D5" s="83">
        <f>IF(A5&gt;=7,Assumptions!$C$46/6,0)</f>
        <v>0</v>
      </c>
      <c r="E5" s="83">
        <f>IF(A5&gt;=10,Assumptions!$C$47/12,0)</f>
        <v>0</v>
      </c>
      <c r="F5" s="83">
        <f>IF(A5&gt;=6,Assumptions!$C$48/6,0)</f>
        <v>0</v>
      </c>
      <c r="G5" s="82">
        <v>0</v>
      </c>
      <c r="H5" s="83">
        <f t="shared" si="0"/>
        <v>47222.222222222219</v>
      </c>
      <c r="I5" s="82">
        <f t="shared" si="1"/>
        <v>1077777.7777777778</v>
      </c>
    </row>
    <row r="6" spans="1:9" ht="15.75">
      <c r="A6" s="2">
        <v>5</v>
      </c>
      <c r="B6" s="83">
        <f>Assumptions!$C$44/12</f>
        <v>25000</v>
      </c>
      <c r="C6" s="83">
        <f>IF(A6&lt;=3,Assumptions!$C$45*0.6/3,Assumptions!$C$45*0.4/9)</f>
        <v>22222.222222222223</v>
      </c>
      <c r="D6" s="83">
        <f>IF(A6&gt;=7,Assumptions!$C$46/6,0)</f>
        <v>0</v>
      </c>
      <c r="E6" s="83">
        <f>IF(A6&gt;=10,Assumptions!$C$47/12,0)</f>
        <v>0</v>
      </c>
      <c r="F6" s="83">
        <f>IF(A6&gt;=6,Assumptions!$C$48/6,0)</f>
        <v>0</v>
      </c>
      <c r="G6" s="82">
        <v>0</v>
      </c>
      <c r="H6" s="83">
        <f t="shared" si="0"/>
        <v>47222.222222222219</v>
      </c>
      <c r="I6" s="82">
        <f t="shared" si="1"/>
        <v>1030555.5555555555</v>
      </c>
    </row>
    <row r="7" spans="1:9" ht="15.75">
      <c r="A7" s="2">
        <v>6</v>
      </c>
      <c r="B7" s="83">
        <f>Assumptions!$C$44/12</f>
        <v>25000</v>
      </c>
      <c r="C7" s="83">
        <f>IF(A7&lt;=3,Assumptions!$C$45*0.6/3,Assumptions!$C$45*0.4/9)</f>
        <v>22222.222222222223</v>
      </c>
      <c r="D7" s="83">
        <f>IF(A7&gt;=7,Assumptions!$C$46/6,0)</f>
        <v>0</v>
      </c>
      <c r="E7" s="83">
        <f>IF(A7&gt;=10,Assumptions!$C$47/12,0)</f>
        <v>0</v>
      </c>
      <c r="F7" s="83">
        <f>IF(A7&gt;=6,Assumptions!$C$48/6,0)</f>
        <v>25000</v>
      </c>
      <c r="G7" s="82">
        <v>0</v>
      </c>
      <c r="H7" s="83">
        <f t="shared" si="0"/>
        <v>72222.222222222219</v>
      </c>
      <c r="I7" s="82">
        <f t="shared" si="1"/>
        <v>958333.33333333326</v>
      </c>
    </row>
    <row r="8" spans="1:9" ht="15.75">
      <c r="A8" s="2">
        <v>7</v>
      </c>
      <c r="B8" s="83">
        <f>Assumptions!$C$44/12</f>
        <v>25000</v>
      </c>
      <c r="C8" s="83">
        <f>IF(A8&lt;=3,Assumptions!$C$45*0.6/3,Assumptions!$C$45*0.4/9)</f>
        <v>22222.222222222223</v>
      </c>
      <c r="D8" s="83">
        <f>IF(A8&gt;=7,Assumptions!$C$46/6,0)</f>
        <v>41666.666666666664</v>
      </c>
      <c r="E8" s="83">
        <f>IF(A8&gt;=10,Assumptions!$C$47/12,0)</f>
        <v>0</v>
      </c>
      <c r="F8" s="83">
        <f>IF(A8&gt;=6,Assumptions!$C$48/6,0)</f>
        <v>25000</v>
      </c>
      <c r="G8" s="82">
        <v>0</v>
      </c>
      <c r="H8" s="83">
        <f t="shared" si="0"/>
        <v>113888.88888888888</v>
      </c>
      <c r="I8" s="82">
        <f t="shared" si="1"/>
        <v>844444.44444444438</v>
      </c>
    </row>
    <row r="9" spans="1:9" ht="15.75">
      <c r="A9" s="2">
        <v>8</v>
      </c>
      <c r="B9" s="83">
        <f>Assumptions!$C$44/12</f>
        <v>25000</v>
      </c>
      <c r="C9" s="83">
        <f>IF(A9&lt;=3,Assumptions!$C$45*0.6/3,Assumptions!$C$45*0.4/9)</f>
        <v>22222.222222222223</v>
      </c>
      <c r="D9" s="83">
        <f>IF(A9&gt;=7,Assumptions!$C$46/6,0)</f>
        <v>41666.666666666664</v>
      </c>
      <c r="E9" s="83">
        <f>IF(A9&gt;=10,Assumptions!$C$47/12,0)</f>
        <v>0</v>
      </c>
      <c r="F9" s="83">
        <f>IF(A9&gt;=6,Assumptions!$C$48/6,0)</f>
        <v>25000</v>
      </c>
      <c r="G9" s="82">
        <v>0</v>
      </c>
      <c r="H9" s="83">
        <f t="shared" si="0"/>
        <v>113888.88888888888</v>
      </c>
      <c r="I9" s="82">
        <f t="shared" si="1"/>
        <v>730555.5555555555</v>
      </c>
    </row>
    <row r="10" spans="1:9" ht="15.75">
      <c r="A10" s="2">
        <v>9</v>
      </c>
      <c r="B10" s="83">
        <f>Assumptions!$C$44/12</f>
        <v>25000</v>
      </c>
      <c r="C10" s="83">
        <f>IF(A10&lt;=3,Assumptions!$C$45*0.6/3,Assumptions!$C$45*0.4/9)</f>
        <v>22222.222222222223</v>
      </c>
      <c r="D10" s="83">
        <f>IF(A10&gt;=7,Assumptions!$C$46/6,0)</f>
        <v>41666.666666666664</v>
      </c>
      <c r="E10" s="83">
        <f>IF(A10&gt;=10,Assumptions!$C$47/12,0)</f>
        <v>0</v>
      </c>
      <c r="F10" s="83">
        <f>IF(A10&gt;=6,Assumptions!$C$48/6,0)</f>
        <v>25000</v>
      </c>
      <c r="G10" s="82">
        <v>0</v>
      </c>
      <c r="H10" s="83">
        <f t="shared" si="0"/>
        <v>113888.88888888888</v>
      </c>
      <c r="I10" s="82">
        <f t="shared" si="1"/>
        <v>616666.66666666663</v>
      </c>
    </row>
    <row r="11" spans="1:9" ht="15.75">
      <c r="A11" s="2">
        <v>10</v>
      </c>
      <c r="B11" s="83">
        <f>Assumptions!$C$44/12</f>
        <v>25000</v>
      </c>
      <c r="C11" s="83">
        <f>IF(A11&lt;=3,Assumptions!$C$45*0.6/3,Assumptions!$C$45*0.4/9)</f>
        <v>22222.222222222223</v>
      </c>
      <c r="D11" s="83">
        <f>IF(A11&gt;=7,Assumptions!$C$46/6,0)</f>
        <v>41666.666666666664</v>
      </c>
      <c r="E11" s="83">
        <f>IF(A11&gt;=10,Assumptions!$C$47/12,0)</f>
        <v>12500</v>
      </c>
      <c r="F11" s="83">
        <f>IF(A11&gt;=6,Assumptions!$C$48/6,0)</f>
        <v>25000</v>
      </c>
      <c r="G11" s="82">
        <v>0</v>
      </c>
      <c r="H11" s="83">
        <f t="shared" si="0"/>
        <v>126388.88888888888</v>
      </c>
      <c r="I11" s="82">
        <f t="shared" si="1"/>
        <v>490277.77777777775</v>
      </c>
    </row>
    <row r="12" spans="1:9" ht="15.75">
      <c r="A12" s="2">
        <v>11</v>
      </c>
      <c r="B12" s="83">
        <f>Assumptions!$C$44/12</f>
        <v>25000</v>
      </c>
      <c r="C12" s="83">
        <f>IF(A12&lt;=3,Assumptions!$C$45*0.6/3,Assumptions!$C$45*0.4/9)</f>
        <v>22222.222222222223</v>
      </c>
      <c r="D12" s="83">
        <f>IF(A12&gt;=7,Assumptions!$C$46/6,0)</f>
        <v>41666.666666666664</v>
      </c>
      <c r="E12" s="83">
        <f>IF(A12&gt;=10,Assumptions!$C$47/12,0)</f>
        <v>12500</v>
      </c>
      <c r="F12" s="83">
        <f>IF(A12&gt;=6,Assumptions!$C$48/6,0)</f>
        <v>25000</v>
      </c>
      <c r="G12" s="82">
        <v>0</v>
      </c>
      <c r="H12" s="83">
        <f t="shared" si="0"/>
        <v>126388.88888888888</v>
      </c>
      <c r="I12" s="82">
        <f t="shared" si="1"/>
        <v>363888.88888888888</v>
      </c>
    </row>
    <row r="13" spans="1:9" ht="15.75">
      <c r="A13" s="2">
        <v>12</v>
      </c>
      <c r="B13" s="83">
        <f>Assumptions!$C$44/12</f>
        <v>25000</v>
      </c>
      <c r="C13" s="83">
        <f>IF(A13&lt;=3,Assumptions!$C$45*0.6/3,Assumptions!$C$45*0.4/9)</f>
        <v>22222.222222222223</v>
      </c>
      <c r="D13" s="83">
        <f>IF(A13&gt;=7,Assumptions!$C$46/6,0)</f>
        <v>41666.666666666664</v>
      </c>
      <c r="E13" s="83">
        <f>IF(A13&gt;=10,Assumptions!$C$47/12,0)</f>
        <v>12500</v>
      </c>
      <c r="F13" s="83">
        <f>IF(A13&gt;=6,Assumptions!$C$48/6,0)</f>
        <v>25000</v>
      </c>
      <c r="G13" s="82">
        <v>0</v>
      </c>
      <c r="H13" s="83">
        <f t="shared" si="0"/>
        <v>126388.88888888888</v>
      </c>
      <c r="I13" s="82">
        <f t="shared" si="1"/>
        <v>237500</v>
      </c>
    </row>
    <row r="14" spans="1:9">
      <c r="C14" s="84"/>
    </row>
    <row r="15" spans="1:9">
      <c r="C15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opLeftCell="F174" zoomScale="75" zoomScaleNormal="100" workbookViewId="0">
      <selection sqref="A1:Q229"/>
    </sheetView>
  </sheetViews>
  <sheetFormatPr defaultColWidth="11.5546875" defaultRowHeight="15.75"/>
  <cols>
    <col min="1" max="1" width="11.5546875" style="2"/>
    <col min="2" max="2" width="7.109375" style="2" bestFit="1" customWidth="1"/>
    <col min="3" max="3" width="9" style="2" bestFit="1" customWidth="1"/>
    <col min="4" max="4" width="11.6640625" style="29" bestFit="1" customWidth="1"/>
    <col min="5" max="5" width="10.77734375" style="29" bestFit="1" customWidth="1"/>
    <col min="6" max="6" width="21.44140625" style="29" customWidth="1"/>
    <col min="7" max="7" width="12.21875" style="29" bestFit="1" customWidth="1"/>
    <col min="8" max="8" width="16.6640625" style="2" bestFit="1" customWidth="1"/>
    <col min="9" max="9" width="17" style="17" bestFit="1" customWidth="1"/>
    <col min="10" max="10" width="20.21875" style="2" bestFit="1" customWidth="1"/>
    <col min="11" max="11" width="11.109375" style="2" bestFit="1" customWidth="1"/>
    <col min="12" max="12" width="16.44140625" style="2" bestFit="1" customWidth="1"/>
    <col min="13" max="14" width="16.44140625" style="2" customWidth="1"/>
    <col min="15" max="15" width="19.5546875" style="2" bestFit="1" customWidth="1"/>
    <col min="16" max="16" width="12.44140625" style="2" bestFit="1" customWidth="1"/>
    <col min="17" max="17" width="13.77734375" style="2" bestFit="1" customWidth="1"/>
    <col min="18" max="16384" width="11.5546875" style="2"/>
  </cols>
  <sheetData>
    <row r="1" spans="1:17" s="14" customFormat="1">
      <c r="A1" s="14" t="s">
        <v>127</v>
      </c>
      <c r="B1" s="14" t="s">
        <v>36</v>
      </c>
      <c r="C1" s="14" t="s">
        <v>37</v>
      </c>
      <c r="D1" s="45" t="s">
        <v>38</v>
      </c>
      <c r="E1" s="45" t="s">
        <v>39</v>
      </c>
      <c r="F1" s="45" t="s">
        <v>100</v>
      </c>
      <c r="G1" s="45" t="s">
        <v>40</v>
      </c>
      <c r="H1" s="14" t="s">
        <v>41</v>
      </c>
      <c r="I1" s="46" t="s">
        <v>42</v>
      </c>
      <c r="J1" s="47" t="s">
        <v>43</v>
      </c>
      <c r="K1" s="48" t="s">
        <v>28</v>
      </c>
      <c r="L1" s="48" t="s">
        <v>44</v>
      </c>
      <c r="M1" s="47" t="s">
        <v>118</v>
      </c>
      <c r="N1" s="48" t="s">
        <v>119</v>
      </c>
      <c r="O1" s="48" t="s">
        <v>125</v>
      </c>
      <c r="P1" s="47" t="s">
        <v>45</v>
      </c>
      <c r="Q1" s="47" t="s">
        <v>146</v>
      </c>
    </row>
    <row r="2" spans="1:17">
      <c r="A2" s="2">
        <f>+INT((B2-1)/12)+1</f>
        <v>1</v>
      </c>
      <c r="B2" s="2">
        <v>1</v>
      </c>
      <c r="C2" s="2" t="s">
        <v>89</v>
      </c>
      <c r="D2" s="62">
        <f>IF(
    B2 &lt; INDEX(Assumptions!$C$3:$C$7, MATCH(C2, {"Virginia","Florida","Texas","New York","California"}, 0)),
    0,
    IF(
        B2 = INDEX(Assumptions!$C$3:$C$7, MATCH(C2, {"Virginia","Florida","Texas","New York","California"}, 0)),
        IF(C2 = "Virginia", Assumptions!$C$13, Assumptions!$C$14),
        ROUND(
            (INDEX(Assumptions!$C$15:$C$19, MATCH(C2, {"Virginia","Florida","Texas","New York","California"}, 0)) * Assumptions!$C$9 -
            SUMIF(C1:C$2, C2, D$2:D2)) /
            (1 + EXP(-0.2 * (B2 - INDEX(Assumptions!$C$3:$C$7, MATCH(C2, {"Virginia","Florida","Texas","New York","California"}, 0)) - 30))),
            0
        )
    )
)</f>
        <v>50</v>
      </c>
      <c r="E2" s="62">
        <f>IF(B2&lt;INDEX(Assumptions!$C$3:$C$7, MATCH(C2, {"Virginia","Florida","Texas","New York","California"}, 0)),
    0,
    IF(F2=0,
        0,
        F2 * Assumptions!$C$12
    )
)</f>
        <v>0.20833333333333334</v>
      </c>
      <c r="F2" s="62" cm="1">
        <f t="array" ref="F2">IF(B2&lt;INDEX(Assumptions!$C$3:$C$7, MATCH(C2, {"Virginia","Florida","Texas","New York","California"}, 0)),
    0,
    IF(C2=C1,
        F1 + D2,
        IF(COUNTIF($C$2:C2, C2) = 1, D2, LOOKUP(2, 1/(C$1:C1=C2), F$1:F1) + D2)
    )
)</f>
        <v>50</v>
      </c>
      <c r="G2" s="62" cm="1">
        <f t="array" ref="G2">IF(B2&lt;INDEX(Assumptions!$C$3:$C$7, MATCH(C2, {"Virginia","Florida","Texas","New York","California"}, 0)),
    0,
    IF(C2=C1,
        G1 + D2 - E2,
        IF(COUNTIF($C$2:C2, C2) = 1, D2, LOOKUP(2, 1/(C$1:C1=C2), G$1:G1) + D2 - E2)
    )
)</f>
        <v>50</v>
      </c>
      <c r="H2" s="63">
        <f>IF(B2&lt;INDEX(Assumptions!$C$3:$C$7, MATCH(C2, {"Virginia","Florida","Texas","New York","California"}, 0)),
    0,
    (G2 / INDEX(Assumptions!$C$15:$C$19, MATCH(C2, {"Virginia","Florida","Texas","New York","California"}, 0)))
)</f>
        <v>1E-3</v>
      </c>
      <c r="I2" s="43">
        <f>G2*'Unit Economics'!$B$19* INDEX(Assumptions!$C$38:$C$42, MATCH(C2, {"Virginia","Florida","Texas","New York","California"}, 0))</f>
        <v>12039</v>
      </c>
      <c r="J2" s="43">
        <f>D2*Assumptions!$C$21*INDEX(Assumptions!$C$38:$C$42,MATCH(C2,{"Virginia","Florida","Texas","New York","California"},0))</f>
        <v>12797.5</v>
      </c>
      <c r="K2" s="43">
        <f>G2/Assumptions!$C$22*('Unit Economics'!$F$24+'Unit Economics'!$F$25+'Unit Economics'!$F$26)</f>
        <v>2384.1911764705883</v>
      </c>
      <c r="L2" s="43">
        <f>D2*Assumptions!$C$29</f>
        <v>9250</v>
      </c>
      <c r="M2" s="35">
        <f>G2*Assumptions!$C$27</f>
        <v>0</v>
      </c>
      <c r="N2" s="35">
        <f>G2*Assumptions!$C$28</f>
        <v>0</v>
      </c>
      <c r="O2" s="64">
        <f>IF( COUNTIF($B$2:B2, B2) = 1, MIN( Assumptions!$C$34 + INT(SUMIF($B$2:$B2, B2, G$2:G2) / 1000) * Assumptions!$C$37, Assumptions!$C$36 ), 0 )</f>
        <v>60000</v>
      </c>
      <c r="P2" s="53">
        <f>I2+J2+K2-L2-O2</f>
        <v>-42029.308823529413</v>
      </c>
      <c r="Q2" s="86">
        <f>Assumptions!C51+'Financial Projections'!P2</f>
        <v>195470.6911764706</v>
      </c>
    </row>
    <row r="3" spans="1:17">
      <c r="A3" s="2">
        <f t="shared" ref="A3:A66" si="0">+INT((B3-1)/12)+1</f>
        <v>1</v>
      </c>
      <c r="B3" s="2">
        <v>2</v>
      </c>
      <c r="C3" s="2" t="s">
        <v>89</v>
      </c>
      <c r="D3" s="62">
        <f>IF(
    B3 &lt; INDEX(Assumptions!$C$3:$C$7, MATCH(C3, {"Virginia","Florida","Texas","New York","California"}, 0)),
    0,
    IF(
        B3 = INDEX(Assumptions!$C$3:$C$7, MATCH(C3, {"Virginia","Florida","Texas","New York","California"}, 0)),
        IF(C3 = "Virginia", Assumptions!$C$13, Assumptions!$C$14),
        ROUND(
            (INDEX(Assumptions!$C$15:$C$19, MATCH(C3, {"Virginia","Florida","Texas","New York","California"}, 0)) * Assumptions!$C$9 -
            SUMIF(C2:C$2, C3, D$2:D3)) /
            (1 + EXP(-0.2 * (B3 - INDEX(Assumptions!$C$3:$C$7, MATCH(C3, {"Virginia","Florida","Texas","New York","California"}, 0)) - 30))),
            0
        )
    )
)</f>
        <v>12</v>
      </c>
      <c r="E3" s="62">
        <f>IF(B3&lt;INDEX(Assumptions!$C$3:$C$7, MATCH(C3, {"Virginia","Florida","Texas","New York","California"}, 0)),
    0,
    IF(F3=0,
        0,
        F3 * Assumptions!$C$12
    )
)</f>
        <v>0.2583333333333333</v>
      </c>
      <c r="F3" s="62" cm="1">
        <f t="array" ref="F3">IF(B3&lt;INDEX(Assumptions!$C$3:$C$7, MATCH(C3, {"Virginia","Florida","Texas","New York","California"}, 0)),
    0,
    IF(C3=C2,
        F2 + D3,
        IF(COUNTIF($C$2:C3, C3) = 1, D3, LOOKUP(2, 1/(C$1:C2=C3), F$1:F2) + D3)
    )
)</f>
        <v>62</v>
      </c>
      <c r="G3" s="62" cm="1">
        <f t="array" ref="G3">IF(B3&lt;INDEX(Assumptions!$C$3:$C$7, MATCH(C3, {"Virginia","Florida","Texas","New York","California"}, 0)),
    0,
    IF(C3=C2,
        G2 + D3 - E3,
        IF(COUNTIF($C$2:C3, C3) = 1, D3, LOOKUP(2, 1/(C$1:C2=C3), G$1:G2) + D3 - E3)
    )
)</f>
        <v>61.741666666666667</v>
      </c>
      <c r="H3" s="63">
        <f>IF(B3&lt;INDEX(Assumptions!$C$3:$C$7, MATCH(C3, {"Virginia","Florida","Texas","New York","California"}, 0)),
    0,
    (G3 / INDEX(Assumptions!$C$15:$C$19, MATCH(C3, {"Virginia","Florida","Texas","New York","California"}, 0)))
)</f>
        <v>1.2348333333333334E-3</v>
      </c>
      <c r="I3" s="43">
        <f>G3*'Unit Economics'!$B$19* INDEX(Assumptions!$C$38:$C$42, MATCH(C3, {"Virginia","Florida","Texas","New York","California"}, 0))</f>
        <v>14866.1585</v>
      </c>
      <c r="J3" s="43">
        <f>D3*Assumptions!$C$21*INDEX(Assumptions!$C$38:$C$42,MATCH(C3,{"Virginia","Florida","Texas","New York","California"},0))</f>
        <v>3071.3999999999996</v>
      </c>
      <c r="K3" s="43">
        <f>G3/Assumptions!$C$22*('Unit Economics'!$F$24+'Unit Economics'!$F$25+'Unit Economics'!$F$26)</f>
        <v>2944.0787377450984</v>
      </c>
      <c r="L3" s="43">
        <f>D3*Assumptions!$C$29</f>
        <v>2220</v>
      </c>
      <c r="M3" s="35">
        <f>G3*Assumptions!$C$27</f>
        <v>0</v>
      </c>
      <c r="N3" s="35">
        <f>G3*Assumptions!$C$28</f>
        <v>0</v>
      </c>
      <c r="O3" s="64">
        <f>IF( COUNTIF($B$2:B3, B3) = 1, MIN( Assumptions!$C$34 + INT(SUMIF($B$2:$B3, B3, G$2:G3) / 1000) * Assumptions!$C$37, Assumptions!$C$36 ), 0 )</f>
        <v>60000</v>
      </c>
      <c r="P3" s="53">
        <f t="shared" ref="P3:P66" si="1">I3+J3+K3-L3-O3</f>
        <v>-41338.362762254903</v>
      </c>
      <c r="Q3" s="52">
        <f>Q2+P3</f>
        <v>154132.32841421571</v>
      </c>
    </row>
    <row r="4" spans="1:17">
      <c r="A4" s="2">
        <f t="shared" si="0"/>
        <v>1</v>
      </c>
      <c r="B4" s="2">
        <v>3</v>
      </c>
      <c r="C4" s="2" t="s">
        <v>89</v>
      </c>
      <c r="D4" s="62">
        <f>IF(
    B4 &lt; INDEX(Assumptions!$C$3:$C$7, MATCH(C4, {"Virginia","Florida","Texas","New York","California"}, 0)),
    0,
    IF(
        B4 = INDEX(Assumptions!$C$3:$C$7, MATCH(C4, {"Virginia","Florida","Texas","New York","California"}, 0)),
        IF(C4 = "Virginia", Assumptions!$C$13, Assumptions!$C$14),
        ROUND(
            (INDEX(Assumptions!$C$15:$C$19, MATCH(C4, {"Virginia","Florida","Texas","New York","California"}, 0)) * Assumptions!$C$9 -
            SUMIF(C$2:C3, C4, D$2:D4)) /
            (1 + EXP(-0.2 * (B4 - INDEX(Assumptions!$C$3:$C$7, MATCH(C4, {"Virginia","Florida","Texas","New York","California"}, 0)) - 30))),
            0
        )
    )
)</f>
        <v>15</v>
      </c>
      <c r="E4" s="62">
        <f>IF(B4&lt;INDEX(Assumptions!$C$3:$C$7, MATCH(C4, {"Virginia","Florida","Texas","New York","California"}, 0)),
    0,
    IF(F4=0,
        0,
        F4 * Assumptions!$C$12
    )
)</f>
        <v>0.3208333333333333</v>
      </c>
      <c r="F4" s="62" cm="1">
        <f t="array" ref="F4">IF(B4&lt;INDEX(Assumptions!$C$3:$C$7, MATCH(C4, {"Virginia","Florida","Texas","New York","California"}, 0)),
    0,
    IF(C4=C3,
        F3 + D4,
        IF(COUNTIF($C$2:C4, C4) = 1, D4, LOOKUP(2, 1/(C$1:C3=C4), F$1:F3) + D4)
    )
)</f>
        <v>77</v>
      </c>
      <c r="G4" s="62" cm="1">
        <f t="array" ref="G4">IF(B4&lt;INDEX(Assumptions!$C$3:$C$7, MATCH(C4, {"Virginia","Florida","Texas","New York","California"}, 0)),
    0,
    IF(C4=C3,
        G3 + D4 - E4,
        IF(COUNTIF($C$2:C4, C4) = 1, D4, LOOKUP(2, 1/(C$1:C3=C4), G$1:G3) + D4 - E4)
    )
)</f>
        <v>76.420833333333334</v>
      </c>
      <c r="H4" s="63">
        <f>IF(B4&lt;INDEX(Assumptions!$C$3:$C$7, MATCH(C4, {"Virginia","Florida","Texas","New York","California"}, 0)),
    0,
    (G4 / INDEX(Assumptions!$C$15:$C$19, MATCH(C4, {"Virginia","Florida","Texas","New York","California"}, 0)))
)</f>
        <v>1.5284166666666666E-3</v>
      </c>
      <c r="I4" s="43">
        <f>G4*'Unit Economics'!$B$19* INDEX(Assumptions!$C$38:$C$42, MATCH(C4, {"Virginia","Florida","Texas","New York","California"}, 0))</f>
        <v>18400.608250000001</v>
      </c>
      <c r="J4" s="43">
        <f>D4*Assumptions!$C$21*INDEX(Assumptions!$C$38:$C$42,MATCH(C4,{"Virginia","Florida","Texas","New York","California"},0))</f>
        <v>3839.25</v>
      </c>
      <c r="K4" s="43">
        <f>G4/Assumptions!$C$22*('Unit Economics'!$F$24+'Unit Economics'!$F$25+'Unit Economics'!$F$26)</f>
        <v>3644.0375306372557</v>
      </c>
      <c r="L4" s="43">
        <f>D4*Assumptions!$C$29</f>
        <v>2775</v>
      </c>
      <c r="M4" s="35">
        <f>G4*Assumptions!$C$27</f>
        <v>0</v>
      </c>
      <c r="N4" s="35">
        <f>G4*Assumptions!$C$28</f>
        <v>0</v>
      </c>
      <c r="O4" s="64">
        <f>IF( COUNTIF($B$2:B4, B4) = 1, MIN( Assumptions!$C$34 + INT(SUMIF($B$2:$B4, B4, G$2:G4) / 1000) * Assumptions!$C$37, Assumptions!$C$36 ), 0 )</f>
        <v>60000</v>
      </c>
      <c r="P4" s="53">
        <f t="shared" si="1"/>
        <v>-36891.104219362744</v>
      </c>
      <c r="Q4" s="52">
        <f t="shared" ref="Q4:Q67" si="2">Q3+P4</f>
        <v>117241.22419485296</v>
      </c>
    </row>
    <row r="5" spans="1:17">
      <c r="A5" s="2">
        <f t="shared" si="0"/>
        <v>1</v>
      </c>
      <c r="B5" s="2">
        <v>4</v>
      </c>
      <c r="C5" s="2" t="s">
        <v>89</v>
      </c>
      <c r="D5" s="62">
        <f>IF(
    B5 &lt; INDEX(Assumptions!$C$3:$C$7, MATCH(C5, {"Virginia","Florida","Texas","New York","California"}, 0)),
    0,
    IF(
        B5 = INDEX(Assumptions!$C$3:$C$7, MATCH(C5, {"Virginia","Florida","Texas","New York","California"}, 0)),
        IF(C5 = "Virginia", Assumptions!$C$13, Assumptions!$C$14),
        ROUND(
            (INDEX(Assumptions!$C$15:$C$19, MATCH(C5, {"Virginia","Florida","Texas","New York","California"}, 0)) * Assumptions!$C$9 -
            SUMIF(C$2:C4, C5, D$2:D5)) /
            (1 + EXP(-0.2 * (B5 - INDEX(Assumptions!$C$3:$C$7, MATCH(C5, {"Virginia","Florida","Texas","New York","California"}, 0)) - 30))),
            0
        )
    )
)</f>
        <v>18</v>
      </c>
      <c r="E5" s="62">
        <f>IF(B5&lt;INDEX(Assumptions!$C$3:$C$7, MATCH(C5, {"Virginia","Florida","Texas","New York","California"}, 0)),
    0,
    IF(F5=0,
        0,
        F5 * Assumptions!$C$12
    )
)</f>
        <v>0.39583333333333331</v>
      </c>
      <c r="F5" s="62" cm="1">
        <f t="array" ref="F5">IF(B5&lt;INDEX(Assumptions!$C$3:$C$7, MATCH(C5, {"Virginia","Florida","Texas","New York","California"}, 0)),
    0,
    IF(C5=C4,
        F4 + D5,
        IF(COUNTIF($C$2:C5, C5) = 1, D5, LOOKUP(2, 1/(C$1:C4=C5), F$1:F4) + D5)
    )
)</f>
        <v>95</v>
      </c>
      <c r="G5" s="62" cm="1">
        <f t="array" ref="G5">IF(B5&lt;INDEX(Assumptions!$C$3:$C$7, MATCH(C5, {"Virginia","Florida","Texas","New York","California"}, 0)),
    0,
    IF(C5=C4,
        G4 + D5 - E5,
        IF(COUNTIF($C$2:C5, C5) = 1, D5, LOOKUP(2, 1/(C$1:C4=C5), G$1:G4) + D5 - E5)
    )
)</f>
        <v>94.025000000000006</v>
      </c>
      <c r="H5" s="63">
        <f>IF(B5&lt;INDEX(Assumptions!$C$3:$C$7, MATCH(C5, {"Virginia","Florida","Texas","New York","California"}, 0)),
    0,
    (G5 / INDEX(Assumptions!$C$15:$C$19, MATCH(C5, {"Virginia","Florida","Texas","New York","California"}, 0)))
)</f>
        <v>1.8805E-3</v>
      </c>
      <c r="I5" s="43">
        <f>G5*'Unit Economics'!$B$19* INDEX(Assumptions!$C$38:$C$42, MATCH(C5, {"Virginia","Florida","Texas","New York","California"}, 0))</f>
        <v>22639.339500000002</v>
      </c>
      <c r="J5" s="43">
        <f>D5*Assumptions!$C$21*INDEX(Assumptions!$C$38:$C$42,MATCH(C5,{"Virginia","Florida","Texas","New York","California"},0))</f>
        <v>4607.0999999999995</v>
      </c>
      <c r="K5" s="43">
        <f>G5/Assumptions!$C$22*('Unit Economics'!$F$24+'Unit Economics'!$F$25+'Unit Economics'!$F$26)</f>
        <v>4483.4715073529424</v>
      </c>
      <c r="L5" s="43">
        <f>D5*Assumptions!$C$29</f>
        <v>3330</v>
      </c>
      <c r="M5" s="35">
        <f>G5*Assumptions!$C$27</f>
        <v>0</v>
      </c>
      <c r="N5" s="35">
        <f>G5*Assumptions!$C$28</f>
        <v>0</v>
      </c>
      <c r="O5" s="64">
        <f>IF( COUNTIF($B$2:B5, B5) = 1, MIN( Assumptions!$C$34 + INT(SUMIF($B$2:$B5, B5, G$2:G5) / 1000) * Assumptions!$C$37, Assumptions!$C$36 ), 0 )</f>
        <v>60000</v>
      </c>
      <c r="P5" s="53">
        <f t="shared" si="1"/>
        <v>-31600.088992647055</v>
      </c>
      <c r="Q5" s="52">
        <f t="shared" si="2"/>
        <v>85641.1352022059</v>
      </c>
    </row>
    <row r="6" spans="1:17">
      <c r="A6" s="2">
        <f t="shared" si="0"/>
        <v>1</v>
      </c>
      <c r="B6" s="2">
        <v>5</v>
      </c>
      <c r="C6" s="2" t="s">
        <v>89</v>
      </c>
      <c r="D6" s="62">
        <f>IF(
    B6 &lt; INDEX(Assumptions!$C$3:$C$7, MATCH(C6, {"Virginia","Florida","Texas","New York","California"}, 0)),
    0,
    IF(
        B6 = INDEX(Assumptions!$C$3:$C$7, MATCH(C6, {"Virginia","Florida","Texas","New York","California"}, 0)),
        IF(C6 = "Virginia", Assumptions!$C$13, Assumptions!$C$14),
        ROUND(
            (INDEX(Assumptions!$C$15:$C$19, MATCH(C6, {"Virginia","Florida","Texas","New York","California"}, 0)) * Assumptions!$C$9 -
            SUMIF(C$2:C5, C6, D$2:D6)) /
            (1 + EXP(-0.2 * (B6 - INDEX(Assumptions!$C$3:$C$7, MATCH(C6, {"Virginia","Florida","Texas","New York","California"}, 0)) - 30))),
            0
        )
    )
)</f>
        <v>21</v>
      </c>
      <c r="E6" s="62">
        <f>IF(B6&lt;INDEX(Assumptions!$C$3:$C$7, MATCH(C6, {"Virginia","Florida","Texas","New York","California"}, 0)),
    0,
    IF(F6=0,
        0,
        F6 * Assumptions!$C$12
    )
)</f>
        <v>0.48333333333333334</v>
      </c>
      <c r="F6" s="62" cm="1">
        <f t="array" ref="F6">IF(B6&lt;INDEX(Assumptions!$C$3:$C$7, MATCH(C6, {"Virginia","Florida","Texas","New York","California"}, 0)),
    0,
    IF(C6=C5,
        F5 + D6,
        IF(COUNTIF($C$2:C6, C6) = 1, D6, LOOKUP(2, 1/(C$1:C5=C6), F$1:F5) + D6)
    )
)</f>
        <v>116</v>
      </c>
      <c r="G6" s="62" cm="1">
        <f t="array" ref="G6">IF(B6&lt;INDEX(Assumptions!$C$3:$C$7, MATCH(C6, {"Virginia","Florida","Texas","New York","California"}, 0)),
    0,
    IF(C6=C5,
        G5 + D6 - E6,
        IF(COUNTIF($C$2:C6, C6) = 1, D6, LOOKUP(2, 1/(C$1:C5=C6), G$1:G5) + D6 - E6)
    )
)</f>
        <v>114.54166666666667</v>
      </c>
      <c r="H6" s="63">
        <f>IF(B6&lt;INDEX(Assumptions!$C$3:$C$7, MATCH(C6, {"Virginia","Florida","Texas","New York","California"}, 0)),
    0,
    (G6 / INDEX(Assumptions!$C$15:$C$19, MATCH(C6, {"Virginia","Florida","Texas","New York","California"}, 0)))
)</f>
        <v>2.2908333333333335E-3</v>
      </c>
      <c r="I6" s="43">
        <f>G6*'Unit Economics'!$B$19* INDEX(Assumptions!$C$38:$C$42, MATCH(C6, {"Virginia","Florida","Texas","New York","California"}, 0))</f>
        <v>27579.342500000002</v>
      </c>
      <c r="J6" s="43">
        <f>D6*Assumptions!$C$21*INDEX(Assumptions!$C$38:$C$42,MATCH(C6,{"Virginia","Florida","Texas","New York","California"},0))</f>
        <v>5374.95</v>
      </c>
      <c r="K6" s="43">
        <f>G6/Assumptions!$C$22*('Unit Economics'!$F$24+'Unit Economics'!$F$25+'Unit Economics'!$F$26)</f>
        <v>5461.7846200980403</v>
      </c>
      <c r="L6" s="43">
        <f>D6*Assumptions!$C$29</f>
        <v>3885</v>
      </c>
      <c r="M6" s="35">
        <f>G6*Assumptions!$C$27</f>
        <v>0</v>
      </c>
      <c r="N6" s="35">
        <f>G6*Assumptions!$C$28</f>
        <v>0</v>
      </c>
      <c r="O6" s="64">
        <f>IF( COUNTIF($B$2:B6, B6) = 1, MIN( Assumptions!$C$34 + INT(SUMIF($B$2:$B6, B6, G$2:G6) / 1000) * Assumptions!$C$37, Assumptions!$C$36 ), 0 )</f>
        <v>60000</v>
      </c>
      <c r="P6" s="53">
        <f t="shared" si="1"/>
        <v>-25468.922879901955</v>
      </c>
      <c r="Q6" s="52">
        <f t="shared" si="2"/>
        <v>60172.212322303945</v>
      </c>
    </row>
    <row r="7" spans="1:17">
      <c r="A7" s="2">
        <f t="shared" si="0"/>
        <v>1</v>
      </c>
      <c r="B7" s="2">
        <v>6</v>
      </c>
      <c r="C7" s="2" t="s">
        <v>89</v>
      </c>
      <c r="D7" s="62">
        <f>IF(
    B7 &lt; INDEX(Assumptions!$C$3:$C$7, MATCH(C7, {"Virginia","Florida","Texas","New York","California"}, 0)),
    0,
    IF(
        B7 = INDEX(Assumptions!$C$3:$C$7, MATCH(C7, {"Virginia","Florida","Texas","New York","California"}, 0)),
        IF(C7 = "Virginia", Assumptions!$C$13, Assumptions!$C$14),
        ROUND(
            (INDEX(Assumptions!$C$15:$C$19, MATCH(C7, {"Virginia","Florida","Texas","New York","California"}, 0)) * Assumptions!$C$9 -
            SUMIF(C$2:C6, C7, D$2:D7)) /
            (1 + EXP(-0.2 * (B7 - INDEX(Assumptions!$C$3:$C$7, MATCH(C7, {"Virginia","Florida","Texas","New York","California"}, 0)) - 30))),
            0
        )
    )
)</f>
        <v>26</v>
      </c>
      <c r="E7" s="62">
        <f>IF(B7&lt;INDEX(Assumptions!$C$3:$C$7, MATCH(C7, {"Virginia","Florida","Texas","New York","California"}, 0)),
    0,
    IF(F7=0,
        0,
        F7 * Assumptions!$C$12
    )
)</f>
        <v>0.59166666666666667</v>
      </c>
      <c r="F7" s="62" cm="1">
        <f t="array" ref="F7">IF(B7&lt;INDEX(Assumptions!$C$3:$C$7, MATCH(C7, {"Virginia","Florida","Texas","New York","California"}, 0)),
    0,
    IF(C7=C6,
        F6 + D7,
        IF(COUNTIF($C$2:C7, C7) = 1, D7, LOOKUP(2, 1/(C$1:C6=C7), F$1:F6) + D7)
    )
)</f>
        <v>142</v>
      </c>
      <c r="G7" s="62" cm="1">
        <f t="array" ref="G7">IF(B7&lt;INDEX(Assumptions!$C$3:$C$7, MATCH(C7, {"Virginia","Florida","Texas","New York","California"}, 0)),
    0,
    IF(C7=C6,
        G6 + D7 - E7,
        IF(COUNTIF($C$2:C7, C7) = 1, D7, LOOKUP(2, 1/(C$1:C6=C7), G$1:G6) + D7 - E7)
    )
)</f>
        <v>139.95000000000002</v>
      </c>
      <c r="H7" s="63">
        <f>IF(B7&lt;INDEX(Assumptions!$C$3:$C$7, MATCH(C7, {"Virginia","Florida","Texas","New York","California"}, 0)),
    0,
    (G7 / INDEX(Assumptions!$C$15:$C$19, MATCH(C7, {"Virginia","Florida","Texas","New York","California"}, 0)))
)</f>
        <v>2.7990000000000003E-3</v>
      </c>
      <c r="I7" s="43">
        <f>G7*'Unit Economics'!$B$19* INDEX(Assumptions!$C$38:$C$42, MATCH(C7, {"Virginia","Florida","Texas","New York","California"}, 0))</f>
        <v>33697.161000000007</v>
      </c>
      <c r="J7" s="43">
        <f>D7*Assumptions!$C$21*INDEX(Assumptions!$C$38:$C$42,MATCH(C7,{"Virginia","Florida","Texas","New York","California"},0))</f>
        <v>6654.7</v>
      </c>
      <c r="K7" s="43">
        <f>G7/Assumptions!$C$22*('Unit Economics'!$F$24+'Unit Economics'!$F$25+'Unit Economics'!$F$26)</f>
        <v>6673.3511029411775</v>
      </c>
      <c r="L7" s="43">
        <f>D7*Assumptions!$C$29</f>
        <v>4810</v>
      </c>
      <c r="M7" s="35">
        <f>G7*Assumptions!$C$27</f>
        <v>0</v>
      </c>
      <c r="N7" s="35">
        <f>G7*Assumptions!$C$28</f>
        <v>0</v>
      </c>
      <c r="O7" s="64">
        <f>IF( COUNTIF($B$2:B7, B7) = 1, MIN( Assumptions!$C$34 + INT(SUMIF($B$2:$B7, B7, G$2:G7) / 1000) * Assumptions!$C$37, Assumptions!$C$36 ), 0 )</f>
        <v>60000</v>
      </c>
      <c r="P7" s="53">
        <f t="shared" si="1"/>
        <v>-17784.787897058821</v>
      </c>
      <c r="Q7" s="52">
        <f t="shared" si="2"/>
        <v>42387.424425245124</v>
      </c>
    </row>
    <row r="8" spans="1:17">
      <c r="A8" s="2">
        <f t="shared" si="0"/>
        <v>1</v>
      </c>
      <c r="B8" s="2">
        <v>7</v>
      </c>
      <c r="C8" s="2" t="s">
        <v>89</v>
      </c>
      <c r="D8" s="62">
        <f>IF(
    B8 &lt; INDEX(Assumptions!$C$3:$C$7, MATCH(C8, {"Virginia","Florida","Texas","New York","California"}, 0)),
    0,
    IF(
        B8 = INDEX(Assumptions!$C$3:$C$7, MATCH(C8, {"Virginia","Florida","Texas","New York","California"}, 0)),
        IF(C8 = "Virginia", Assumptions!$C$13, Assumptions!$C$14),
        ROUND(
            (INDEX(Assumptions!$C$15:$C$19, MATCH(C8, {"Virginia","Florida","Texas","New York","California"}, 0)) * Assumptions!$C$9 -
            SUMIF(C$2:C7, C8, D$2:D8)) /
            (1 + EXP(-0.2 * (B8 - INDEX(Assumptions!$C$3:$C$7, MATCH(C8, {"Virginia","Florida","Texas","New York","California"}, 0)) - 30))),
            0
        )
    )
)</f>
        <v>31</v>
      </c>
      <c r="E8" s="62">
        <f>IF(B8&lt;INDEX(Assumptions!$C$3:$C$7, MATCH(C8, {"Virginia","Florida","Texas","New York","California"}, 0)),
    0,
    IF(F8=0,
        0,
        F8 * Assumptions!$C$12
    )
)</f>
        <v>0.72083333333333333</v>
      </c>
      <c r="F8" s="62" cm="1">
        <f t="array" ref="F8">IF(B8&lt;INDEX(Assumptions!$C$3:$C$7, MATCH(C8, {"Virginia","Florida","Texas","New York","California"}, 0)),
    0,
    IF(C8=C7,
        F7 + D8,
        IF(COUNTIF($C$2:C8, C8) = 1, D8, LOOKUP(2, 1/(C$1:C7=C8), F$1:F7) + D8)
    )
)</f>
        <v>173</v>
      </c>
      <c r="G8" s="62" cm="1">
        <f t="array" ref="G8">IF(B8&lt;INDEX(Assumptions!$C$3:$C$7, MATCH(C8, {"Virginia","Florida","Texas","New York","California"}, 0)),
    0,
    IF(C8=C7,
        G7 + D8 - E8,
        IF(COUNTIF($C$2:C8, C8) = 1, D8, LOOKUP(2, 1/(C$1:C7=C8), G$1:G7) + D8 - E8)
    )
)</f>
        <v>170.22916666666669</v>
      </c>
      <c r="H8" s="63">
        <f>IF(B8&lt;INDEX(Assumptions!$C$3:$C$7, MATCH(C8, {"Virginia","Florida","Texas","New York","California"}, 0)),
    0,
    (G8 / INDEX(Assumptions!$C$15:$C$19, MATCH(C8, {"Virginia","Florida","Texas","New York","California"}, 0)))
)</f>
        <v>3.4045833333333337E-3</v>
      </c>
      <c r="I8" s="43">
        <f>G8*'Unit Economics'!$B$19* INDEX(Assumptions!$C$38:$C$42, MATCH(C8, {"Virginia","Florida","Texas","New York","California"}, 0))</f>
        <v>40987.778750000005</v>
      </c>
      <c r="J8" s="43">
        <f>D8*Assumptions!$C$21*INDEX(Assumptions!$C$38:$C$42,MATCH(C8,{"Virginia","Florida","Texas","New York","California"},0))</f>
        <v>7934.45</v>
      </c>
      <c r="K8" s="43">
        <f>G8/Assumptions!$C$22*('Unit Economics'!$F$24+'Unit Economics'!$F$25+'Unit Economics'!$F$26)</f>
        <v>8117.1775428921583</v>
      </c>
      <c r="L8" s="43">
        <f>D8*Assumptions!$C$29</f>
        <v>5735</v>
      </c>
      <c r="M8" s="35">
        <f>G8*Assumptions!$C$27</f>
        <v>0</v>
      </c>
      <c r="N8" s="35">
        <f>G8*Assumptions!$C$28</f>
        <v>0</v>
      </c>
      <c r="O8" s="64">
        <f>IF( COUNTIF($B$2:B8, B8) = 1, MIN( Assumptions!$C$34 + INT(SUMIF($B$2:$B8, B8, G$2:G8) / 1000) * Assumptions!$C$37, Assumptions!$C$36 ), 0 )</f>
        <v>60000</v>
      </c>
      <c r="P8" s="53">
        <f t="shared" si="1"/>
        <v>-8695.593707107837</v>
      </c>
      <c r="Q8" s="52">
        <f t="shared" si="2"/>
        <v>33691.830718137287</v>
      </c>
    </row>
    <row r="9" spans="1:17">
      <c r="A9" s="2">
        <f t="shared" si="0"/>
        <v>1</v>
      </c>
      <c r="B9" s="2">
        <v>8</v>
      </c>
      <c r="C9" s="2" t="s">
        <v>89</v>
      </c>
      <c r="D9" s="62">
        <f>IF(
    B9 &lt; INDEX(Assumptions!$C$3:$C$7, MATCH(C9, {"Virginia","Florida","Texas","New York","California"}, 0)),
    0,
    IF(
        B9 = INDEX(Assumptions!$C$3:$C$7, MATCH(C9, {"Virginia","Florida","Texas","New York","California"}, 0)),
        IF(C9 = "Virginia", Assumptions!$C$13, Assumptions!$C$14),
        ROUND(
            (INDEX(Assumptions!$C$15:$C$19, MATCH(C9, {"Virginia","Florida","Texas","New York","California"}, 0)) * Assumptions!$C$9 -
            SUMIF(C$2:C8, C9, D$2:D9)) /
            (1 + EXP(-0.2 * (B9 - INDEX(Assumptions!$C$3:$C$7, MATCH(C9, {"Virginia","Florida","Texas","New York","California"}, 0)) - 30))),
            0
        )
    )
)</f>
        <v>38</v>
      </c>
      <c r="E9" s="62">
        <f>IF(B9&lt;INDEX(Assumptions!$C$3:$C$7, MATCH(C9, {"Virginia","Florida","Texas","New York","California"}, 0)),
    0,
    IF(F9=0,
        0,
        F9 * Assumptions!$C$12
    )
)</f>
        <v>0.87916666666666665</v>
      </c>
      <c r="F9" s="62" cm="1">
        <f t="array" ref="F9">IF(B9&lt;INDEX(Assumptions!$C$3:$C$7, MATCH(C9, {"Virginia","Florida","Texas","New York","California"}, 0)),
    0,
    IF(C9=C8,
        F8 + D9,
        IF(COUNTIF($C$2:C9, C9) = 1, D9, LOOKUP(2, 1/(C$1:C8=C9), F$1:F8) + D9)
    )
)</f>
        <v>211</v>
      </c>
      <c r="G9" s="62" cm="1">
        <f t="array" ref="G9">IF(B9&lt;INDEX(Assumptions!$C$3:$C$7, MATCH(C9, {"Virginia","Florida","Texas","New York","California"}, 0)),
    0,
    IF(C9=C8,
        G8 + D9 - E9,
        IF(COUNTIF($C$2:C9, C9) = 1, D9, LOOKUP(2, 1/(C$1:C8=C9), G$1:G8) + D9 - E9)
    )
)</f>
        <v>207.35000000000002</v>
      </c>
      <c r="H9" s="63">
        <f>IF(B9&lt;INDEX(Assumptions!$C$3:$C$7, MATCH(C9, {"Virginia","Florida","Texas","New York","California"}, 0)),
    0,
    (G9 / INDEX(Assumptions!$C$15:$C$19, MATCH(C9, {"Virginia","Florida","Texas","New York","California"}, 0)))
)</f>
        <v>4.1470000000000005E-3</v>
      </c>
      <c r="I9" s="43">
        <f>G9*'Unit Economics'!$B$19* INDEX(Assumptions!$C$38:$C$42, MATCH(C9, {"Virginia","Florida","Texas","New York","California"}, 0))</f>
        <v>49925.733000000007</v>
      </c>
      <c r="J9" s="43">
        <f>D9*Assumptions!$C$21*INDEX(Assumptions!$C$38:$C$42,MATCH(C9,{"Virginia","Florida","Texas","New York","California"},0))</f>
        <v>9726.1</v>
      </c>
      <c r="K9" s="43">
        <f>G9/Assumptions!$C$22*('Unit Economics'!$F$24+'Unit Economics'!$F$25+'Unit Economics'!$F$26)</f>
        <v>9887.2408088235316</v>
      </c>
      <c r="L9" s="43">
        <f>D9*Assumptions!$C$29</f>
        <v>7030</v>
      </c>
      <c r="M9" s="35">
        <f>G9*Assumptions!$C$27</f>
        <v>0</v>
      </c>
      <c r="N9" s="35">
        <f>G9*Assumptions!$C$28</f>
        <v>0</v>
      </c>
      <c r="O9" s="64">
        <f>IF( COUNTIF($B$2:B9, B9) = 1, MIN( Assumptions!$C$34 + INT(SUMIF($B$2:$B9, B9, G$2:G9) / 1000) * Assumptions!$C$37, Assumptions!$C$36 ), 0 )</f>
        <v>60000</v>
      </c>
      <c r="P9" s="53">
        <f t="shared" si="1"/>
        <v>2509.0738088235375</v>
      </c>
      <c r="Q9" s="52">
        <f t="shared" si="2"/>
        <v>36200.904526960825</v>
      </c>
    </row>
    <row r="10" spans="1:17">
      <c r="A10" s="2">
        <f t="shared" si="0"/>
        <v>1</v>
      </c>
      <c r="B10" s="2">
        <v>9</v>
      </c>
      <c r="C10" s="2" t="s">
        <v>89</v>
      </c>
      <c r="D10" s="62">
        <f>IF(
    B10 &lt; INDEX(Assumptions!$C$3:$C$7, MATCH(C10, {"Virginia","Florida","Texas","New York","California"}, 0)),
    0,
    IF(
        B10 = INDEX(Assumptions!$C$3:$C$7, MATCH(C10, {"Virginia","Florida","Texas","New York","California"}, 0)),
        IF(C10 = "Virginia", Assumptions!$C$13, Assumptions!$C$14),
        ROUND(
            (INDEX(Assumptions!$C$15:$C$19, MATCH(C10, {"Virginia","Florida","Texas","New York","California"}, 0)) * Assumptions!$C$9 -
            SUMIF(C$2:C9, C10, D$2:D10)) /
            (1 + EXP(-0.2 * (B10 - INDEX(Assumptions!$C$3:$C$7, MATCH(C10, {"Virginia","Florida","Texas","New York","California"}, 0)) - 30))),
            0
        )
    )
)</f>
        <v>46</v>
      </c>
      <c r="E10" s="62">
        <f>IF(B10&lt;INDEX(Assumptions!$C$3:$C$7, MATCH(C10, {"Virginia","Florida","Texas","New York","California"}, 0)),
    0,
    IF(F10=0,
        0,
        F10 * Assumptions!$C$12
    )
)</f>
        <v>1.0708333333333333</v>
      </c>
      <c r="F10" s="62" cm="1">
        <f t="array" ref="F10">IF(B10&lt;INDEX(Assumptions!$C$3:$C$7, MATCH(C10, {"Virginia","Florida","Texas","New York","California"}, 0)),
    0,
    IF(C10=C9,
        F9 + D10,
        IF(COUNTIF($C$2:C10, C10) = 1, D10, LOOKUP(2, 1/(C$1:C9=C10), F$1:F9) + D10)
    )
)</f>
        <v>257</v>
      </c>
      <c r="G10" s="62" cm="1">
        <f t="array" ref="G10">IF(B10&lt;INDEX(Assumptions!$C$3:$C$7, MATCH(C10, {"Virginia","Florida","Texas","New York","California"}, 0)),
    0,
    IF(C10=C9,
        G9 + D10 - E10,
        IF(COUNTIF($C$2:C10, C10) = 1, D10, LOOKUP(2, 1/(C$1:C9=C10), G$1:G9) + D10 - E10)
    )
)</f>
        <v>252.2791666666667</v>
      </c>
      <c r="H10" s="63">
        <f>IF(B10&lt;INDEX(Assumptions!$C$3:$C$7, MATCH(C10, {"Virginia","Florida","Texas","New York","California"}, 0)),
    0,
    (G10 / INDEX(Assumptions!$C$15:$C$19, MATCH(C10, {"Virginia","Florida","Texas","New York","California"}, 0)))
)</f>
        <v>5.0455833333333342E-3</v>
      </c>
      <c r="I10" s="43">
        <f>G10*'Unit Economics'!$B$19* INDEX(Assumptions!$C$38:$C$42, MATCH(C10, {"Virginia","Florida","Texas","New York","California"}, 0))</f>
        <v>60743.777750000008</v>
      </c>
      <c r="J10" s="43">
        <f>D10*Assumptions!$C$21*INDEX(Assumptions!$C$38:$C$42,MATCH(C10,{"Virginia","Florida","Texas","New York","California"},0))</f>
        <v>11773.699999999999</v>
      </c>
      <c r="K10" s="43">
        <f>G10/Assumptions!$C$22*('Unit Economics'!$F$24+'Unit Economics'!$F$25+'Unit Economics'!$F$26)</f>
        <v>12029.635263480395</v>
      </c>
      <c r="L10" s="43">
        <f>D10*Assumptions!$C$29</f>
        <v>8510</v>
      </c>
      <c r="M10" s="35">
        <f>G10*Assumptions!$C$27</f>
        <v>0</v>
      </c>
      <c r="N10" s="35">
        <f>G10*Assumptions!$C$28</f>
        <v>0</v>
      </c>
      <c r="O10" s="64">
        <f>IF( COUNTIF($B$2:B10, B10) = 1, MIN( Assumptions!$C$34 + INT(SUMIF($B$2:$B10, B10, G$2:G10) / 1000) * Assumptions!$C$37, Assumptions!$C$36 ), 0 )</f>
        <v>60000</v>
      </c>
      <c r="P10" s="53">
        <f t="shared" si="1"/>
        <v>16037.113013480397</v>
      </c>
      <c r="Q10" s="52">
        <f t="shared" si="2"/>
        <v>52238.017540441222</v>
      </c>
    </row>
    <row r="11" spans="1:17">
      <c r="A11" s="2">
        <f t="shared" si="0"/>
        <v>1</v>
      </c>
      <c r="B11" s="2">
        <v>10</v>
      </c>
      <c r="C11" s="2" t="s">
        <v>89</v>
      </c>
      <c r="D11" s="62">
        <f>IF(
    B11 &lt; INDEX(Assumptions!$C$3:$C$7, MATCH(C11, {"Virginia","Florida","Texas","New York","California"}, 0)),
    0,
    IF(
        B11 = INDEX(Assumptions!$C$3:$C$7, MATCH(C11, {"Virginia","Florida","Texas","New York","California"}, 0)),
        IF(C11 = "Virginia", Assumptions!$C$13, Assumptions!$C$14),
        ROUND(
            (INDEX(Assumptions!$C$15:$C$19, MATCH(C11, {"Virginia","Florida","Texas","New York","California"}, 0)) * Assumptions!$C$9 -
            SUMIF(C$2:C10, C11, D$2:D11)) /
            (1 + EXP(-0.2 * (B11 - INDEX(Assumptions!$C$3:$C$7, MATCH(C11, {"Virginia","Florida","Texas","New York","California"}, 0)) - 30))),
            0
        )
    )
)</f>
        <v>55</v>
      </c>
      <c r="E11" s="62">
        <f>IF(B11&lt;INDEX(Assumptions!$C$3:$C$7, MATCH(C11, {"Virginia","Florida","Texas","New York","California"}, 0)),
    0,
    IF(F11=0,
        0,
        F11 * Assumptions!$C$12
    )
)</f>
        <v>1.3</v>
      </c>
      <c r="F11" s="62" cm="1">
        <f t="array" ref="F11">IF(B11&lt;INDEX(Assumptions!$C$3:$C$7, MATCH(C11, {"Virginia","Florida","Texas","New York","California"}, 0)),
    0,
    IF(C11=C10,
        F10 + D11,
        IF(COUNTIF($C$2:C11, C11) = 1, D11, LOOKUP(2, 1/(C$1:C10=C11), F$1:F10) + D11)
    )
)</f>
        <v>312</v>
      </c>
      <c r="G11" s="62" cm="1">
        <f t="array" ref="G11">IF(B11&lt;INDEX(Assumptions!$C$3:$C$7, MATCH(C11, {"Virginia","Florida","Texas","New York","California"}, 0)),
    0,
    IF(C11=C10,
        G10 + D11 - E11,
        IF(COUNTIF($C$2:C11, C11) = 1, D11, LOOKUP(2, 1/(C$1:C10=C11), G$1:G10) + D11 - E11)
    )
)</f>
        <v>305.97916666666669</v>
      </c>
      <c r="H11" s="63">
        <f>IF(B11&lt;INDEX(Assumptions!$C$3:$C$7, MATCH(C11, {"Virginia","Florida","Texas","New York","California"}, 0)),
    0,
    (G11 / INDEX(Assumptions!$C$15:$C$19, MATCH(C11, {"Virginia","Florida","Texas","New York","California"}, 0)))
)</f>
        <v>6.1195833333333336E-3</v>
      </c>
      <c r="I11" s="43">
        <f>G11*'Unit Economics'!$B$19* INDEX(Assumptions!$C$38:$C$42, MATCH(C11, {"Virginia","Florida","Texas","New York","California"}, 0))</f>
        <v>73673.663750000007</v>
      </c>
      <c r="J11" s="43">
        <f>D11*Assumptions!$C$21*INDEX(Assumptions!$C$38:$C$42,MATCH(C11,{"Virginia","Florida","Texas","New York","California"},0))</f>
        <v>14077.25</v>
      </c>
      <c r="K11" s="43">
        <f>G11/Assumptions!$C$22*('Unit Economics'!$F$24+'Unit Economics'!$F$25+'Unit Economics'!$F$26)</f>
        <v>14590.256587009806</v>
      </c>
      <c r="L11" s="43">
        <f>D11*Assumptions!$C$29</f>
        <v>10175</v>
      </c>
      <c r="M11" s="35">
        <f>G11*Assumptions!$C$27</f>
        <v>0</v>
      </c>
      <c r="N11" s="35">
        <f>G11*Assumptions!$C$28</f>
        <v>0</v>
      </c>
      <c r="O11" s="64">
        <f>IF( COUNTIF($B$2:B11, B11) = 1, MIN( Assumptions!$C$34 + INT(SUMIF($B$2:$B11, B11, G$2:G11) / 1000) * Assumptions!$C$37, Assumptions!$C$36 ), 0 )</f>
        <v>60000</v>
      </c>
      <c r="P11" s="53">
        <f t="shared" si="1"/>
        <v>32166.170337009811</v>
      </c>
      <c r="Q11" s="52">
        <f t="shared" si="2"/>
        <v>84404.187877451041</v>
      </c>
    </row>
    <row r="12" spans="1:17">
      <c r="A12" s="2">
        <f t="shared" si="0"/>
        <v>1</v>
      </c>
      <c r="B12" s="2">
        <v>11</v>
      </c>
      <c r="C12" s="2" t="s">
        <v>89</v>
      </c>
      <c r="D12" s="62">
        <f>IF(
    B12 &lt; INDEX(Assumptions!$C$3:$C$7, MATCH(C12, {"Virginia","Florida","Texas","New York","California"}, 0)),
    0,
    IF(
        B12 = INDEX(Assumptions!$C$3:$C$7, MATCH(C12, {"Virginia","Florida","Texas","New York","California"}, 0)),
        IF(C12 = "Virginia", Assumptions!$C$13, Assumptions!$C$14),
        ROUND(
            (INDEX(Assumptions!$C$15:$C$19, MATCH(C12, {"Virginia","Florida","Texas","New York","California"}, 0)) * Assumptions!$C$9 -
            SUMIF(C$2:C11, C12, D$2:D12)) /
            (1 + EXP(-0.2 * (B12 - INDEX(Assumptions!$C$3:$C$7, MATCH(C12, {"Virginia","Florida","Texas","New York","California"}, 0)) - 30))),
            0
        )
    )
)</f>
        <v>66</v>
      </c>
      <c r="E12" s="62">
        <f>IF(B12&lt;INDEX(Assumptions!$C$3:$C$7, MATCH(C12, {"Virginia","Florida","Texas","New York","California"}, 0)),
    0,
    IF(F12=0,
        0,
        F12 * Assumptions!$C$12
    )
)</f>
        <v>1.575</v>
      </c>
      <c r="F12" s="62" cm="1">
        <f t="array" ref="F12">IF(B12&lt;INDEX(Assumptions!$C$3:$C$7, MATCH(C12, {"Virginia","Florida","Texas","New York","California"}, 0)),
    0,
    IF(C12=C11,
        F11 + D12,
        IF(COUNTIF($C$2:C12, C12) = 1, D12, LOOKUP(2, 1/(C$1:C11=C12), F$1:F11) + D12)
    )
)</f>
        <v>378</v>
      </c>
      <c r="G12" s="62" cm="1">
        <f t="array" ref="G12">IF(B12&lt;INDEX(Assumptions!$C$3:$C$7, MATCH(C12, {"Virginia","Florida","Texas","New York","California"}, 0)),
    0,
    IF(C12=C11,
        G11 + D12 - E12,
        IF(COUNTIF($C$2:C12, C12) = 1, D12, LOOKUP(2, 1/(C$1:C11=C12), G$1:G11) + D12 - E12)
    )
)</f>
        <v>370.4041666666667</v>
      </c>
      <c r="H12" s="63">
        <f>IF(B12&lt;INDEX(Assumptions!$C$3:$C$7, MATCH(C12, {"Virginia","Florida","Texas","New York","California"}, 0)),
    0,
    (G12 / INDEX(Assumptions!$C$15:$C$19, MATCH(C12, {"Virginia","Florida","Texas","New York","California"}, 0)))
)</f>
        <v>7.4080833333333342E-3</v>
      </c>
      <c r="I12" s="43">
        <f>G12*'Unit Economics'!$B$19* INDEX(Assumptions!$C$38:$C$42, MATCH(C12, {"Virginia","Florida","Texas","New York","California"}, 0))</f>
        <v>89185.915250000005</v>
      </c>
      <c r="J12" s="43">
        <f>D12*Assumptions!$C$21*INDEX(Assumptions!$C$38:$C$42,MATCH(C12,{"Virginia","Florida","Texas","New York","California"},0))</f>
        <v>16892.7</v>
      </c>
      <c r="K12" s="43">
        <f>G12/Assumptions!$C$22*('Unit Economics'!$F$24+'Unit Economics'!$F$25+'Unit Economics'!$F$26)</f>
        <v>17662.286917892161</v>
      </c>
      <c r="L12" s="43">
        <f>D12*Assumptions!$C$29</f>
        <v>12210</v>
      </c>
      <c r="M12" s="35">
        <f>G12*Assumptions!$C$27</f>
        <v>0</v>
      </c>
      <c r="N12" s="35">
        <f>G12*Assumptions!$C$28</f>
        <v>0</v>
      </c>
      <c r="O12" s="64">
        <f>IF( COUNTIF($B$2:B12, B12) = 1, MIN( Assumptions!$C$34 + INT(SUMIF($B$2:$B12, B12, G$2:G12) / 1000) * Assumptions!$C$37, Assumptions!$C$36 ), 0 )</f>
        <v>60000</v>
      </c>
      <c r="P12" s="53">
        <f t="shared" si="1"/>
        <v>51530.902167892171</v>
      </c>
      <c r="Q12" s="52">
        <f t="shared" si="2"/>
        <v>135935.09004534321</v>
      </c>
    </row>
    <row r="13" spans="1:17">
      <c r="A13" s="2">
        <f t="shared" si="0"/>
        <v>1</v>
      </c>
      <c r="B13" s="2">
        <v>12</v>
      </c>
      <c r="C13" s="2" t="s">
        <v>89</v>
      </c>
      <c r="D13" s="62">
        <f>IF(
    B13 &lt; INDEX(Assumptions!$C$3:$C$7, MATCH(C13, {"Virginia","Florida","Texas","New York","California"}, 0)),
    0,
    IF(
        B13 = INDEX(Assumptions!$C$3:$C$7, MATCH(C13, {"Virginia","Florida","Texas","New York","California"}, 0)),
        IF(C13 = "Virginia", Assumptions!$C$13, Assumptions!$C$14),
        ROUND(
            (INDEX(Assumptions!$C$15:$C$19, MATCH(C13, {"Virginia","Florida","Texas","New York","California"}, 0)) * Assumptions!$C$9 -
            SUMIF(C$2:C12, C13, D$2:D13)) /
            (1 + EXP(-0.2 * (B13 - INDEX(Assumptions!$C$3:$C$7, MATCH(C13, {"Virginia","Florida","Texas","New York","California"}, 0)) - 30))),
            0
        )
    )
)</f>
        <v>79</v>
      </c>
      <c r="E13" s="62">
        <f>IF(B13&lt;INDEX(Assumptions!$C$3:$C$7, MATCH(C13, {"Virginia","Florida","Texas","New York","California"}, 0)),
    0,
    IF(F13=0,
        0,
        F13 * Assumptions!$C$12
    )
)</f>
        <v>1.9041666666666666</v>
      </c>
      <c r="F13" s="62" cm="1">
        <f t="array" ref="F13">IF(B13&lt;INDEX(Assumptions!$C$3:$C$7, MATCH(C13, {"Virginia","Florida","Texas","New York","California"}, 0)),
    0,
    IF(C13=C12,
        F12 + D13,
        IF(COUNTIF($C$2:C13, C13) = 1, D13, LOOKUP(2, 1/(C$1:C12=C13), F$1:F12) + D13)
    )
)</f>
        <v>457</v>
      </c>
      <c r="G13" s="62" cm="1">
        <f t="array" ref="G13">IF(B13&lt;INDEX(Assumptions!$C$3:$C$7, MATCH(C13, {"Virginia","Florida","Texas","New York","California"}, 0)),
    0,
    IF(C13=C12,
        G12 + D13 - E13,
        IF(COUNTIF($C$2:C13, C13) = 1, D13, LOOKUP(2, 1/(C$1:C12=C13), G$1:G12) + D13 - E13)
    )
)</f>
        <v>447.50000000000006</v>
      </c>
      <c r="H13" s="63">
        <f>IF(B13&lt;INDEX(Assumptions!$C$3:$C$7, MATCH(C13, {"Virginia","Florida","Texas","New York","California"}, 0)),
    0,
    (G13 / INDEX(Assumptions!$C$15:$C$19, MATCH(C13, {"Virginia","Florida","Texas","New York","California"}, 0)))
)</f>
        <v>8.9500000000000014E-3</v>
      </c>
      <c r="I13" s="43">
        <f>G13*'Unit Economics'!$B$19* INDEX(Assumptions!$C$38:$C$42, MATCH(C13, {"Virginia","Florida","Texas","New York","California"}, 0))</f>
        <v>107749.05000000002</v>
      </c>
      <c r="J13" s="43">
        <f>D13*Assumptions!$C$21*INDEX(Assumptions!$C$38:$C$42,MATCH(C13,{"Virginia","Florida","Texas","New York","California"},0))</f>
        <v>20220.05</v>
      </c>
      <c r="K13" s="43">
        <f>G13/Assumptions!$C$22*('Unit Economics'!$F$24+'Unit Economics'!$F$25+'Unit Economics'!$F$26)</f>
        <v>21338.511029411769</v>
      </c>
      <c r="L13" s="43">
        <f>D13*Assumptions!$C$29</f>
        <v>14615</v>
      </c>
      <c r="M13" s="35">
        <f>G13*Assumptions!$C$27</f>
        <v>0</v>
      </c>
      <c r="N13" s="35">
        <f>G13*Assumptions!$C$28</f>
        <v>0</v>
      </c>
      <c r="O13" s="64">
        <f>IF( COUNTIF($B$2:B13, B13) = 1, MIN( Assumptions!$C$34 + INT(SUMIF($B$2:$B13, B13, G$2:G13) / 1000) * Assumptions!$C$37, Assumptions!$C$36 ), 0 )</f>
        <v>60000</v>
      </c>
      <c r="P13" s="53">
        <f t="shared" si="1"/>
        <v>74692.611029411783</v>
      </c>
      <c r="Q13" s="52">
        <f t="shared" si="2"/>
        <v>210627.70107475499</v>
      </c>
    </row>
    <row r="14" spans="1:17">
      <c r="A14" s="2">
        <f t="shared" si="0"/>
        <v>2</v>
      </c>
      <c r="B14" s="2">
        <v>13</v>
      </c>
      <c r="C14" s="2" t="s">
        <v>90</v>
      </c>
      <c r="D14" s="62">
        <f>IF(
    B14 &lt; INDEX(Assumptions!$C$3:$C$7, MATCH(C14, {"Virginia","Florida","Texas","New York","California"}, 0)),
    0,
    IF(
        B14 = INDEX(Assumptions!$C$3:$C$7, MATCH(C14, {"Virginia","Florida","Texas","New York","California"}, 0)),
        IF(C14 = "Virginia", Assumptions!$C$13, Assumptions!$C$14),
        ROUND(
            (INDEX(Assumptions!$C$15:$C$19, MATCH(C14, {"Virginia","Florida","Texas","New York","California"}, 0)) * Assumptions!$C$9 -
            SUMIF(C$2:C13, C14, D$2:D14)) /
            (1 + EXP(-0.2 * (B14 - INDEX(Assumptions!$C$3:$C$7, MATCH(C14, {"Virginia","Florida","Texas","New York","California"}, 0)) - 30))),
            0
        )
    )
)</f>
        <v>100</v>
      </c>
      <c r="E14" s="62">
        <f>IF(B14&lt;INDEX(Assumptions!$C$3:$C$7, MATCH(C14, {"Virginia","Florida","Texas","New York","California"}, 0)),
    0,
    IF(F14=0,
        0,
        F14 * Assumptions!$C$12
    )
)</f>
        <v>0.41666666666666669</v>
      </c>
      <c r="F14" s="62" cm="1">
        <f t="array" ref="F14">IF(B14&lt;INDEX(Assumptions!$C$3:$C$7, MATCH(C14, {"Virginia","Florida","Texas","New York","California"}, 0)),
    0,
    IF(C14=C13,
        F13 + D14,
        IF(COUNTIF($C$2:C14, C14) = 1, D14, LOOKUP(2, 1/(C$1:C13=C14), F$1:F13) + D14)
    )
)</f>
        <v>100</v>
      </c>
      <c r="G14" s="62" cm="1">
        <f t="array" ref="G14">IF(B14&lt;INDEX(Assumptions!$C$3:$C$7, MATCH(C14, {"Virginia","Florida","Texas","New York","California"}, 0)),
    0,
    IF(C14=C13,
        G13 + D14 - E14,
        IF(COUNTIF($C$2:C14, C14) = 1, D14, LOOKUP(2, 1/(C$1:C13=C14), G$1:G13) + D14 - E14)
    )
)</f>
        <v>100</v>
      </c>
      <c r="H14" s="63">
        <f>IF(B14&lt;INDEX(Assumptions!$C$3:$C$7, MATCH(C14, {"Virginia","Florida","Texas","New York","California"}, 0)),
    0,
    (G14 / INDEX(Assumptions!$C$15:$C$19, MATCH(C14, {"Virginia","Florida","Texas","New York","California"}, 0)))
)</f>
        <v>1.4285714285714286E-3</v>
      </c>
      <c r="I14" s="43">
        <f>G14*'Unit Economics'!$B$19* INDEX(Assumptions!$C$38:$C$42, MATCH(C14, {"Virginia","Florida","Texas","New York","California"}, 0))</f>
        <v>25281.9</v>
      </c>
      <c r="J14" s="43">
        <f>D14*Assumptions!$C$21*INDEX(Assumptions!$C$38:$C$42,MATCH(C14,{"Virginia","Florida","Texas","New York","California"},0))</f>
        <v>26874.75</v>
      </c>
      <c r="K14" s="43">
        <f>G14/Assumptions!$C$22*('Unit Economics'!$F$24+'Unit Economics'!$F$25+'Unit Economics'!$F$26)</f>
        <v>4768.3823529411766</v>
      </c>
      <c r="L14" s="43">
        <f>D14*Assumptions!$C$29</f>
        <v>18500</v>
      </c>
      <c r="M14" s="35">
        <f>G14*Assumptions!$C$27</f>
        <v>0</v>
      </c>
      <c r="N14" s="35">
        <f>G14*Assumptions!$C$28</f>
        <v>0</v>
      </c>
      <c r="O14" s="64">
        <f>IF( COUNTIF($B$2:B14, B14) = 1, MIN( Assumptions!$C$34 + INT(SUMIF($B$2:$B14, B14, G$2:G14) / 1000) * Assumptions!$C$37, Assumptions!$C$36 ), 0 )</f>
        <v>60000</v>
      </c>
      <c r="P14" s="53">
        <f t="shared" si="1"/>
        <v>-21574.967647058824</v>
      </c>
      <c r="Q14" s="52">
        <f t="shared" si="2"/>
        <v>189052.73342769616</v>
      </c>
    </row>
    <row r="15" spans="1:17">
      <c r="A15" s="2">
        <f t="shared" si="0"/>
        <v>2</v>
      </c>
      <c r="B15" s="2">
        <v>13</v>
      </c>
      <c r="C15" s="2" t="s">
        <v>91</v>
      </c>
      <c r="D15" s="62">
        <f>IF(
    B15 &lt; INDEX(Assumptions!$C$3:$C$7, MATCH(C15, {"Virginia","Florida","Texas","New York","California"}, 0)),
    0,
    IF(
        B15 = INDEX(Assumptions!$C$3:$C$7, MATCH(C15, {"Virginia","Florida","Texas","New York","California"}, 0)),
        IF(C15 = "Virginia", Assumptions!$C$13, Assumptions!$C$14),
        ROUND(
            (INDEX(Assumptions!$C$15:$C$19, MATCH(C15, {"Virginia","Florida","Texas","New York","California"}, 0)) * Assumptions!$C$9 -
            SUMIF(C$2:C14, C15, D$2:D15)) /
            (1 + EXP(-0.2 * (B15 - INDEX(Assumptions!$C$3:$C$7, MATCH(C15, {"Virginia","Florida","Texas","New York","California"}, 0)) - 30))),
            0
        )
    )
)</f>
        <v>100</v>
      </c>
      <c r="E15" s="62">
        <f>IF(B15&lt;INDEX(Assumptions!$C$3:$C$7, MATCH(C15, {"Virginia","Florida","Texas","New York","California"}, 0)),
    0,
    IF(F15=0,
        0,
        F15 * Assumptions!$C$12
    )
)</f>
        <v>0.41666666666666669</v>
      </c>
      <c r="F15" s="62" cm="1">
        <f t="array" ref="F15">IF(B15&lt;INDEX(Assumptions!$C$3:$C$7, MATCH(C15, {"Virginia","Florida","Texas","New York","California"}, 0)),
    0,
    IF(C15=C14,
        F14 + D15,
        IF(COUNTIF($C$2:C15, C15) = 1, D15, LOOKUP(2, 1/(C$1:C14=C15), F$1:F14) + D15)
    )
)</f>
        <v>100</v>
      </c>
      <c r="G15" s="62" cm="1">
        <f t="array" ref="G15">IF(B15&lt;INDEX(Assumptions!$C$3:$C$7, MATCH(C15, {"Virginia","Florida","Texas","New York","California"}, 0)),
    0,
    IF(C15=C14,
        G14 + D15 - E15,
        IF(COUNTIF($C$2:C15, C15) = 1, D15, LOOKUP(2, 1/(C$1:C14=C15), G$1:G14) + D15 - E15)
    )
)</f>
        <v>100</v>
      </c>
      <c r="H15" s="63">
        <f>IF(B15&lt;INDEX(Assumptions!$C$3:$C$7, MATCH(C15, {"Virginia","Florida","Texas","New York","California"}, 0)),
    0,
    (G15 / INDEX(Assumptions!$C$15:$C$19, MATCH(C15, {"Virginia","Florida","Texas","New York","California"}, 0)))
)</f>
        <v>1.25E-3</v>
      </c>
      <c r="I15" s="43">
        <f>G15*'Unit Economics'!$B$19* INDEX(Assumptions!$C$38:$C$42, MATCH(C15, {"Virginia","Florida","Texas","New York","California"}, 0))</f>
        <v>24800.34</v>
      </c>
      <c r="J15" s="43">
        <f>D15*Assumptions!$C$21*INDEX(Assumptions!$C$38:$C$42,MATCH(C15,{"Virginia","Florida","Texas","New York","California"},0))</f>
        <v>26362.850000000002</v>
      </c>
      <c r="K15" s="43">
        <f>G15/Assumptions!$C$22*('Unit Economics'!$F$24+'Unit Economics'!$F$25+'Unit Economics'!$F$26)</f>
        <v>4768.3823529411766</v>
      </c>
      <c r="L15" s="43">
        <f>D15*Assumptions!$C$29</f>
        <v>18500</v>
      </c>
      <c r="M15" s="35">
        <f>G15*Assumptions!$C$27</f>
        <v>0</v>
      </c>
      <c r="N15" s="35">
        <f>G15*Assumptions!$C$28</f>
        <v>0</v>
      </c>
      <c r="O15" s="64">
        <f>IF( COUNTIF($B$2:B15, B15) = 1, MIN( Assumptions!$C$34 + INT(SUMIF($B$2:$B15, B15, G$2:G15) / 1000) * Assumptions!$C$37, Assumptions!$C$36 ), 0 )</f>
        <v>0</v>
      </c>
      <c r="P15" s="53">
        <f t="shared" si="1"/>
        <v>37431.572352941177</v>
      </c>
      <c r="Q15" s="52">
        <f t="shared" si="2"/>
        <v>226484.30578063734</v>
      </c>
    </row>
    <row r="16" spans="1:17">
      <c r="A16" s="2">
        <f t="shared" si="0"/>
        <v>2</v>
      </c>
      <c r="B16" s="2">
        <v>13</v>
      </c>
      <c r="C16" s="2" t="s">
        <v>89</v>
      </c>
      <c r="D16" s="62">
        <f>IF(
    B16 &lt; INDEX(Assumptions!$C$3:$C$7, MATCH(C16, {"Virginia","Florida","Texas","New York","California"}, 0)),
    0,
    IF(
        B16 = INDEX(Assumptions!$C$3:$C$7, MATCH(C16, {"Virginia","Florida","Texas","New York","California"}, 0)),
        IF(C16 = "Virginia", Assumptions!$C$13, Assumptions!$C$14),
        ROUND(
            (INDEX(Assumptions!$C$15:$C$19, MATCH(C16, {"Virginia","Florida","Texas","New York","California"}, 0)) * Assumptions!$C$9 -
            SUMIF(C$2:C15, C16, D$2:D16)) /
            (1 + EXP(-0.2 * (B16 - INDEX(Assumptions!$C$3:$C$7, MATCH(C16, {"Virginia","Florida","Texas","New York","California"}, 0)) - 30))),
            0
        )
    )
)</f>
        <v>94</v>
      </c>
      <c r="E16" s="62">
        <f>IF(B16&lt;INDEX(Assumptions!$C$3:$C$7, MATCH(C16, {"Virginia","Florida","Texas","New York","California"}, 0)),
    0,
    IF(F16=0,
        0,
        F16 * Assumptions!$C$12
    )
)</f>
        <v>2.2958333333333334</v>
      </c>
      <c r="F16" s="62" cm="1">
        <f t="array" ref="F16">IF(B16&lt;INDEX(Assumptions!$C$3:$C$7, MATCH(C16, {"Virginia","Florida","Texas","New York","California"}, 0)),
    0,
    IF(C16=C15,
        F15 + D16,
        IF(COUNTIF($C$2:C16, C16) = 1, D16, LOOKUP(2, 1/(C$1:C15=C16), F$1:F15) + D16)
    )
)</f>
        <v>551</v>
      </c>
      <c r="G16" s="62" cm="1">
        <f t="array" ref="G16">IF(B16&lt;INDEX(Assumptions!$C$3:$C$7, MATCH(C16, {"Virginia","Florida","Texas","New York","California"}, 0)),
    0,
    IF(C16=C15,
        G15 + D16 - E16,
        IF(COUNTIF($C$2:C16, C16) = 1, D16, LOOKUP(2, 1/(C$1:C15=C16), G$1:G15) + D16 - E16)
    )
)</f>
        <v>539.20416666666665</v>
      </c>
      <c r="H16" s="63">
        <f>IF(B16&lt;INDEX(Assumptions!$C$3:$C$7, MATCH(C16, {"Virginia","Florida","Texas","New York","California"}, 0)),
    0,
    (G16 / INDEX(Assumptions!$C$15:$C$19, MATCH(C16, {"Virginia","Florida","Texas","New York","California"}, 0)))
)</f>
        <v>1.0784083333333333E-2</v>
      </c>
      <c r="I16" s="43">
        <f>G16*'Unit Economics'!$B$19* INDEX(Assumptions!$C$38:$C$42, MATCH(C16, {"Virginia","Florida","Texas","New York","California"}, 0))</f>
        <v>129829.57925</v>
      </c>
      <c r="J16" s="43">
        <f>D16*Assumptions!$C$21*INDEX(Assumptions!$C$38:$C$42,MATCH(C16,{"Virginia","Florida","Texas","New York","California"},0))</f>
        <v>24059.3</v>
      </c>
      <c r="K16" s="43">
        <f>G16/Assumptions!$C$22*('Unit Economics'!$F$24+'Unit Economics'!$F$25+'Unit Economics'!$F$26)</f>
        <v>25711.316329656864</v>
      </c>
      <c r="L16" s="43">
        <f>D16*Assumptions!$C$29</f>
        <v>17390</v>
      </c>
      <c r="M16" s="35">
        <f>G16*Assumptions!$C$27</f>
        <v>0</v>
      </c>
      <c r="N16" s="35">
        <f>G16*Assumptions!$C$28</f>
        <v>0</v>
      </c>
      <c r="O16" s="64">
        <f>IF( COUNTIF($B$2:B16, B16) = 1, MIN( Assumptions!$C$34 + INT(SUMIF($B$2:$B16, B16, G$2:G16) / 1000) * Assumptions!$C$37, Assumptions!$C$36 ), 0 )</f>
        <v>0</v>
      </c>
      <c r="P16" s="53">
        <f t="shared" si="1"/>
        <v>162210.19557965687</v>
      </c>
      <c r="Q16" s="52">
        <f t="shared" si="2"/>
        <v>388694.50136029418</v>
      </c>
    </row>
    <row r="17" spans="1:17">
      <c r="A17" s="2">
        <f t="shared" si="0"/>
        <v>2</v>
      </c>
      <c r="B17" s="2">
        <v>14</v>
      </c>
      <c r="C17" s="2" t="s">
        <v>90</v>
      </c>
      <c r="D17" s="62">
        <f>IF(
    B17 &lt; INDEX(Assumptions!$C$3:$C$7, MATCH(C17, {"Virginia","Florida","Texas","New York","California"}, 0)),
    0,
    IF(
        B17 = INDEX(Assumptions!$C$3:$C$7, MATCH(C17, {"Virginia","Florida","Texas","New York","California"}, 0)),
        IF(C17 = "Virginia", Assumptions!$C$13, Assumptions!$C$14),
        ROUND(
            (INDEX(Assumptions!$C$15:$C$19, MATCH(C17, {"Virginia","Florida","Texas","New York","California"}, 0)) * Assumptions!$C$9 -
            SUMIF(C$2:C16, C17, D$2:D17)) /
            (1 + EXP(-0.2 * (B17 - INDEX(Assumptions!$C$3:$C$7, MATCH(C17, {"Virginia","Florida","Texas","New York","California"}, 0)) - 30))),
            0
        )
    )
)</f>
        <v>17</v>
      </c>
      <c r="E17" s="62">
        <f>IF(B17&lt;INDEX(Assumptions!$C$3:$C$7, MATCH(C17, {"Virginia","Florida","Texas","New York","California"}, 0)),
    0,
    IF(F17=0,
        0,
        F17 * Assumptions!$C$12
    )
)</f>
        <v>0.48749999999999999</v>
      </c>
      <c r="F17" s="62" cm="1">
        <f t="array" ref="F17">IF(B17&lt;INDEX(Assumptions!$C$3:$C$7, MATCH(C17, {"Virginia","Florida","Texas","New York","California"}, 0)),
    0,
    IF(C17=C16,
        F16 + D17,
        IF(COUNTIF($C$2:C17, C17) = 1, D17, LOOKUP(2, 1/(C$1:C16=C17), F$1:F16) + D17)
    )
)</f>
        <v>117</v>
      </c>
      <c r="G17" s="62" cm="1">
        <f t="array" ref="G17">IF(B17&lt;INDEX(Assumptions!$C$3:$C$7, MATCH(C17, {"Virginia","Florida","Texas","New York","California"}, 0)),
    0,
    IF(C17=C16,
        G16 + D17 - E17,
        IF(COUNTIF($C$2:C17, C17) = 1, D17, LOOKUP(2, 1/(C$1:C16=C17), G$1:G16) + D17 - E17)
    )
)</f>
        <v>116.5125</v>
      </c>
      <c r="H17" s="63">
        <f>IF(B17&lt;INDEX(Assumptions!$C$3:$C$7, MATCH(C17, {"Virginia","Florida","Texas","New York","California"}, 0)),
    0,
    (G17 / INDEX(Assumptions!$C$15:$C$19, MATCH(C17, {"Virginia","Florida","Texas","New York","California"}, 0)))
)</f>
        <v>1.6644642857142858E-3</v>
      </c>
      <c r="I17" s="43">
        <f>G17*'Unit Economics'!$B$19* INDEX(Assumptions!$C$38:$C$42, MATCH(C17, {"Virginia","Florida","Texas","New York","California"}, 0))</f>
        <v>29456.573737500003</v>
      </c>
      <c r="J17" s="43">
        <f>D17*Assumptions!$C$21*INDEX(Assumptions!$C$38:$C$42,MATCH(C17,{"Virginia","Florida","Texas","New York","California"},0))</f>
        <v>4568.7074999999995</v>
      </c>
      <c r="K17" s="43">
        <f>G17/Assumptions!$C$22*('Unit Economics'!$F$24+'Unit Economics'!$F$25+'Unit Economics'!$F$26)</f>
        <v>5555.7614889705883</v>
      </c>
      <c r="L17" s="43">
        <f>D17*Assumptions!$C$29</f>
        <v>3145</v>
      </c>
      <c r="M17" s="35">
        <f>G17*Assumptions!$C$27</f>
        <v>0</v>
      </c>
      <c r="N17" s="35">
        <f>G17*Assumptions!$C$28</f>
        <v>0</v>
      </c>
      <c r="O17" s="64">
        <f>IF( COUNTIF($B$2:B17, B17) = 1, MIN( Assumptions!$C$34 + INT(SUMIF($B$2:$B17, B17, G$2:G17) / 1000) * Assumptions!$C$37, Assumptions!$C$36 ), 0 )</f>
        <v>60000</v>
      </c>
      <c r="P17" s="53">
        <f t="shared" si="1"/>
        <v>-23563.957273529413</v>
      </c>
      <c r="Q17" s="52">
        <f t="shared" si="2"/>
        <v>365130.54408676474</v>
      </c>
    </row>
    <row r="18" spans="1:17">
      <c r="A18" s="2">
        <f t="shared" si="0"/>
        <v>2</v>
      </c>
      <c r="B18" s="2">
        <v>14</v>
      </c>
      <c r="C18" s="2" t="s">
        <v>91</v>
      </c>
      <c r="D18" s="62">
        <f>IF(
    B18 &lt; INDEX(Assumptions!$C$3:$C$7, MATCH(C18, {"Virginia","Florida","Texas","New York","California"}, 0)),
    0,
    IF(
        B18 = INDEX(Assumptions!$C$3:$C$7, MATCH(C18, {"Virginia","Florida","Texas","New York","California"}, 0)),
        IF(C18 = "Virginia", Assumptions!$C$13, Assumptions!$C$14),
        ROUND(
            (INDEX(Assumptions!$C$15:$C$19, MATCH(C18, {"Virginia","Florida","Texas","New York","California"}, 0)) * Assumptions!$C$9 -
            SUMIF(C$2:C17, C18, D$2:D18)) /
            (1 + EXP(-0.2 * (B18 - INDEX(Assumptions!$C$3:$C$7, MATCH(C18, {"Virginia","Florida","Texas","New York","California"}, 0)) - 30))),
            0
        )
    )
)</f>
        <v>19</v>
      </c>
      <c r="E18" s="62">
        <f>IF(B18&lt;INDEX(Assumptions!$C$3:$C$7, MATCH(C18, {"Virginia","Florida","Texas","New York","California"}, 0)),
    0,
    IF(F18=0,
        0,
        F18 * Assumptions!$C$12
    )
)</f>
        <v>0.49583333333333335</v>
      </c>
      <c r="F18" s="62" cm="1">
        <f t="array" ref="F18">IF(B18&lt;INDEX(Assumptions!$C$3:$C$7, MATCH(C18, {"Virginia","Florida","Texas","New York","California"}, 0)),
    0,
    IF(C18=C17,
        F17 + D18,
        IF(COUNTIF($C$2:C18, C18) = 1, D18, LOOKUP(2, 1/(C$1:C17=C18), F$1:F17) + D18)
    )
)</f>
        <v>119</v>
      </c>
      <c r="G18" s="62" cm="1">
        <f t="array" ref="G18">IF(B18&lt;INDEX(Assumptions!$C$3:$C$7, MATCH(C18, {"Virginia","Florida","Texas","New York","California"}, 0)),
    0,
    IF(C18=C17,
        G17 + D18 - E18,
        IF(COUNTIF($C$2:C18, C18) = 1, D18, LOOKUP(2, 1/(C$1:C17=C18), G$1:G17) + D18 - E18)
    )
)</f>
        <v>118.50416666666666</v>
      </c>
      <c r="H18" s="63">
        <f>IF(B18&lt;INDEX(Assumptions!$C$3:$C$7, MATCH(C18, {"Virginia","Florida","Texas","New York","California"}, 0)),
    0,
    (G18 / INDEX(Assumptions!$C$15:$C$19, MATCH(C18, {"Virginia","Florida","Texas","New York","California"}, 0)))
)</f>
        <v>1.4813020833333334E-3</v>
      </c>
      <c r="I18" s="43">
        <f>G18*'Unit Economics'!$B$19* INDEX(Assumptions!$C$38:$C$42, MATCH(C18, {"Virginia","Florida","Texas","New York","California"}, 0))</f>
        <v>29389.436247499998</v>
      </c>
      <c r="J18" s="43">
        <f>D18*Assumptions!$C$21*INDEX(Assumptions!$C$38:$C$42,MATCH(C18,{"Virginia","Florida","Texas","New York","California"},0))</f>
        <v>5008.9414999999999</v>
      </c>
      <c r="K18" s="43">
        <f>G18/Assumptions!$C$22*('Unit Economics'!$F$24+'Unit Economics'!$F$25+'Unit Economics'!$F$26)</f>
        <v>5650.7317708333339</v>
      </c>
      <c r="L18" s="43">
        <f>D18*Assumptions!$C$29</f>
        <v>3515</v>
      </c>
      <c r="M18" s="35">
        <f>G18*Assumptions!$C$27</f>
        <v>0</v>
      </c>
      <c r="N18" s="35">
        <f>G18*Assumptions!$C$28</f>
        <v>0</v>
      </c>
      <c r="O18" s="64">
        <f>IF( COUNTIF($B$2:B18, B18) = 1, MIN( Assumptions!$C$34 + INT(SUMIF($B$2:$B18, B18, G$2:G18) / 1000) * Assumptions!$C$37, Assumptions!$C$36 ), 0 )</f>
        <v>0</v>
      </c>
      <c r="P18" s="53">
        <f t="shared" si="1"/>
        <v>36534.109518333331</v>
      </c>
      <c r="Q18" s="52">
        <f t="shared" si="2"/>
        <v>401664.65360509808</v>
      </c>
    </row>
    <row r="19" spans="1:17">
      <c r="A19" s="2">
        <f t="shared" si="0"/>
        <v>2</v>
      </c>
      <c r="B19" s="2">
        <v>14</v>
      </c>
      <c r="C19" s="2" t="s">
        <v>89</v>
      </c>
      <c r="D19" s="62">
        <f>IF(
    B19 &lt; INDEX(Assumptions!$C$3:$C$7, MATCH(C19, {"Virginia","Florida","Texas","New York","California"}, 0)),
    0,
    IF(
        B19 = INDEX(Assumptions!$C$3:$C$7, MATCH(C19, {"Virginia","Florida","Texas","New York","California"}, 0)),
        IF(C19 = "Virginia", Assumptions!$C$13, Assumptions!$C$14),
        ROUND(
            (INDEX(Assumptions!$C$15:$C$19, MATCH(C19, {"Virginia","Florida","Texas","New York","California"}, 0)) * Assumptions!$C$9 -
            SUMIF(C$2:C18, C19, D$2:D19)) /
            (1 + EXP(-0.2 * (B19 - INDEX(Assumptions!$C$3:$C$7, MATCH(C19, {"Virginia","Florida","Texas","New York","California"}, 0)) - 30))),
            0
        )
    )
)</f>
        <v>111</v>
      </c>
      <c r="E19" s="62">
        <f>IF(B19&lt;INDEX(Assumptions!$C$3:$C$7, MATCH(C19, {"Virginia","Florida","Texas","New York","California"}, 0)),
    0,
    IF(F19=0,
        0,
        F19 * Assumptions!$C$12
    )
)</f>
        <v>2.7583333333333333</v>
      </c>
      <c r="F19" s="62" cm="1">
        <f t="array" ref="F19">IF(B19&lt;INDEX(Assumptions!$C$3:$C$7, MATCH(C19, {"Virginia","Florida","Texas","New York","California"}, 0)),
    0,
    IF(C19=C18,
        F18 + D19,
        IF(COUNTIF($C$2:C19, C19) = 1, D19, LOOKUP(2, 1/(C$1:C18=C19), F$1:F18) + D19)
    )
)</f>
        <v>662</v>
      </c>
      <c r="G19" s="62" cm="1">
        <f t="array" ref="G19">IF(B19&lt;INDEX(Assumptions!$C$3:$C$7, MATCH(C19, {"Virginia","Florida","Texas","New York","California"}, 0)),
    0,
    IF(C19=C18,
        G18 + D19 - E19,
        IF(COUNTIF($C$2:C19, C19) = 1, D19, LOOKUP(2, 1/(C$1:C18=C19), G$1:G18) + D19 - E19)
    )
)</f>
        <v>647.44583333333333</v>
      </c>
      <c r="H19" s="63">
        <f>IF(B19&lt;INDEX(Assumptions!$C$3:$C$7, MATCH(C19, {"Virginia","Florida","Texas","New York","California"}, 0)),
    0,
    (G19 / INDEX(Assumptions!$C$15:$C$19, MATCH(C19, {"Virginia","Florida","Texas","New York","California"}, 0)))
)</f>
        <v>1.2948916666666666E-2</v>
      </c>
      <c r="I19" s="43">
        <f>G19*'Unit Economics'!$B$19* INDEX(Assumptions!$C$38:$C$42, MATCH(C19, {"Virginia","Florida","Texas","New York","California"}, 0))</f>
        <v>155892.00774999999</v>
      </c>
      <c r="J19" s="43">
        <f>D19*Assumptions!$C$21*INDEX(Assumptions!$C$38:$C$42,MATCH(C19,{"Virginia","Florida","Texas","New York","California"},0))</f>
        <v>28410.449999999997</v>
      </c>
      <c r="K19" s="43">
        <f>G19/Assumptions!$C$22*('Unit Economics'!$F$24+'Unit Economics'!$F$25+'Unit Economics'!$F$26)</f>
        <v>30872.692861519612</v>
      </c>
      <c r="L19" s="43">
        <f>D19*Assumptions!$C$29</f>
        <v>20535</v>
      </c>
      <c r="M19" s="35">
        <f>G19*Assumptions!$C$27</f>
        <v>0</v>
      </c>
      <c r="N19" s="35">
        <f>G19*Assumptions!$C$28</f>
        <v>0</v>
      </c>
      <c r="O19" s="64">
        <f>IF( COUNTIF($B$2:B19, B19) = 1, MIN( Assumptions!$C$34 + INT(SUMIF($B$2:$B19, B19, G$2:G19) / 1000) * Assumptions!$C$37, Assumptions!$C$36 ), 0 )</f>
        <v>0</v>
      </c>
      <c r="P19" s="53">
        <f t="shared" si="1"/>
        <v>194640.15061151961</v>
      </c>
      <c r="Q19" s="52">
        <f t="shared" si="2"/>
        <v>596304.80421661772</v>
      </c>
    </row>
    <row r="20" spans="1:17">
      <c r="A20" s="2">
        <f t="shared" si="0"/>
        <v>2</v>
      </c>
      <c r="B20" s="2">
        <v>15</v>
      </c>
      <c r="C20" s="2" t="s">
        <v>90</v>
      </c>
      <c r="D20" s="62">
        <f>IF(
    B20 &lt; INDEX(Assumptions!$C$3:$C$7, MATCH(C20, {"Virginia","Florida","Texas","New York","California"}, 0)),
    0,
    IF(
        B20 = INDEX(Assumptions!$C$3:$C$7, MATCH(C20, {"Virginia","Florida","Texas","New York","California"}, 0)),
        IF(C20 = "Virginia", Assumptions!$C$13, Assumptions!$C$14),
        ROUND(
            (INDEX(Assumptions!$C$15:$C$19, MATCH(C20, {"Virginia","Florida","Texas","New York","California"}, 0)) * Assumptions!$C$9 -
            SUMIF(C$2:C19, C20, D$2:D20)) /
            (1 + EXP(-0.2 * (B20 - INDEX(Assumptions!$C$3:$C$7, MATCH(C20, {"Virginia","Florida","Texas","New York","California"}, 0)) - 30))),
            0
        )
    )
)</f>
        <v>20</v>
      </c>
      <c r="E20" s="62">
        <f>IF(B20&lt;INDEX(Assumptions!$C$3:$C$7, MATCH(C20, {"Virginia","Florida","Texas","New York","California"}, 0)),
    0,
    IF(F20=0,
        0,
        F20 * Assumptions!$C$12
    )
)</f>
        <v>0.5708333333333333</v>
      </c>
      <c r="F20" s="62" cm="1">
        <f t="array" ref="F20">IF(B20&lt;INDEX(Assumptions!$C$3:$C$7, MATCH(C20, {"Virginia","Florida","Texas","New York","California"}, 0)),
    0,
    IF(C20=C19,
        F19 + D20,
        IF(COUNTIF($C$2:C20, C20) = 1, D20, LOOKUP(2, 1/(C$1:C19=C20), F$1:F19) + D20)
    )
)</f>
        <v>137</v>
      </c>
      <c r="G20" s="62" cm="1">
        <f t="array" ref="G20">IF(B20&lt;INDEX(Assumptions!$C$3:$C$7, MATCH(C20, {"Virginia","Florida","Texas","New York","California"}, 0)),
    0,
    IF(C20=C19,
        G19 + D20 - E20,
        IF(COUNTIF($C$2:C20, C20) = 1, D20, LOOKUP(2, 1/(C$1:C19=C20), G$1:G19) + D20 - E20)
    )
)</f>
        <v>135.94166666666666</v>
      </c>
      <c r="H20" s="63">
        <f>IF(B20&lt;INDEX(Assumptions!$C$3:$C$7, MATCH(C20, {"Virginia","Florida","Texas","New York","California"}, 0)),
    0,
    (G20 / INDEX(Assumptions!$C$15:$C$19, MATCH(C20, {"Virginia","Florida","Texas","New York","California"}, 0)))
)</f>
        <v>1.9420238095238095E-3</v>
      </c>
      <c r="I20" s="43">
        <f>G20*'Unit Economics'!$B$19* INDEX(Assumptions!$C$38:$C$42, MATCH(C20, {"Virginia","Florida","Texas","New York","California"}, 0))</f>
        <v>34368.636225000002</v>
      </c>
      <c r="J20" s="43">
        <f>D20*Assumptions!$C$21*INDEX(Assumptions!$C$38:$C$42,MATCH(C20,{"Virginia","Florida","Texas","New York","California"},0))</f>
        <v>5374.95</v>
      </c>
      <c r="K20" s="43">
        <f>G20/Assumptions!$C$22*('Unit Economics'!$F$24+'Unit Economics'!$F$25+'Unit Economics'!$F$26)</f>
        <v>6482.218443627452</v>
      </c>
      <c r="L20" s="43">
        <f>D20*Assumptions!$C$29</f>
        <v>3700</v>
      </c>
      <c r="M20" s="35">
        <f>G20*Assumptions!$C$27</f>
        <v>0</v>
      </c>
      <c r="N20" s="35">
        <f>G20*Assumptions!$C$28</f>
        <v>0</v>
      </c>
      <c r="O20" s="64">
        <f>IF( COUNTIF($B$2:B20, B20) = 1, MIN( Assumptions!$C$34 + INT(SUMIF($B$2:$B20, B20, G$2:G20) / 1000) * Assumptions!$C$37, Assumptions!$C$36 ), 0 )</f>
        <v>60000</v>
      </c>
      <c r="P20" s="53">
        <f t="shared" si="1"/>
        <v>-17474.195331372546</v>
      </c>
      <c r="Q20" s="52">
        <f t="shared" si="2"/>
        <v>578830.60888524516</v>
      </c>
    </row>
    <row r="21" spans="1:17">
      <c r="A21" s="2">
        <f t="shared" si="0"/>
        <v>2</v>
      </c>
      <c r="B21" s="2">
        <v>15</v>
      </c>
      <c r="C21" s="2" t="s">
        <v>91</v>
      </c>
      <c r="D21" s="62">
        <f>IF(
    B21 &lt; INDEX(Assumptions!$C$3:$C$7, MATCH(C21, {"Virginia","Florida","Texas","New York","California"}, 0)),
    0,
    IF(
        B21 = INDEX(Assumptions!$C$3:$C$7, MATCH(C21, {"Virginia","Florida","Texas","New York","California"}, 0)),
        IF(C21 = "Virginia", Assumptions!$C$13, Assumptions!$C$14),
        ROUND(
            (INDEX(Assumptions!$C$15:$C$19, MATCH(C21, {"Virginia","Florida","Texas","New York","California"}, 0)) * Assumptions!$C$9 -
            SUMIF(C$2:C20, C21, D$2:D21)) /
            (1 + EXP(-0.2 * (B21 - INDEX(Assumptions!$C$3:$C$7, MATCH(C21, {"Virginia","Florida","Texas","New York","California"}, 0)) - 30))),
            0
        )
    )
)</f>
        <v>23</v>
      </c>
      <c r="E21" s="62">
        <f>IF(B21&lt;INDEX(Assumptions!$C$3:$C$7, MATCH(C21, {"Virginia","Florida","Texas","New York","California"}, 0)),
    0,
    IF(F21=0,
        0,
        F21 * Assumptions!$C$12
    )
)</f>
        <v>0.59166666666666667</v>
      </c>
      <c r="F21" s="62" cm="1">
        <f t="array" ref="F21">IF(B21&lt;INDEX(Assumptions!$C$3:$C$7, MATCH(C21, {"Virginia","Florida","Texas","New York","California"}, 0)),
    0,
    IF(C21=C20,
        F20 + D21,
        IF(COUNTIF($C$2:C21, C21) = 1, D21, LOOKUP(2, 1/(C$1:C20=C21), F$1:F20) + D21)
    )
)</f>
        <v>142</v>
      </c>
      <c r="G21" s="62" cm="1">
        <f t="array" ref="G21">IF(B21&lt;INDEX(Assumptions!$C$3:$C$7, MATCH(C21, {"Virginia","Florida","Texas","New York","California"}, 0)),
    0,
    IF(C21=C20,
        G20 + D21 - E21,
        IF(COUNTIF($C$2:C21, C21) = 1, D21, LOOKUP(2, 1/(C$1:C20=C21), G$1:G20) + D21 - E21)
    )
)</f>
        <v>140.91249999999999</v>
      </c>
      <c r="H21" s="63">
        <f>IF(B21&lt;INDEX(Assumptions!$C$3:$C$7, MATCH(C21, {"Virginia","Florida","Texas","New York","California"}, 0)),
    0,
    (G21 / INDEX(Assumptions!$C$15:$C$19, MATCH(C21, {"Virginia","Florida","Texas","New York","California"}, 0)))
)</f>
        <v>1.76140625E-3</v>
      </c>
      <c r="I21" s="43">
        <f>G21*'Unit Economics'!$B$19* INDEX(Assumptions!$C$38:$C$42, MATCH(C21, {"Virginia","Florida","Texas","New York","California"}, 0))</f>
        <v>34946.779102499997</v>
      </c>
      <c r="J21" s="43">
        <f>D21*Assumptions!$C$21*INDEX(Assumptions!$C$38:$C$42,MATCH(C21,{"Virginia","Florida","Texas","New York","California"},0))</f>
        <v>6063.4555</v>
      </c>
      <c r="K21" s="43">
        <f>G21/Assumptions!$C$22*('Unit Economics'!$F$24+'Unit Economics'!$F$25+'Unit Economics'!$F$26)</f>
        <v>6719.2467830882351</v>
      </c>
      <c r="L21" s="43">
        <f>D21*Assumptions!$C$29</f>
        <v>4255</v>
      </c>
      <c r="M21" s="35">
        <f>G21*Assumptions!$C$27</f>
        <v>0</v>
      </c>
      <c r="N21" s="35">
        <f>G21*Assumptions!$C$28</f>
        <v>0</v>
      </c>
      <c r="O21" s="64">
        <f>IF( COUNTIF($B$2:B21, B21) = 1, MIN( Assumptions!$C$34 + INT(SUMIF($B$2:$B21, B21, G$2:G21) / 1000) * Assumptions!$C$37, Assumptions!$C$36 ), 0 )</f>
        <v>0</v>
      </c>
      <c r="P21" s="53">
        <f t="shared" si="1"/>
        <v>43474.481385588238</v>
      </c>
      <c r="Q21" s="52">
        <f t="shared" si="2"/>
        <v>622305.09027083335</v>
      </c>
    </row>
    <row r="22" spans="1:17">
      <c r="A22" s="2">
        <f t="shared" si="0"/>
        <v>2</v>
      </c>
      <c r="B22" s="2">
        <v>15</v>
      </c>
      <c r="C22" s="2" t="s">
        <v>89</v>
      </c>
      <c r="D22" s="62">
        <f>IF(
    B22 &lt; INDEX(Assumptions!$C$3:$C$7, MATCH(C22, {"Virginia","Florida","Texas","New York","California"}, 0)),
    0,
    IF(
        B22 = INDEX(Assumptions!$C$3:$C$7, MATCH(C22, {"Virginia","Florida","Texas","New York","California"}, 0)),
        IF(C22 = "Virginia", Assumptions!$C$13, Assumptions!$C$14),
        ROUND(
            (INDEX(Assumptions!$C$15:$C$19, MATCH(C22, {"Virginia","Florida","Texas","New York","California"}, 0)) * Assumptions!$C$9 -
            SUMIF(C$2:C21, C22, D$2:D22)) /
            (1 + EXP(-0.2 * (B22 - INDEX(Assumptions!$C$3:$C$7, MATCH(C22, {"Virginia","Florida","Texas","New York","California"}, 0)) - 30))),
            0
        )
    )
)</f>
        <v>131</v>
      </c>
      <c r="E22" s="62">
        <f>IF(B22&lt;INDEX(Assumptions!$C$3:$C$7, MATCH(C22, {"Virginia","Florida","Texas","New York","California"}, 0)),
    0,
    IF(F22=0,
        0,
        F22 * Assumptions!$C$12
    )
)</f>
        <v>3.3041666666666667</v>
      </c>
      <c r="F22" s="62" cm="1">
        <f t="array" ref="F22">IF(B22&lt;INDEX(Assumptions!$C$3:$C$7, MATCH(C22, {"Virginia","Florida","Texas","New York","California"}, 0)),
    0,
    IF(C22=C21,
        F21 + D22,
        IF(COUNTIF($C$2:C22, C22) = 1, D22, LOOKUP(2, 1/(C$1:C21=C22), F$1:F21) + D22)
    )
)</f>
        <v>793</v>
      </c>
      <c r="G22" s="62" cm="1">
        <f t="array" ref="G22">IF(B22&lt;INDEX(Assumptions!$C$3:$C$7, MATCH(C22, {"Virginia","Florida","Texas","New York","California"}, 0)),
    0,
    IF(C22=C21,
        G21 + D22 - E22,
        IF(COUNTIF($C$2:C22, C22) = 1, D22, LOOKUP(2, 1/(C$1:C21=C22), G$1:G21) + D22 - E22)
    )
)</f>
        <v>775.14166666666665</v>
      </c>
      <c r="H22" s="63">
        <f>IF(B22&lt;INDEX(Assumptions!$C$3:$C$7, MATCH(C22, {"Virginia","Florida","Texas","New York","California"}, 0)),
    0,
    (G22 / INDEX(Assumptions!$C$15:$C$19, MATCH(C22, {"Virginia","Florida","Texas","New York","California"}, 0)))
)</f>
        <v>1.5502833333333334E-2</v>
      </c>
      <c r="I22" s="43">
        <f>G22*'Unit Economics'!$B$19* INDEX(Assumptions!$C$38:$C$42, MATCH(C22, {"Virginia","Florida","Texas","New York","California"}, 0))</f>
        <v>186638.61050000001</v>
      </c>
      <c r="J22" s="43">
        <f>D22*Assumptions!$C$21*INDEX(Assumptions!$C$38:$C$42,MATCH(C22,{"Virginia","Florida","Texas","New York","California"},0))</f>
        <v>33529.449999999997</v>
      </c>
      <c r="K22" s="43">
        <f>G22/Assumptions!$C$22*('Unit Economics'!$F$24+'Unit Economics'!$F$25+'Unit Economics'!$F$26)</f>
        <v>36961.718443627455</v>
      </c>
      <c r="L22" s="43">
        <f>D22*Assumptions!$C$29</f>
        <v>24235</v>
      </c>
      <c r="M22" s="35">
        <f>G22*Assumptions!$C$27</f>
        <v>0</v>
      </c>
      <c r="N22" s="35">
        <f>G22*Assumptions!$C$28</f>
        <v>0</v>
      </c>
      <c r="O22" s="64">
        <f>IF( COUNTIF($B$2:B22, B22) = 1, MIN( Assumptions!$C$34 + INT(SUMIF($B$2:$B22, B22, G$2:G22) / 1000) * Assumptions!$C$37, Assumptions!$C$36 ), 0 )</f>
        <v>0</v>
      </c>
      <c r="P22" s="53">
        <f t="shared" si="1"/>
        <v>232894.77894362749</v>
      </c>
      <c r="Q22" s="52">
        <f t="shared" si="2"/>
        <v>855199.86921446084</v>
      </c>
    </row>
    <row r="23" spans="1:17">
      <c r="A23" s="2">
        <f t="shared" si="0"/>
        <v>2</v>
      </c>
      <c r="B23" s="2">
        <v>16</v>
      </c>
      <c r="C23" s="2" t="s">
        <v>90</v>
      </c>
      <c r="D23" s="62">
        <f>IF(
    B23 &lt; INDEX(Assumptions!$C$3:$C$7, MATCH(C23, {"Virginia","Florida","Texas","New York","California"}, 0)),
    0,
    IF(
        B23 = INDEX(Assumptions!$C$3:$C$7, MATCH(C23, {"Virginia","Florida","Texas","New York","California"}, 0)),
        IF(C23 = "Virginia", Assumptions!$C$13, Assumptions!$C$14),
        ROUND(
            (INDEX(Assumptions!$C$15:$C$19, MATCH(C23, {"Virginia","Florida","Texas","New York","California"}, 0)) * Assumptions!$C$9 -
            SUMIF(C$2:C22, C23, D$2:D23)) /
            (1 + EXP(-0.2 * (B23 - INDEX(Assumptions!$C$3:$C$7, MATCH(C23, {"Virginia","Florida","Texas","New York","California"}, 0)) - 30))),
            0
        )
    )
)</f>
        <v>25</v>
      </c>
      <c r="E23" s="62">
        <f>IF(B23&lt;INDEX(Assumptions!$C$3:$C$7, MATCH(C23, {"Virginia","Florida","Texas","New York","California"}, 0)),
    0,
    IF(F23=0,
        0,
        F23 * Assumptions!$C$12
    )
)</f>
        <v>0.67500000000000004</v>
      </c>
      <c r="F23" s="62" cm="1">
        <f t="array" ref="F23">IF(B23&lt;INDEX(Assumptions!$C$3:$C$7, MATCH(C23, {"Virginia","Florida","Texas","New York","California"}, 0)),
    0,
    IF(C23=C22,
        F22 + D23,
        IF(COUNTIF($C$2:C23, C23) = 1, D23, LOOKUP(2, 1/(C$1:C22=C23), F$1:F22) + D23)
    )
)</f>
        <v>162</v>
      </c>
      <c r="G23" s="62" cm="1">
        <f t="array" ref="G23">IF(B23&lt;INDEX(Assumptions!$C$3:$C$7, MATCH(C23, {"Virginia","Florida","Texas","New York","California"}, 0)),
    0,
    IF(C23=C22,
        G22 + D23 - E23,
        IF(COUNTIF($C$2:C23, C23) = 1, D23, LOOKUP(2, 1/(C$1:C22=C23), G$1:G22) + D23 - E23)
    )
)</f>
        <v>160.26666666666665</v>
      </c>
      <c r="H23" s="63">
        <f>IF(B23&lt;INDEX(Assumptions!$C$3:$C$7, MATCH(C23, {"Virginia","Florida","Texas","New York","California"}, 0)),
    0,
    (G23 / INDEX(Assumptions!$C$15:$C$19, MATCH(C23, {"Virginia","Florida","Texas","New York","California"}, 0)))
)</f>
        <v>2.2895238095238094E-3</v>
      </c>
      <c r="I23" s="43">
        <f>G23*'Unit Economics'!$B$19* INDEX(Assumptions!$C$38:$C$42, MATCH(C23, {"Virginia","Florida","Texas","New York","California"}, 0))</f>
        <v>40518.458399999996</v>
      </c>
      <c r="J23" s="43">
        <f>D23*Assumptions!$C$21*INDEX(Assumptions!$C$38:$C$42,MATCH(C23,{"Virginia","Florida","Texas","New York","California"},0))</f>
        <v>6718.6875</v>
      </c>
      <c r="K23" s="43">
        <f>G23/Assumptions!$C$22*('Unit Economics'!$F$24+'Unit Economics'!$F$25+'Unit Economics'!$F$26)</f>
        <v>7642.1274509803916</v>
      </c>
      <c r="L23" s="43">
        <f>D23*Assumptions!$C$29</f>
        <v>4625</v>
      </c>
      <c r="M23" s="35">
        <f>G23*Assumptions!$C$27</f>
        <v>0</v>
      </c>
      <c r="N23" s="35">
        <f>G23*Assumptions!$C$28</f>
        <v>0</v>
      </c>
      <c r="O23" s="64">
        <f>IF( COUNTIF($B$2:B23, B23) = 1, MIN( Assumptions!$C$34 + INT(SUMIF($B$2:$B23, B23, G$2:G23) / 1000) * Assumptions!$C$37, Assumptions!$C$36 ), 0 )</f>
        <v>60000</v>
      </c>
      <c r="P23" s="53">
        <f t="shared" si="1"/>
        <v>-9745.7266490196125</v>
      </c>
      <c r="Q23" s="52">
        <f t="shared" si="2"/>
        <v>845454.1425654412</v>
      </c>
    </row>
    <row r="24" spans="1:17">
      <c r="A24" s="2">
        <f t="shared" si="0"/>
        <v>2</v>
      </c>
      <c r="B24" s="2">
        <v>16</v>
      </c>
      <c r="C24" s="2" t="s">
        <v>91</v>
      </c>
      <c r="D24" s="62">
        <f>IF(
    B24 &lt; INDEX(Assumptions!$C$3:$C$7, MATCH(C24, {"Virginia","Florida","Texas","New York","California"}, 0)),
    0,
    IF(
        B24 = INDEX(Assumptions!$C$3:$C$7, MATCH(C24, {"Virginia","Florida","Texas","New York","California"}, 0)),
        IF(C24 = "Virginia", Assumptions!$C$13, Assumptions!$C$14),
        ROUND(
            (INDEX(Assumptions!$C$15:$C$19, MATCH(C24, {"Virginia","Florida","Texas","New York","California"}, 0)) * Assumptions!$C$9 -
            SUMIF(C$2:C23, C24, D$2:D24)) /
            (1 + EXP(-0.2 * (B24 - INDEX(Assumptions!$C$3:$C$7, MATCH(C24, {"Virginia","Florida","Texas","New York","California"}, 0)) - 30))),
            0
        )
    )
)</f>
        <v>28</v>
      </c>
      <c r="E24" s="62">
        <f>IF(B24&lt;INDEX(Assumptions!$C$3:$C$7, MATCH(C24, {"Virginia","Florida","Texas","New York","California"}, 0)),
    0,
    IF(F24=0,
        0,
        F24 * Assumptions!$C$12
    )
)</f>
        <v>0.70833333333333337</v>
      </c>
      <c r="F24" s="62" cm="1">
        <f t="array" ref="F24">IF(B24&lt;INDEX(Assumptions!$C$3:$C$7, MATCH(C24, {"Virginia","Florida","Texas","New York","California"}, 0)),
    0,
    IF(C24=C23,
        F23 + D24,
        IF(COUNTIF($C$2:C24, C24) = 1, D24, LOOKUP(2, 1/(C$1:C23=C24), F$1:F23) + D24)
    )
)</f>
        <v>170</v>
      </c>
      <c r="G24" s="62" cm="1">
        <f t="array" ref="G24">IF(B24&lt;INDEX(Assumptions!$C$3:$C$7, MATCH(C24, {"Virginia","Florida","Texas","New York","California"}, 0)),
    0,
    IF(C24=C23,
        G23 + D24 - E24,
        IF(COUNTIF($C$2:C24, C24) = 1, D24, LOOKUP(2, 1/(C$1:C23=C24), G$1:G23) + D24 - E24)
    )
)</f>
        <v>168.20416666666665</v>
      </c>
      <c r="H24" s="63">
        <f>IF(B24&lt;INDEX(Assumptions!$C$3:$C$7, MATCH(C24, {"Virginia","Florida","Texas","New York","California"}, 0)),
    0,
    (G24 / INDEX(Assumptions!$C$15:$C$19, MATCH(C24, {"Virginia","Florida","Texas","New York","California"}, 0)))
)</f>
        <v>2.102552083333333E-3</v>
      </c>
      <c r="I24" s="43">
        <f>G24*'Unit Economics'!$B$19* INDEX(Assumptions!$C$38:$C$42, MATCH(C24, {"Virginia","Florida","Texas","New York","California"}, 0))</f>
        <v>41715.205227500002</v>
      </c>
      <c r="J24" s="43">
        <f>D24*Assumptions!$C$21*INDEX(Assumptions!$C$38:$C$42,MATCH(C24,{"Virginia","Florida","Texas","New York","California"},0))</f>
        <v>7381.598</v>
      </c>
      <c r="K24" s="43">
        <f>G24/Assumptions!$C$22*('Unit Economics'!$F$24+'Unit Economics'!$F$25+'Unit Economics'!$F$26)</f>
        <v>8020.6178002450979</v>
      </c>
      <c r="L24" s="43">
        <f>D24*Assumptions!$C$29</f>
        <v>5180</v>
      </c>
      <c r="M24" s="35">
        <f>G24*Assumptions!$C$27</f>
        <v>0</v>
      </c>
      <c r="N24" s="35">
        <f>G24*Assumptions!$C$28</f>
        <v>0</v>
      </c>
      <c r="O24" s="64">
        <f>IF( COUNTIF($B$2:B24, B24) = 1, MIN( Assumptions!$C$34 + INT(SUMIF($B$2:$B24, B24, G$2:G24) / 1000) * Assumptions!$C$37, Assumptions!$C$36 ), 0 )</f>
        <v>0</v>
      </c>
      <c r="P24" s="53">
        <f t="shared" si="1"/>
        <v>51937.421027745098</v>
      </c>
      <c r="Q24" s="52">
        <f t="shared" si="2"/>
        <v>897391.56359318632</v>
      </c>
    </row>
    <row r="25" spans="1:17">
      <c r="A25" s="2">
        <f t="shared" si="0"/>
        <v>2</v>
      </c>
      <c r="B25" s="2">
        <v>16</v>
      </c>
      <c r="C25" s="2" t="s">
        <v>89</v>
      </c>
      <c r="D25" s="62">
        <f>IF(
    B25 &lt; INDEX(Assumptions!$C$3:$C$7, MATCH(C25, {"Virginia","Florida","Texas","New York","California"}, 0)),
    0,
    IF(
        B25 = INDEX(Assumptions!$C$3:$C$7, MATCH(C25, {"Virginia","Florida","Texas","New York","California"}, 0)),
        IF(C25 = "Virginia", Assumptions!$C$13, Assumptions!$C$14),
        ROUND(
            (INDEX(Assumptions!$C$15:$C$19, MATCH(C25, {"Virginia","Florida","Texas","New York","California"}, 0)) * Assumptions!$C$9 -
            SUMIF(C$2:C24, C25, D$2:D25)) /
            (1 + EXP(-0.2 * (B25 - INDEX(Assumptions!$C$3:$C$7, MATCH(C25, {"Virginia","Florida","Texas","New York","California"}, 0)) - 30))),
            0
        )
    )
)</f>
        <v>152</v>
      </c>
      <c r="E25" s="62">
        <f>IF(B25&lt;INDEX(Assumptions!$C$3:$C$7, MATCH(C25, {"Virginia","Florida","Texas","New York","California"}, 0)),
    0,
    IF(F25=0,
        0,
        F25 * Assumptions!$C$12
    )
)</f>
        <v>3.9375</v>
      </c>
      <c r="F25" s="62" cm="1">
        <f t="array" ref="F25">IF(B25&lt;INDEX(Assumptions!$C$3:$C$7, MATCH(C25, {"Virginia","Florida","Texas","New York","California"}, 0)),
    0,
    IF(C25=C24,
        F24 + D25,
        IF(COUNTIF($C$2:C25, C25) = 1, D25, LOOKUP(2, 1/(C$1:C24=C25), F$1:F24) + D25)
    )
)</f>
        <v>945</v>
      </c>
      <c r="G25" s="62" cm="1">
        <f t="array" ref="G25">IF(B25&lt;INDEX(Assumptions!$C$3:$C$7, MATCH(C25, {"Virginia","Florida","Texas","New York","California"}, 0)),
    0,
    IF(C25=C24,
        G24 + D25 - E25,
        IF(COUNTIF($C$2:C25, C25) = 1, D25, LOOKUP(2, 1/(C$1:C24=C25), G$1:G24) + D25 - E25)
    )
)</f>
        <v>923.20416666666665</v>
      </c>
      <c r="H25" s="63">
        <f>IF(B25&lt;INDEX(Assumptions!$C$3:$C$7, MATCH(C25, {"Virginia","Florida","Texas","New York","California"}, 0)),
    0,
    (G25 / INDEX(Assumptions!$C$15:$C$19, MATCH(C25, {"Virginia","Florida","Texas","New York","California"}, 0)))
)</f>
        <v>1.8464083333333332E-2</v>
      </c>
      <c r="I25" s="43">
        <f>G25*'Unit Economics'!$B$19* INDEX(Assumptions!$C$38:$C$42, MATCH(C25, {"Virginia","Florida","Texas","New York","California"}, 0))</f>
        <v>222289.09925</v>
      </c>
      <c r="J25" s="43">
        <f>D25*Assumptions!$C$21*INDEX(Assumptions!$C$38:$C$42,MATCH(C25,{"Virginia","Florida","Texas","New York","California"},0))</f>
        <v>38904.400000000001</v>
      </c>
      <c r="K25" s="43">
        <f>G25/Assumptions!$C$22*('Unit Economics'!$F$24+'Unit Economics'!$F$25+'Unit Economics'!$F$26)</f>
        <v>44021.904564950986</v>
      </c>
      <c r="L25" s="43">
        <f>D25*Assumptions!$C$29</f>
        <v>28120</v>
      </c>
      <c r="M25" s="35">
        <f>G25*Assumptions!$C$27</f>
        <v>0</v>
      </c>
      <c r="N25" s="35">
        <f>G25*Assumptions!$C$28</f>
        <v>0</v>
      </c>
      <c r="O25" s="64">
        <f>IF( COUNTIF($B$2:B25, B25) = 1, MIN( Assumptions!$C$34 + INT(SUMIF($B$2:$B25, B25, G$2:G25) / 1000) * Assumptions!$C$37, Assumptions!$C$36 ), 0 )</f>
        <v>0</v>
      </c>
      <c r="P25" s="53">
        <f t="shared" si="1"/>
        <v>277095.40381495096</v>
      </c>
      <c r="Q25" s="52">
        <f t="shared" si="2"/>
        <v>1174486.9674081374</v>
      </c>
    </row>
    <row r="26" spans="1:17">
      <c r="A26" s="2">
        <f t="shared" si="0"/>
        <v>2</v>
      </c>
      <c r="B26" s="2">
        <v>17</v>
      </c>
      <c r="C26" s="2" t="s">
        <v>90</v>
      </c>
      <c r="D26" s="62">
        <f>IF(
    B26 &lt; INDEX(Assumptions!$C$3:$C$7, MATCH(C26, {"Virginia","Florida","Texas","New York","California"}, 0)),
    0,
    IF(
        B26 = INDEX(Assumptions!$C$3:$C$7, MATCH(C26, {"Virginia","Florida","Texas","New York","California"}, 0)),
        IF(C26 = "Virginia", Assumptions!$C$13, Assumptions!$C$14),
        ROUND(
            (INDEX(Assumptions!$C$15:$C$19, MATCH(C26, {"Virginia","Florida","Texas","New York","California"}, 0)) * Assumptions!$C$9 -
            SUMIF(C$2:C25, C26, D$2:D26)) /
            (1 + EXP(-0.2 * (B26 - INDEX(Assumptions!$C$3:$C$7, MATCH(C26, {"Virginia","Florida","Texas","New York","California"}, 0)) - 30))),
            0
        )
    )
)</f>
        <v>30</v>
      </c>
      <c r="E26" s="62">
        <f>IF(B26&lt;INDEX(Assumptions!$C$3:$C$7, MATCH(C26, {"Virginia","Florida","Texas","New York","California"}, 0)),
    0,
    IF(F26=0,
        0,
        F26 * Assumptions!$C$12
    )
)</f>
        <v>0.8</v>
      </c>
      <c r="F26" s="62" cm="1">
        <f t="array" ref="F26">IF(B26&lt;INDEX(Assumptions!$C$3:$C$7, MATCH(C26, {"Virginia","Florida","Texas","New York","California"}, 0)),
    0,
    IF(C26=C25,
        F25 + D26,
        IF(COUNTIF($C$2:C26, C26) = 1, D26, LOOKUP(2, 1/(C$1:C25=C26), F$1:F25) + D26)
    )
)</f>
        <v>192</v>
      </c>
      <c r="G26" s="62" cm="1">
        <f t="array" ref="G26">IF(B26&lt;INDEX(Assumptions!$C$3:$C$7, MATCH(C26, {"Virginia","Florida","Texas","New York","California"}, 0)),
    0,
    IF(C26=C25,
        G25 + D26 - E26,
        IF(COUNTIF($C$2:C26, C26) = 1, D26, LOOKUP(2, 1/(C$1:C25=C26), G$1:G25) + D26 - E26)
    )
)</f>
        <v>189.46666666666664</v>
      </c>
      <c r="H26" s="63">
        <f>IF(B26&lt;INDEX(Assumptions!$C$3:$C$7, MATCH(C26, {"Virginia","Florida","Texas","New York","California"}, 0)),
    0,
    (G26 / INDEX(Assumptions!$C$15:$C$19, MATCH(C26, {"Virginia","Florida","Texas","New York","California"}, 0)))
)</f>
        <v>2.7066666666666662E-3</v>
      </c>
      <c r="I26" s="43">
        <f>G26*'Unit Economics'!$B$19* INDEX(Assumptions!$C$38:$C$42, MATCH(C26, {"Virginia","Florida","Texas","New York","California"}, 0))</f>
        <v>47900.773199999996</v>
      </c>
      <c r="J26" s="43">
        <f>D26*Assumptions!$C$21*INDEX(Assumptions!$C$38:$C$42,MATCH(C26,{"Virginia","Florida","Texas","New York","California"},0))</f>
        <v>8062.4250000000002</v>
      </c>
      <c r="K26" s="43">
        <f>G26/Assumptions!$C$22*('Unit Economics'!$F$24+'Unit Economics'!$F$25+'Unit Economics'!$F$26)</f>
        <v>9034.495098039215</v>
      </c>
      <c r="L26" s="43">
        <f>D26*Assumptions!$C$29</f>
        <v>5550</v>
      </c>
      <c r="M26" s="35">
        <f>G26*Assumptions!$C$27</f>
        <v>0</v>
      </c>
      <c r="N26" s="35">
        <f>G26*Assumptions!$C$28</f>
        <v>0</v>
      </c>
      <c r="O26" s="64">
        <f>IF( COUNTIF($B$2:B26, B26) = 1, MIN( Assumptions!$C$34 + INT(SUMIF($B$2:$B26, B26, G$2:G26) / 1000) * Assumptions!$C$37, Assumptions!$C$36 ), 0 )</f>
        <v>60000</v>
      </c>
      <c r="P26" s="53">
        <f t="shared" si="1"/>
        <v>-552.30670196078427</v>
      </c>
      <c r="Q26" s="52">
        <f t="shared" si="2"/>
        <v>1173934.6607061767</v>
      </c>
    </row>
    <row r="27" spans="1:17">
      <c r="A27" s="2">
        <f t="shared" si="0"/>
        <v>2</v>
      </c>
      <c r="B27" s="2">
        <v>17</v>
      </c>
      <c r="C27" s="2" t="s">
        <v>91</v>
      </c>
      <c r="D27" s="62">
        <f>IF(
    B27 &lt; INDEX(Assumptions!$C$3:$C$7, MATCH(C27, {"Virginia","Florida","Texas","New York","California"}, 0)),
    0,
    IF(
        B27 = INDEX(Assumptions!$C$3:$C$7, MATCH(C27, {"Virginia","Florida","Texas","New York","California"}, 0)),
        IF(C27 = "Virginia", Assumptions!$C$13, Assumptions!$C$14),
        ROUND(
            (INDEX(Assumptions!$C$15:$C$19, MATCH(C27, {"Virginia","Florida","Texas","New York","California"}, 0)) * Assumptions!$C$9 -
            SUMIF(C$2:C26, C27, D$2:D27)) /
            (1 + EXP(-0.2 * (B27 - INDEX(Assumptions!$C$3:$C$7, MATCH(C27, {"Virginia","Florida","Texas","New York","California"}, 0)) - 30))),
            0
        )
    )
)</f>
        <v>34</v>
      </c>
      <c r="E27" s="62">
        <f>IF(B27&lt;INDEX(Assumptions!$C$3:$C$7, MATCH(C27, {"Virginia","Florida","Texas","New York","California"}, 0)),
    0,
    IF(F27=0,
        0,
        F27 * Assumptions!$C$12
    )
)</f>
        <v>0.85</v>
      </c>
      <c r="F27" s="62" cm="1">
        <f t="array" ref="F27">IF(B27&lt;INDEX(Assumptions!$C$3:$C$7, MATCH(C27, {"Virginia","Florida","Texas","New York","California"}, 0)),
    0,
    IF(C27=C26,
        F26 + D27,
        IF(COUNTIF($C$2:C27, C27) = 1, D27, LOOKUP(2, 1/(C$1:C26=C27), F$1:F26) + D27)
    )
)</f>
        <v>204</v>
      </c>
      <c r="G27" s="62" cm="1">
        <f t="array" ref="G27">IF(B27&lt;INDEX(Assumptions!$C$3:$C$7, MATCH(C27, {"Virginia","Florida","Texas","New York","California"}, 0)),
    0,
    IF(C27=C26,
        G26 + D27 - E27,
        IF(COUNTIF($C$2:C27, C27) = 1, D27, LOOKUP(2, 1/(C$1:C26=C27), G$1:G26) + D27 - E27)
    )
)</f>
        <v>201.35416666666666</v>
      </c>
      <c r="H27" s="63">
        <f>IF(B27&lt;INDEX(Assumptions!$C$3:$C$7, MATCH(C27, {"Virginia","Florida","Texas","New York","California"}, 0)),
    0,
    (G27 / INDEX(Assumptions!$C$15:$C$19, MATCH(C27, {"Virginia","Florida","Texas","New York","California"}, 0)))
)</f>
        <v>2.5169270833333333E-3</v>
      </c>
      <c r="I27" s="43">
        <f>G27*'Unit Economics'!$B$19* INDEX(Assumptions!$C$38:$C$42, MATCH(C27, {"Virginia","Florida","Texas","New York","California"}, 0))</f>
        <v>49936.517937500001</v>
      </c>
      <c r="J27" s="43">
        <f>D27*Assumptions!$C$21*INDEX(Assumptions!$C$38:$C$42,MATCH(C27,{"Virginia","Florida","Texas","New York","California"},0))</f>
        <v>8963.3689999999988</v>
      </c>
      <c r="K27" s="43">
        <f>G27/Assumptions!$C$22*('Unit Economics'!$F$24+'Unit Economics'!$F$25+'Unit Economics'!$F$26)</f>
        <v>9601.3365502450997</v>
      </c>
      <c r="L27" s="43">
        <f>D27*Assumptions!$C$29</f>
        <v>6290</v>
      </c>
      <c r="M27" s="35">
        <f>G27*Assumptions!$C$27</f>
        <v>0</v>
      </c>
      <c r="N27" s="35">
        <f>G27*Assumptions!$C$28</f>
        <v>0</v>
      </c>
      <c r="O27" s="64">
        <f>IF( COUNTIF($B$2:B27, B27) = 1, MIN( Assumptions!$C$34 + INT(SUMIF($B$2:$B27, B27, G$2:G27) / 1000) * Assumptions!$C$37, Assumptions!$C$36 ), 0 )</f>
        <v>0</v>
      </c>
      <c r="P27" s="53">
        <f t="shared" si="1"/>
        <v>62211.223487745097</v>
      </c>
      <c r="Q27" s="52">
        <f t="shared" si="2"/>
        <v>1236145.8841939217</v>
      </c>
    </row>
    <row r="28" spans="1:17">
      <c r="A28" s="2">
        <f t="shared" si="0"/>
        <v>2</v>
      </c>
      <c r="B28" s="2">
        <v>17</v>
      </c>
      <c r="C28" s="2" t="s">
        <v>89</v>
      </c>
      <c r="D28" s="62">
        <f>IF(
    B28 &lt; INDEX(Assumptions!$C$3:$C$7, MATCH(C28, {"Virginia","Florida","Texas","New York","California"}, 0)),
    0,
    IF(
        B28 = INDEX(Assumptions!$C$3:$C$7, MATCH(C28, {"Virginia","Florida","Texas","New York","California"}, 0)),
        IF(C28 = "Virginia", Assumptions!$C$13, Assumptions!$C$14),
        ROUND(
            (INDEX(Assumptions!$C$15:$C$19, MATCH(C28, {"Virginia","Florida","Texas","New York","California"}, 0)) * Assumptions!$C$9 -
            SUMIF(C$2:C27, C28, D$2:D28)) /
            (1 + EXP(-0.2 * (B28 - INDEX(Assumptions!$C$3:$C$7, MATCH(C28, {"Virginia","Florida","Texas","New York","California"}, 0)) - 30))),
            0
        )
    )
)</f>
        <v>175</v>
      </c>
      <c r="E28" s="62">
        <f>IF(B28&lt;INDEX(Assumptions!$C$3:$C$7, MATCH(C28, {"Virginia","Florida","Texas","New York","California"}, 0)),
    0,
    IF(F28=0,
        0,
        F28 * Assumptions!$C$12
    )
)</f>
        <v>4.666666666666667</v>
      </c>
      <c r="F28" s="62" cm="1">
        <f t="array" ref="F28">IF(B28&lt;INDEX(Assumptions!$C$3:$C$7, MATCH(C28, {"Virginia","Florida","Texas","New York","California"}, 0)),
    0,
    IF(C28=C27,
        F27 + D28,
        IF(COUNTIF($C$2:C28, C28) = 1, D28, LOOKUP(2, 1/(C$1:C27=C28), F$1:F27) + D28)
    )
)</f>
        <v>1120</v>
      </c>
      <c r="G28" s="62" cm="1">
        <f t="array" ref="G28">IF(B28&lt;INDEX(Assumptions!$C$3:$C$7, MATCH(C28, {"Virginia","Florida","Texas","New York","California"}, 0)),
    0,
    IF(C28=C27,
        G27 + D28 - E28,
        IF(COUNTIF($C$2:C28, C28) = 1, D28, LOOKUP(2, 1/(C$1:C27=C28), G$1:G27) + D28 - E28)
    )
)</f>
        <v>1093.5374999999999</v>
      </c>
      <c r="H28" s="63">
        <f>IF(B28&lt;INDEX(Assumptions!$C$3:$C$7, MATCH(C28, {"Virginia","Florida","Texas","New York","California"}, 0)),
    0,
    (G28 / INDEX(Assumptions!$C$15:$C$19, MATCH(C28, {"Virginia","Florida","Texas","New York","California"}, 0)))
)</f>
        <v>2.1870749999999998E-2</v>
      </c>
      <c r="I28" s="43">
        <f>G28*'Unit Economics'!$B$19* INDEX(Assumptions!$C$38:$C$42, MATCH(C28, {"Virginia","Florida","Texas","New York","California"}, 0))</f>
        <v>263301.95924999996</v>
      </c>
      <c r="J28" s="43">
        <f>D28*Assumptions!$C$21*INDEX(Assumptions!$C$38:$C$42,MATCH(C28,{"Virginia","Florida","Texas","New York","California"},0))</f>
        <v>44791.25</v>
      </c>
      <c r="K28" s="43">
        <f>G28/Assumptions!$C$22*('Unit Economics'!$F$24+'Unit Economics'!$F$25+'Unit Economics'!$F$26)</f>
        <v>52144.049172794112</v>
      </c>
      <c r="L28" s="43">
        <f>D28*Assumptions!$C$29</f>
        <v>32375</v>
      </c>
      <c r="M28" s="35">
        <f>G28*Assumptions!$C$27</f>
        <v>0</v>
      </c>
      <c r="N28" s="35">
        <f>G28*Assumptions!$C$28</f>
        <v>0</v>
      </c>
      <c r="O28" s="64">
        <f>IF( COUNTIF($B$2:B28, B28) = 1, MIN( Assumptions!$C$34 + INT(SUMIF($B$2:$B28, B28, G$2:G28) / 1000) * Assumptions!$C$37, Assumptions!$C$36 ), 0 )</f>
        <v>0</v>
      </c>
      <c r="P28" s="53">
        <f t="shared" si="1"/>
        <v>327862.25842279405</v>
      </c>
      <c r="Q28" s="52">
        <f t="shared" si="2"/>
        <v>1564008.1426167157</v>
      </c>
    </row>
    <row r="29" spans="1:17">
      <c r="A29" s="2">
        <f t="shared" si="0"/>
        <v>2</v>
      </c>
      <c r="B29" s="2">
        <v>18</v>
      </c>
      <c r="C29" s="2" t="s">
        <v>90</v>
      </c>
      <c r="D29" s="62">
        <f>IF(
    B29 &lt; INDEX(Assumptions!$C$3:$C$7, MATCH(C29, {"Virginia","Florida","Texas","New York","California"}, 0)),
    0,
    IF(
        B29 = INDEX(Assumptions!$C$3:$C$7, MATCH(C29, {"Virginia","Florida","Texas","New York","California"}, 0)),
        IF(C29 = "Virginia", Assumptions!$C$13, Assumptions!$C$14),
        ROUND(
            (INDEX(Assumptions!$C$15:$C$19, MATCH(C29, {"Virginia","Florida","Texas","New York","California"}, 0)) * Assumptions!$C$9 -
            SUMIF(C$2:C28, C29, D$2:D29)) /
            (1 + EXP(-0.2 * (B29 - INDEX(Assumptions!$C$3:$C$7, MATCH(C29, {"Virginia","Florida","Texas","New York","California"}, 0)) - 30))),
            0
        )
    )
)</f>
        <v>36</v>
      </c>
      <c r="E29" s="62">
        <f>IF(B29&lt;INDEX(Assumptions!$C$3:$C$7, MATCH(C29, {"Virginia","Florida","Texas","New York","California"}, 0)),
    0,
    IF(F29=0,
        0,
        F29 * Assumptions!$C$12
    )
)</f>
        <v>0.95</v>
      </c>
      <c r="F29" s="62" cm="1">
        <f t="array" ref="F29">IF(B29&lt;INDEX(Assumptions!$C$3:$C$7, MATCH(C29, {"Virginia","Florida","Texas","New York","California"}, 0)),
    0,
    IF(C29=C28,
        F28 + D29,
        IF(COUNTIF($C$2:C29, C29) = 1, D29, LOOKUP(2, 1/(C$1:C28=C29), F$1:F28) + D29)
    )
)</f>
        <v>228</v>
      </c>
      <c r="G29" s="62" cm="1">
        <f t="array" ref="G29">IF(B29&lt;INDEX(Assumptions!$C$3:$C$7, MATCH(C29, {"Virginia","Florida","Texas","New York","California"}, 0)),
    0,
    IF(C29=C28,
        G28 + D29 - E29,
        IF(COUNTIF($C$2:C29, C29) = 1, D29, LOOKUP(2, 1/(C$1:C28=C29), G$1:G28) + D29 - E29)
    )
)</f>
        <v>224.51666666666665</v>
      </c>
      <c r="H29" s="63">
        <f>IF(B29&lt;INDEX(Assumptions!$C$3:$C$7, MATCH(C29, {"Virginia","Florida","Texas","New York","California"}, 0)),
    0,
    (G29 / INDEX(Assumptions!$C$15:$C$19, MATCH(C29, {"Virginia","Florida","Texas","New York","California"}, 0)))
)</f>
        <v>3.207380952380952E-3</v>
      </c>
      <c r="I29" s="43">
        <f>G29*'Unit Economics'!$B$19* INDEX(Assumptions!$C$38:$C$42, MATCH(C29, {"Virginia","Florida","Texas","New York","California"}, 0))</f>
        <v>56762.079150000005</v>
      </c>
      <c r="J29" s="43">
        <f>D29*Assumptions!$C$21*INDEX(Assumptions!$C$38:$C$42,MATCH(C29,{"Virginia","Florida","Texas","New York","California"},0))</f>
        <v>9674.91</v>
      </c>
      <c r="K29" s="43">
        <f>G29/Assumptions!$C$22*('Unit Economics'!$F$24+'Unit Economics'!$F$25+'Unit Economics'!$F$26)</f>
        <v>10705.813112745098</v>
      </c>
      <c r="L29" s="43">
        <f>D29*Assumptions!$C$29</f>
        <v>6660</v>
      </c>
      <c r="M29" s="35">
        <f>G29*Assumptions!$C$27</f>
        <v>0</v>
      </c>
      <c r="N29" s="35">
        <f>G29*Assumptions!$C$28</f>
        <v>0</v>
      </c>
      <c r="O29" s="64">
        <f>IF( COUNTIF($B$2:B29, B29) = 1, MIN( Assumptions!$C$34 + INT(SUMIF($B$2:$B29, B29, G$2:G29) / 1000) * Assumptions!$C$37, Assumptions!$C$36 ), 0 )</f>
        <v>60000</v>
      </c>
      <c r="P29" s="53">
        <f t="shared" si="1"/>
        <v>10482.802262745099</v>
      </c>
      <c r="Q29" s="52">
        <f t="shared" si="2"/>
        <v>1574490.9448794608</v>
      </c>
    </row>
    <row r="30" spans="1:17">
      <c r="A30" s="2">
        <f t="shared" si="0"/>
        <v>2</v>
      </c>
      <c r="B30" s="2">
        <v>18</v>
      </c>
      <c r="C30" s="2" t="s">
        <v>91</v>
      </c>
      <c r="D30" s="62">
        <f>IF(
    B30 &lt; INDEX(Assumptions!$C$3:$C$7, MATCH(C30, {"Virginia","Florida","Texas","New York","California"}, 0)),
    0,
    IF(
        B30 = INDEX(Assumptions!$C$3:$C$7, MATCH(C30, {"Virginia","Florida","Texas","New York","California"}, 0)),
        IF(C30 = "Virginia", Assumptions!$C$13, Assumptions!$C$14),
        ROUND(
            (INDEX(Assumptions!$C$15:$C$19, MATCH(C30, {"Virginia","Florida","Texas","New York","California"}, 0)) * Assumptions!$C$9 -
            SUMIF(C$2:C29, C30, D$2:D30)) /
            (1 + EXP(-0.2 * (B30 - INDEX(Assumptions!$C$3:$C$7, MATCH(C30, {"Virginia","Florida","Texas","New York","California"}, 0)) - 30))),
            0
        )
    )
)</f>
        <v>41</v>
      </c>
      <c r="E30" s="62">
        <f>IF(B30&lt;INDEX(Assumptions!$C$3:$C$7, MATCH(C30, {"Virginia","Florida","Texas","New York","California"}, 0)),
    0,
    IF(F30=0,
        0,
        F30 * Assumptions!$C$12
    )
)</f>
        <v>1.0208333333333333</v>
      </c>
      <c r="F30" s="62" cm="1">
        <f t="array" ref="F30">IF(B30&lt;INDEX(Assumptions!$C$3:$C$7, MATCH(C30, {"Virginia","Florida","Texas","New York","California"}, 0)),
    0,
    IF(C30=C29,
        F29 + D30,
        IF(COUNTIF($C$2:C30, C30) = 1, D30, LOOKUP(2, 1/(C$1:C29=C30), F$1:F29) + D30)
    )
)</f>
        <v>245</v>
      </c>
      <c r="G30" s="62" cm="1">
        <f t="array" ref="G30">IF(B30&lt;INDEX(Assumptions!$C$3:$C$7, MATCH(C30, {"Virginia","Florida","Texas","New York","California"}, 0)),
    0,
    IF(C30=C29,
        G29 + D30 - E30,
        IF(COUNTIF($C$2:C30, C30) = 1, D30, LOOKUP(2, 1/(C$1:C29=C30), G$1:G29) + D30 - E30)
    )
)</f>
        <v>241.33333333333331</v>
      </c>
      <c r="H30" s="63">
        <f>IF(B30&lt;INDEX(Assumptions!$C$3:$C$7, MATCH(C30, {"Virginia","Florida","Texas","New York","California"}, 0)),
    0,
    (G30 / INDEX(Assumptions!$C$15:$C$19, MATCH(C30, {"Virginia","Florida","Texas","New York","California"}, 0)))
)</f>
        <v>3.0166666666666666E-3</v>
      </c>
      <c r="I30" s="43">
        <f>G30*'Unit Economics'!$B$19* INDEX(Assumptions!$C$38:$C$42, MATCH(C30, {"Virginia","Florida","Texas","New York","California"}, 0))</f>
        <v>59851.487199999996</v>
      </c>
      <c r="J30" s="43">
        <f>D30*Assumptions!$C$21*INDEX(Assumptions!$C$38:$C$42,MATCH(C30,{"Virginia","Florida","Texas","New York","California"},0))</f>
        <v>10808.768499999998</v>
      </c>
      <c r="K30" s="43">
        <f>G30/Assumptions!$C$22*('Unit Economics'!$F$24+'Unit Economics'!$F$25+'Unit Economics'!$F$26)</f>
        <v>11507.696078431374</v>
      </c>
      <c r="L30" s="43">
        <f>D30*Assumptions!$C$29</f>
        <v>7585</v>
      </c>
      <c r="M30" s="35">
        <f>G30*Assumptions!$C$27</f>
        <v>0</v>
      </c>
      <c r="N30" s="35">
        <f>G30*Assumptions!$C$28</f>
        <v>0</v>
      </c>
      <c r="O30" s="64">
        <f>IF( COUNTIF($B$2:B30, B30) = 1, MIN( Assumptions!$C$34 + INT(SUMIF($B$2:$B30, B30, G$2:G30) / 1000) * Assumptions!$C$37, Assumptions!$C$36 ), 0 )</f>
        <v>0</v>
      </c>
      <c r="P30" s="53">
        <f t="shared" si="1"/>
        <v>74582.951778431365</v>
      </c>
      <c r="Q30" s="52">
        <f t="shared" si="2"/>
        <v>1649073.8966578923</v>
      </c>
    </row>
    <row r="31" spans="1:17">
      <c r="A31" s="2">
        <f t="shared" si="0"/>
        <v>2</v>
      </c>
      <c r="B31" s="2">
        <v>18</v>
      </c>
      <c r="C31" s="2" t="s">
        <v>89</v>
      </c>
      <c r="D31" s="62">
        <f>IF(
    B31 &lt; INDEX(Assumptions!$C$3:$C$7, MATCH(C31, {"Virginia","Florida","Texas","New York","California"}, 0)),
    0,
    IF(
        B31 = INDEX(Assumptions!$C$3:$C$7, MATCH(C31, {"Virginia","Florida","Texas","New York","California"}, 0)),
        IF(C31 = "Virginia", Assumptions!$C$13, Assumptions!$C$14),
        ROUND(
            (INDEX(Assumptions!$C$15:$C$19, MATCH(C31, {"Virginia","Florida","Texas","New York","California"}, 0)) * Assumptions!$C$9 -
            SUMIF(C$2:C30, C31, D$2:D31)) /
            (1 + EXP(-0.2 * (B31 - INDEX(Assumptions!$C$3:$C$7, MATCH(C31, {"Virginia","Florida","Texas","New York","California"}, 0)) - 30))),
            0
        )
    )
)</f>
        <v>199</v>
      </c>
      <c r="E31" s="62">
        <f>IF(B31&lt;INDEX(Assumptions!$C$3:$C$7, MATCH(C31, {"Virginia","Florida","Texas","New York","California"}, 0)),
    0,
    IF(F31=0,
        0,
        F31 * Assumptions!$C$12
    )
)</f>
        <v>5.4958333333333336</v>
      </c>
      <c r="F31" s="62" cm="1">
        <f t="array" ref="F31">IF(B31&lt;INDEX(Assumptions!$C$3:$C$7, MATCH(C31, {"Virginia","Florida","Texas","New York","California"}, 0)),
    0,
    IF(C31=C30,
        F30 + D31,
        IF(COUNTIF($C$2:C31, C31) = 1, D31, LOOKUP(2, 1/(C$1:C30=C31), F$1:F30) + D31)
    )
)</f>
        <v>1319</v>
      </c>
      <c r="G31" s="62" cm="1">
        <f t="array" ref="G31">IF(B31&lt;INDEX(Assumptions!$C$3:$C$7, MATCH(C31, {"Virginia","Florida","Texas","New York","California"}, 0)),
    0,
    IF(C31=C30,
        G30 + D31 - E31,
        IF(COUNTIF($C$2:C31, C31) = 1, D31, LOOKUP(2, 1/(C$1:C30=C31), G$1:G30) + D31 - E31)
    )
)</f>
        <v>1287.0416666666665</v>
      </c>
      <c r="H31" s="63">
        <f>IF(B31&lt;INDEX(Assumptions!$C$3:$C$7, MATCH(C31, {"Virginia","Florida","Texas","New York","California"}, 0)),
    0,
    (G31 / INDEX(Assumptions!$C$15:$C$19, MATCH(C31, {"Virginia","Florida","Texas","New York","California"}, 0)))
)</f>
        <v>2.5740833333333331E-2</v>
      </c>
      <c r="I31" s="43">
        <f>G31*'Unit Economics'!$B$19* INDEX(Assumptions!$C$38:$C$42, MATCH(C31, {"Virginia","Florida","Texas","New York","California"}, 0))</f>
        <v>309893.89249999996</v>
      </c>
      <c r="J31" s="43">
        <f>D31*Assumptions!$C$21*INDEX(Assumptions!$C$38:$C$42,MATCH(C31,{"Virginia","Florida","Texas","New York","California"},0))</f>
        <v>50934.049999999996</v>
      </c>
      <c r="K31" s="43">
        <f>G31/Assumptions!$C$22*('Unit Economics'!$F$24+'Unit Economics'!$F$25+'Unit Economics'!$F$26)</f>
        <v>61371.067708333336</v>
      </c>
      <c r="L31" s="43">
        <f>D31*Assumptions!$C$29</f>
        <v>36815</v>
      </c>
      <c r="M31" s="35">
        <f>G31*Assumptions!$C$27</f>
        <v>0</v>
      </c>
      <c r="N31" s="35">
        <f>G31*Assumptions!$C$28</f>
        <v>0</v>
      </c>
      <c r="O31" s="64">
        <f>IF( COUNTIF($B$2:B31, B31) = 1, MIN( Assumptions!$C$34 + INT(SUMIF($B$2:$B31, B31, G$2:G31) / 1000) * Assumptions!$C$37, Assumptions!$C$36 ), 0 )</f>
        <v>0</v>
      </c>
      <c r="P31" s="53">
        <f t="shared" si="1"/>
        <v>385384.01020833326</v>
      </c>
      <c r="Q31" s="52">
        <f t="shared" si="2"/>
        <v>2034457.9068662254</v>
      </c>
    </row>
    <row r="32" spans="1:17">
      <c r="A32" s="2">
        <f t="shared" si="0"/>
        <v>2</v>
      </c>
      <c r="B32" s="2">
        <v>19</v>
      </c>
      <c r="C32" s="2" t="s">
        <v>90</v>
      </c>
      <c r="D32" s="62">
        <f>IF(
    B32 &lt; INDEX(Assumptions!$C$3:$C$7, MATCH(C32, {"Virginia","Florida","Texas","New York","California"}, 0)),
    0,
    IF(
        B32 = INDEX(Assumptions!$C$3:$C$7, MATCH(C32, {"Virginia","Florida","Texas","New York","California"}, 0)),
        IF(C32 = "Virginia", Assumptions!$C$13, Assumptions!$C$14),
        ROUND(
            (INDEX(Assumptions!$C$15:$C$19, MATCH(C32, {"Virginia","Florida","Texas","New York","California"}, 0)) * Assumptions!$C$9 -
            SUMIF(C$2:C31, C32, D$2:D32)) /
            (1 + EXP(-0.2 * (B32 - INDEX(Assumptions!$C$3:$C$7, MATCH(C32, {"Virginia","Florida","Texas","New York","California"}, 0)) - 30))),
            0
        )
    )
)</f>
        <v>44</v>
      </c>
      <c r="E32" s="62">
        <f>IF(B32&lt;INDEX(Assumptions!$C$3:$C$7, MATCH(C32, {"Virginia","Florida","Texas","New York","California"}, 0)),
    0,
    IF(F32=0,
        0,
        F32 * Assumptions!$C$12
    )
)</f>
        <v>1.1333333333333333</v>
      </c>
      <c r="F32" s="62" cm="1">
        <f t="array" ref="F32">IF(B32&lt;INDEX(Assumptions!$C$3:$C$7, MATCH(C32, {"Virginia","Florida","Texas","New York","California"}, 0)),
    0,
    IF(C32=C31,
        F31 + D32,
        IF(COUNTIF($C$2:C32, C32) = 1, D32, LOOKUP(2, 1/(C$1:C31=C32), F$1:F31) + D32)
    )
)</f>
        <v>272</v>
      </c>
      <c r="G32" s="62" cm="1">
        <f t="array" ref="G32">IF(B32&lt;INDEX(Assumptions!$C$3:$C$7, MATCH(C32, {"Virginia","Florida","Texas","New York","California"}, 0)),
    0,
    IF(C32=C31,
        G31 + D32 - E32,
        IF(COUNTIF($C$2:C32, C32) = 1, D32, LOOKUP(2, 1/(C$1:C31=C32), G$1:G31) + D32 - E32)
    )
)</f>
        <v>267.38333333333333</v>
      </c>
      <c r="H32" s="63">
        <f>IF(B32&lt;INDEX(Assumptions!$C$3:$C$7, MATCH(C32, {"Virginia","Florida","Texas","New York","California"}, 0)),
    0,
    (G32 / INDEX(Assumptions!$C$15:$C$19, MATCH(C32, {"Virginia","Florida","Texas","New York","California"}, 0)))
)</f>
        <v>3.8197619047619048E-3</v>
      </c>
      <c r="I32" s="43">
        <f>G32*'Unit Economics'!$B$19* INDEX(Assumptions!$C$38:$C$42, MATCH(C32, {"Virginia","Florida","Texas","New York","California"}, 0))</f>
        <v>67599.586949999997</v>
      </c>
      <c r="J32" s="43">
        <f>D32*Assumptions!$C$21*INDEX(Assumptions!$C$38:$C$42,MATCH(C32,{"Virginia","Florida","Texas","New York","California"},0))</f>
        <v>11824.89</v>
      </c>
      <c r="K32" s="43">
        <f>G32/Assumptions!$C$22*('Unit Economics'!$F$24+'Unit Economics'!$F$25+'Unit Economics'!$F$26)</f>
        <v>12749.859681372549</v>
      </c>
      <c r="L32" s="43">
        <f>D32*Assumptions!$C$29</f>
        <v>8140</v>
      </c>
      <c r="M32" s="35">
        <f>G32*Assumptions!$C$27</f>
        <v>0</v>
      </c>
      <c r="N32" s="35">
        <f>G32*Assumptions!$C$28</f>
        <v>0</v>
      </c>
      <c r="O32" s="64">
        <f>IF( COUNTIF($B$2:B32, B32) = 1, MIN( Assumptions!$C$34 + INT(SUMIF($B$2:$B32, B32, G$2:G32) / 1000) * Assumptions!$C$37, Assumptions!$C$36 ), 0 )</f>
        <v>60000</v>
      </c>
      <c r="P32" s="53">
        <f t="shared" si="1"/>
        <v>24034.336631372542</v>
      </c>
      <c r="Q32" s="52">
        <f t="shared" si="2"/>
        <v>2058492.243497598</v>
      </c>
    </row>
    <row r="33" spans="1:17">
      <c r="A33" s="2">
        <f t="shared" si="0"/>
        <v>2</v>
      </c>
      <c r="B33" s="2">
        <v>19</v>
      </c>
      <c r="C33" s="2" t="s">
        <v>91</v>
      </c>
      <c r="D33" s="62">
        <f>IF(
    B33 &lt; INDEX(Assumptions!$C$3:$C$7, MATCH(C33, {"Virginia","Florida","Texas","New York","California"}, 0)),
    0,
    IF(
        B33 = INDEX(Assumptions!$C$3:$C$7, MATCH(C33, {"Virginia","Florida","Texas","New York","California"}, 0)),
        IF(C33 = "Virginia", Assumptions!$C$13, Assumptions!$C$14),
        ROUND(
            (INDEX(Assumptions!$C$15:$C$19, MATCH(C33, {"Virginia","Florida","Texas","New York","California"}, 0)) * Assumptions!$C$9 -
            SUMIF(C$2:C32, C33, D$2:D33)) /
            (1 + EXP(-0.2 * (B33 - INDEX(Assumptions!$C$3:$C$7, MATCH(C33, {"Virginia","Florida","Texas","New York","California"}, 0)) - 30))),
            0
        )
    )
)</f>
        <v>50</v>
      </c>
      <c r="E33" s="62">
        <f>IF(B33&lt;INDEX(Assumptions!$C$3:$C$7, MATCH(C33, {"Virginia","Florida","Texas","New York","California"}, 0)),
    0,
    IF(F33=0,
        0,
        F33 * Assumptions!$C$12
    )
)</f>
        <v>1.2291666666666667</v>
      </c>
      <c r="F33" s="62" cm="1">
        <f t="array" ref="F33">IF(B33&lt;INDEX(Assumptions!$C$3:$C$7, MATCH(C33, {"Virginia","Florida","Texas","New York","California"}, 0)),
    0,
    IF(C33=C32,
        F32 + D33,
        IF(COUNTIF($C$2:C33, C33) = 1, D33, LOOKUP(2, 1/(C$1:C32=C33), F$1:F32) + D33)
    )
)</f>
        <v>295</v>
      </c>
      <c r="G33" s="62" cm="1">
        <f t="array" ref="G33">IF(B33&lt;INDEX(Assumptions!$C$3:$C$7, MATCH(C33, {"Virginia","Florida","Texas","New York","California"}, 0)),
    0,
    IF(C33=C32,
        G32 + D33 - E33,
        IF(COUNTIF($C$2:C33, C33) = 1, D33, LOOKUP(2, 1/(C$1:C32=C33), G$1:G32) + D33 - E33)
    )
)</f>
        <v>290.10416666666663</v>
      </c>
      <c r="H33" s="63">
        <f>IF(B33&lt;INDEX(Assumptions!$C$3:$C$7, MATCH(C33, {"Virginia","Florida","Texas","New York","California"}, 0)),
    0,
    (G33 / INDEX(Assumptions!$C$15:$C$19, MATCH(C33, {"Virginia","Florida","Texas","New York","California"}, 0)))
)</f>
        <v>3.6263020833333329E-3</v>
      </c>
      <c r="I33" s="43">
        <f>G33*'Unit Economics'!$B$19* INDEX(Assumptions!$C$38:$C$42, MATCH(C33, {"Virginia","Florida","Texas","New York","California"}, 0))</f>
        <v>71946.819687499985</v>
      </c>
      <c r="J33" s="43">
        <f>D33*Assumptions!$C$21*INDEX(Assumptions!$C$38:$C$42,MATCH(C33,{"Virginia","Florida","Texas","New York","California"},0))</f>
        <v>13181.425000000001</v>
      </c>
      <c r="K33" s="43">
        <f>G33/Assumptions!$C$22*('Unit Economics'!$F$24+'Unit Economics'!$F$25+'Unit Economics'!$F$26)</f>
        <v>13833.275888480392</v>
      </c>
      <c r="L33" s="43">
        <f>D33*Assumptions!$C$29</f>
        <v>9250</v>
      </c>
      <c r="M33" s="35">
        <f>G33*Assumptions!$C$27</f>
        <v>0</v>
      </c>
      <c r="N33" s="35">
        <f>G33*Assumptions!$C$28</f>
        <v>0</v>
      </c>
      <c r="O33" s="64">
        <f>IF( COUNTIF($B$2:B33, B33) = 1, MIN( Assumptions!$C$34 + INT(SUMIF($B$2:$B33, B33, G$2:G33) / 1000) * Assumptions!$C$37, Assumptions!$C$36 ), 0 )</f>
        <v>0</v>
      </c>
      <c r="P33" s="53">
        <f t="shared" si="1"/>
        <v>89711.520575980379</v>
      </c>
      <c r="Q33" s="52">
        <f t="shared" si="2"/>
        <v>2148203.7640735782</v>
      </c>
    </row>
    <row r="34" spans="1:17">
      <c r="A34" s="2">
        <f t="shared" si="0"/>
        <v>2</v>
      </c>
      <c r="B34" s="2">
        <v>19</v>
      </c>
      <c r="C34" s="2" t="s">
        <v>89</v>
      </c>
      <c r="D34" s="62">
        <f>IF(
    B34 &lt; INDEX(Assumptions!$C$3:$C$7, MATCH(C34, {"Virginia","Florida","Texas","New York","California"}, 0)),
    0,
    IF(
        B34 = INDEX(Assumptions!$C$3:$C$7, MATCH(C34, {"Virginia","Florida","Texas","New York","California"}, 0)),
        IF(C34 = "Virginia", Assumptions!$C$13, Assumptions!$C$14),
        ROUND(
            (INDEX(Assumptions!$C$15:$C$19, MATCH(C34, {"Virginia","Florida","Texas","New York","California"}, 0)) * Assumptions!$C$9 -
            SUMIF(C$2:C33, C34, D$2:D34)) /
            (1 + EXP(-0.2 * (B34 - INDEX(Assumptions!$C$3:$C$7, MATCH(C34, {"Virginia","Florida","Texas","New York","California"}, 0)) - 30))),
            0
        )
    )
)</f>
        <v>223</v>
      </c>
      <c r="E34" s="62">
        <f>IF(B34&lt;INDEX(Assumptions!$C$3:$C$7, MATCH(C34, {"Virginia","Florida","Texas","New York","California"}, 0)),
    0,
    IF(F34=0,
        0,
        F34 * Assumptions!$C$12
    )
)</f>
        <v>6.4249999999999998</v>
      </c>
      <c r="F34" s="62" cm="1">
        <f t="array" ref="F34">IF(B34&lt;INDEX(Assumptions!$C$3:$C$7, MATCH(C34, {"Virginia","Florida","Texas","New York","California"}, 0)),
    0,
    IF(C34=C33,
        F33 + D34,
        IF(COUNTIF($C$2:C34, C34) = 1, D34, LOOKUP(2, 1/(C$1:C33=C34), F$1:F33) + D34)
    )
)</f>
        <v>1542</v>
      </c>
      <c r="G34" s="62" cm="1">
        <f t="array" ref="G34">IF(B34&lt;INDEX(Assumptions!$C$3:$C$7, MATCH(C34, {"Virginia","Florida","Texas","New York","California"}, 0)),
    0,
    IF(C34=C33,
        G33 + D34 - E34,
        IF(COUNTIF($C$2:C34, C34) = 1, D34, LOOKUP(2, 1/(C$1:C33=C34), G$1:G33) + D34 - E34)
    )
)</f>
        <v>1503.6166666666666</v>
      </c>
      <c r="H34" s="63">
        <f>IF(B34&lt;INDEX(Assumptions!$C$3:$C$7, MATCH(C34, {"Virginia","Florida","Texas","New York","California"}, 0)),
    0,
    (G34 / INDEX(Assumptions!$C$15:$C$19, MATCH(C34, {"Virginia","Florida","Texas","New York","California"}, 0)))
)</f>
        <v>3.0072333333333333E-2</v>
      </c>
      <c r="I34" s="43">
        <f>G34*'Unit Economics'!$B$19* INDEX(Assumptions!$C$38:$C$42, MATCH(C34, {"Virginia","Florida","Texas","New York","California"}, 0))</f>
        <v>362040.821</v>
      </c>
      <c r="J34" s="43">
        <f>D34*Assumptions!$C$21*INDEX(Assumptions!$C$38:$C$42,MATCH(C34,{"Virginia","Florida","Texas","New York","California"},0))</f>
        <v>57076.85</v>
      </c>
      <c r="K34" s="43">
        <f>G34/Assumptions!$C$22*('Unit Economics'!$F$24+'Unit Economics'!$F$25+'Unit Economics'!$F$26)</f>
        <v>71698.191789215693</v>
      </c>
      <c r="L34" s="43">
        <f>D34*Assumptions!$C$29</f>
        <v>41255</v>
      </c>
      <c r="M34" s="35">
        <f>G34*Assumptions!$C$27</f>
        <v>0</v>
      </c>
      <c r="N34" s="35">
        <f>G34*Assumptions!$C$28</f>
        <v>0</v>
      </c>
      <c r="O34" s="64">
        <f>IF( COUNTIF($B$2:B34, B34) = 1, MIN( Assumptions!$C$34 + INT(SUMIF($B$2:$B34, B34, G$2:G34) / 1000) * Assumptions!$C$37, Assumptions!$C$36 ), 0 )</f>
        <v>0</v>
      </c>
      <c r="P34" s="53">
        <f t="shared" si="1"/>
        <v>449560.86278921564</v>
      </c>
      <c r="Q34" s="52">
        <f t="shared" si="2"/>
        <v>2597764.6268627937</v>
      </c>
    </row>
    <row r="35" spans="1:17">
      <c r="A35" s="2">
        <f t="shared" si="0"/>
        <v>2</v>
      </c>
      <c r="B35" s="2">
        <v>20</v>
      </c>
      <c r="C35" s="2" t="s">
        <v>90</v>
      </c>
      <c r="D35" s="62">
        <f>IF(
    B35 &lt; INDEX(Assumptions!$C$3:$C$7, MATCH(C35, {"Virginia","Florida","Texas","New York","California"}, 0)),
    0,
    IF(
        B35 = INDEX(Assumptions!$C$3:$C$7, MATCH(C35, {"Virginia","Florida","Texas","New York","California"}, 0)),
        IF(C35 = "Virginia", Assumptions!$C$13, Assumptions!$C$14),
        ROUND(
            (INDEX(Assumptions!$C$15:$C$19, MATCH(C35, {"Virginia","Florida","Texas","New York","California"}, 0)) * Assumptions!$C$9 -
            SUMIF(C$2:C34, C35, D$2:D35)) /
            (1 + EXP(-0.2 * (B35 - INDEX(Assumptions!$C$3:$C$7, MATCH(C35, {"Virginia","Florida","Texas","New York","California"}, 0)) - 30))),
            0
        )
    )
)</f>
        <v>53</v>
      </c>
      <c r="E35" s="62">
        <f>IF(B35&lt;INDEX(Assumptions!$C$3:$C$7, MATCH(C35, {"Virginia","Florida","Texas","New York","California"}, 0)),
    0,
    IF(F35=0,
        0,
        F35 * Assumptions!$C$12
    )
)</f>
        <v>1.3541666666666667</v>
      </c>
      <c r="F35" s="62" cm="1">
        <f t="array" ref="F35">IF(B35&lt;INDEX(Assumptions!$C$3:$C$7, MATCH(C35, {"Virginia","Florida","Texas","New York","California"}, 0)),
    0,
    IF(C35=C34,
        F34 + D35,
        IF(COUNTIF($C$2:C35, C35) = 1, D35, LOOKUP(2, 1/(C$1:C34=C35), F$1:F34) + D35)
    )
)</f>
        <v>325</v>
      </c>
      <c r="G35" s="62" cm="1">
        <f t="array" ref="G35">IF(B35&lt;INDEX(Assumptions!$C$3:$C$7, MATCH(C35, {"Virginia","Florida","Texas","New York","California"}, 0)),
    0,
    IF(C35=C34,
        G34 + D35 - E35,
        IF(COUNTIF($C$2:C35, C35) = 1, D35, LOOKUP(2, 1/(C$1:C34=C35), G$1:G34) + D35 - E35)
    )
)</f>
        <v>319.02916666666664</v>
      </c>
      <c r="H35" s="63">
        <f>IF(B35&lt;INDEX(Assumptions!$C$3:$C$7, MATCH(C35, {"Virginia","Florida","Texas","New York","California"}, 0)),
    0,
    (G35 / INDEX(Assumptions!$C$15:$C$19, MATCH(C35, {"Virginia","Florida","Texas","New York","California"}, 0)))
)</f>
        <v>4.5575595238095236E-3</v>
      </c>
      <c r="I35" s="43">
        <f>G35*'Unit Economics'!$B$19* INDEX(Assumptions!$C$38:$C$42, MATCH(C35, {"Virginia","Florida","Texas","New York","California"}, 0))</f>
        <v>80656.634887499997</v>
      </c>
      <c r="J35" s="43">
        <f>D35*Assumptions!$C$21*INDEX(Assumptions!$C$38:$C$42,MATCH(C35,{"Virginia","Florida","Texas","New York","California"},0))</f>
        <v>14243.617499999998</v>
      </c>
      <c r="K35" s="43">
        <f>G35/Assumptions!$C$22*('Unit Economics'!$F$24+'Unit Economics'!$F$25+'Unit Economics'!$F$26)</f>
        <v>15212.530484068628</v>
      </c>
      <c r="L35" s="43">
        <f>D35*Assumptions!$C$29</f>
        <v>9805</v>
      </c>
      <c r="M35" s="35">
        <f>G35*Assumptions!$C$27</f>
        <v>0</v>
      </c>
      <c r="N35" s="35">
        <f>G35*Assumptions!$C$28</f>
        <v>0</v>
      </c>
      <c r="O35" s="64">
        <f>IF( COUNTIF($B$2:B35, B35) = 1, MIN( Assumptions!$C$34 + INT(SUMIF($B$2:$B35, B35, G$2:G35) / 1000) * Assumptions!$C$37, Assumptions!$C$36 ), 0 )</f>
        <v>60000</v>
      </c>
      <c r="P35" s="53">
        <f t="shared" si="1"/>
        <v>40307.782871568619</v>
      </c>
      <c r="Q35" s="52">
        <f t="shared" si="2"/>
        <v>2638072.4097343623</v>
      </c>
    </row>
    <row r="36" spans="1:17">
      <c r="A36" s="2">
        <f t="shared" si="0"/>
        <v>2</v>
      </c>
      <c r="B36" s="2">
        <v>20</v>
      </c>
      <c r="C36" s="2" t="s">
        <v>91</v>
      </c>
      <c r="D36" s="62">
        <f>IF(
    B36 &lt; INDEX(Assumptions!$C$3:$C$7, MATCH(C36, {"Virginia","Florida","Texas","New York","California"}, 0)),
    0,
    IF(
        B36 = INDEX(Assumptions!$C$3:$C$7, MATCH(C36, {"Virginia","Florida","Texas","New York","California"}, 0)),
        IF(C36 = "Virginia", Assumptions!$C$13, Assumptions!$C$14),
        ROUND(
            (INDEX(Assumptions!$C$15:$C$19, MATCH(C36, {"Virginia","Florida","Texas","New York","California"}, 0)) * Assumptions!$C$9 -
            SUMIF(C$2:C35, C36, D$2:D36)) /
            (1 + EXP(-0.2 * (B36 - INDEX(Assumptions!$C$3:$C$7, MATCH(C36, {"Virginia","Florida","Texas","New York","California"}, 0)) - 30))),
            0
        )
    )
)</f>
        <v>61</v>
      </c>
      <c r="E36" s="62">
        <f>IF(B36&lt;INDEX(Assumptions!$C$3:$C$7, MATCH(C36, {"Virginia","Florida","Texas","New York","California"}, 0)),
    0,
    IF(F36=0,
        0,
        F36 * Assumptions!$C$12
    )
)</f>
        <v>1.4833333333333334</v>
      </c>
      <c r="F36" s="62" cm="1">
        <f t="array" ref="F36">IF(B36&lt;INDEX(Assumptions!$C$3:$C$7, MATCH(C36, {"Virginia","Florida","Texas","New York","California"}, 0)),
    0,
    IF(C36=C35,
        F35 + D36,
        IF(COUNTIF($C$2:C36, C36) = 1, D36, LOOKUP(2, 1/(C$1:C35=C36), F$1:F35) + D36)
    )
)</f>
        <v>356</v>
      </c>
      <c r="G36" s="62" cm="1">
        <f t="array" ref="G36">IF(B36&lt;INDEX(Assumptions!$C$3:$C$7, MATCH(C36, {"Virginia","Florida","Texas","New York","California"}, 0)),
    0,
    IF(C36=C35,
        G35 + D36 - E36,
        IF(COUNTIF($C$2:C36, C36) = 1, D36, LOOKUP(2, 1/(C$1:C35=C36), G$1:G35) + D36 - E36)
    )
)</f>
        <v>349.62083333333328</v>
      </c>
      <c r="H36" s="63">
        <f>IF(B36&lt;INDEX(Assumptions!$C$3:$C$7, MATCH(C36, {"Virginia","Florida","Texas","New York","California"}, 0)),
    0,
    (G36 / INDEX(Assumptions!$C$15:$C$19, MATCH(C36, {"Virginia","Florida","Texas","New York","California"}, 0)))
)</f>
        <v>4.3702604166666664E-3</v>
      </c>
      <c r="I36" s="43">
        <f>G36*'Unit Economics'!$B$19* INDEX(Assumptions!$C$38:$C$42, MATCH(C36, {"Virginia","Florida","Texas","New York","California"}, 0))</f>
        <v>86707.155377499977</v>
      </c>
      <c r="J36" s="43">
        <f>D36*Assumptions!$C$21*INDEX(Assumptions!$C$38:$C$42,MATCH(C36,{"Virginia","Florida","Texas","New York","California"},0))</f>
        <v>16081.3385</v>
      </c>
      <c r="K36" s="43">
        <f>G36/Assumptions!$C$22*('Unit Economics'!$F$24+'Unit Economics'!$F$25+'Unit Economics'!$F$26)</f>
        <v>16671.258118872549</v>
      </c>
      <c r="L36" s="43">
        <f>D36*Assumptions!$C$29</f>
        <v>11285</v>
      </c>
      <c r="M36" s="35">
        <f>G36*Assumptions!$C$27</f>
        <v>0</v>
      </c>
      <c r="N36" s="35">
        <f>G36*Assumptions!$C$28</f>
        <v>0</v>
      </c>
      <c r="O36" s="64">
        <f>IF( COUNTIF($B$2:B36, B36) = 1, MIN( Assumptions!$C$34 + INT(SUMIF($B$2:$B36, B36, G$2:G36) / 1000) * Assumptions!$C$37, Assumptions!$C$36 ), 0 )</f>
        <v>0</v>
      </c>
      <c r="P36" s="53">
        <f t="shared" si="1"/>
        <v>108174.75199637252</v>
      </c>
      <c r="Q36" s="52">
        <f t="shared" si="2"/>
        <v>2746247.1617307346</v>
      </c>
    </row>
    <row r="37" spans="1:17">
      <c r="A37" s="2">
        <f t="shared" si="0"/>
        <v>2</v>
      </c>
      <c r="B37" s="2">
        <v>20</v>
      </c>
      <c r="C37" s="2" t="s">
        <v>89</v>
      </c>
      <c r="D37" s="62">
        <f>IF(
    B37 &lt; INDEX(Assumptions!$C$3:$C$7, MATCH(C37, {"Virginia","Florida","Texas","New York","California"}, 0)),
    0,
    IF(
        B37 = INDEX(Assumptions!$C$3:$C$7, MATCH(C37, {"Virginia","Florida","Texas","New York","California"}, 0)),
        IF(C37 = "Virginia", Assumptions!$C$13, Assumptions!$C$14),
        ROUND(
            (INDEX(Assumptions!$C$15:$C$19, MATCH(C37, {"Virginia","Florida","Texas","New York","California"}, 0)) * Assumptions!$C$9 -
            SUMIF(C$2:C36, C37, D$2:D37)) /
            (1 + EXP(-0.2 * (B37 - INDEX(Assumptions!$C$3:$C$7, MATCH(C37, {"Virginia","Florida","Texas","New York","California"}, 0)) - 30))),
            0
        )
    )
)</f>
        <v>245</v>
      </c>
      <c r="E37" s="62">
        <f>IF(B37&lt;INDEX(Assumptions!$C$3:$C$7, MATCH(C37, {"Virginia","Florida","Texas","New York","California"}, 0)),
    0,
    IF(F37=0,
        0,
        F37 * Assumptions!$C$12
    )
)</f>
        <v>7.4458333333333329</v>
      </c>
      <c r="F37" s="62" cm="1">
        <f t="array" ref="F37">IF(B37&lt;INDEX(Assumptions!$C$3:$C$7, MATCH(C37, {"Virginia","Florida","Texas","New York","California"}, 0)),
    0,
    IF(C37=C36,
        F36 + D37,
        IF(COUNTIF($C$2:C37, C37) = 1, D37, LOOKUP(2, 1/(C$1:C36=C37), F$1:F36) + D37)
    )
)</f>
        <v>1787</v>
      </c>
      <c r="G37" s="62" cm="1">
        <f t="array" ref="G37">IF(B37&lt;INDEX(Assumptions!$C$3:$C$7, MATCH(C37, {"Virginia","Florida","Texas","New York","California"}, 0)),
    0,
    IF(C37=C36,
        G36 + D37 - E37,
        IF(COUNTIF($C$2:C37, C37) = 1, D37, LOOKUP(2, 1/(C$1:C36=C37), G$1:G36) + D37 - E37)
    )
)</f>
        <v>1741.1708333333331</v>
      </c>
      <c r="H37" s="63">
        <f>IF(B37&lt;INDEX(Assumptions!$C$3:$C$7, MATCH(C37, {"Virginia","Florida","Texas","New York","California"}, 0)),
    0,
    (G37 / INDEX(Assumptions!$C$15:$C$19, MATCH(C37, {"Virginia","Florida","Texas","New York","California"}, 0)))
)</f>
        <v>3.4823416666666662E-2</v>
      </c>
      <c r="I37" s="43">
        <f>G37*'Unit Economics'!$B$19* INDEX(Assumptions!$C$38:$C$42, MATCH(C37, {"Virginia","Florida","Texas","New York","California"}, 0))</f>
        <v>419239.11324999994</v>
      </c>
      <c r="J37" s="43">
        <f>D37*Assumptions!$C$21*INDEX(Assumptions!$C$38:$C$42,MATCH(C37,{"Virginia","Florida","Texas","New York","California"},0))</f>
        <v>62707.75</v>
      </c>
      <c r="K37" s="43">
        <f>G37/Assumptions!$C$22*('Unit Economics'!$F$24+'Unit Economics'!$F$25+'Unit Economics'!$F$26)</f>
        <v>83025.682751225482</v>
      </c>
      <c r="L37" s="43">
        <f>D37*Assumptions!$C$29</f>
        <v>45325</v>
      </c>
      <c r="M37" s="35">
        <f>G37*Assumptions!$C$27</f>
        <v>0</v>
      </c>
      <c r="N37" s="35">
        <f>G37*Assumptions!$C$28</f>
        <v>0</v>
      </c>
      <c r="O37" s="64">
        <f>IF( COUNTIF($B$2:B37, B37) = 1, MIN( Assumptions!$C$34 + INT(SUMIF($B$2:$B37, B37, G$2:G37) / 1000) * Assumptions!$C$37, Assumptions!$C$36 ), 0 )</f>
        <v>0</v>
      </c>
      <c r="P37" s="53">
        <f t="shared" si="1"/>
        <v>519647.54600122548</v>
      </c>
      <c r="Q37" s="52">
        <f t="shared" si="2"/>
        <v>3265894.7077319603</v>
      </c>
    </row>
    <row r="38" spans="1:17">
      <c r="A38" s="2">
        <f t="shared" si="0"/>
        <v>2</v>
      </c>
      <c r="B38" s="2">
        <v>21</v>
      </c>
      <c r="C38" s="2" t="s">
        <v>90</v>
      </c>
      <c r="D38" s="62">
        <f>IF(
    B38 &lt; INDEX(Assumptions!$C$3:$C$7, MATCH(C38, {"Virginia","Florida","Texas","New York","California"}, 0)),
    0,
    IF(
        B38 = INDEX(Assumptions!$C$3:$C$7, MATCH(C38, {"Virginia","Florida","Texas","New York","California"}, 0)),
        IF(C38 = "Virginia", Assumptions!$C$13, Assumptions!$C$14),
        ROUND(
            (INDEX(Assumptions!$C$15:$C$19, MATCH(C38, {"Virginia","Florida","Texas","New York","California"}, 0)) * Assumptions!$C$9 -
            SUMIF(C$2:C37, C38, D$2:D38)) /
            (1 + EXP(-0.2 * (B38 - INDEX(Assumptions!$C$3:$C$7, MATCH(C38, {"Virginia","Florida","Texas","New York","California"}, 0)) - 30))),
            0
        )
    )
)</f>
        <v>64</v>
      </c>
      <c r="E38" s="62">
        <f>IF(B38&lt;INDEX(Assumptions!$C$3:$C$7, MATCH(C38, {"Virginia","Florida","Texas","New York","California"}, 0)),
    0,
    IF(F38=0,
        0,
        F38 * Assumptions!$C$12
    )
)</f>
        <v>1.6208333333333333</v>
      </c>
      <c r="F38" s="62" cm="1">
        <f t="array" ref="F38">IF(B38&lt;INDEX(Assumptions!$C$3:$C$7, MATCH(C38, {"Virginia","Florida","Texas","New York","California"}, 0)),
    0,
    IF(C38=C37,
        F37 + D38,
        IF(COUNTIF($C$2:C38, C38) = 1, D38, LOOKUP(2, 1/(C$1:C37=C38), F$1:F37) + D38)
    )
)</f>
        <v>389</v>
      </c>
      <c r="G38" s="62" cm="1">
        <f t="array" ref="G38">IF(B38&lt;INDEX(Assumptions!$C$3:$C$7, MATCH(C38, {"Virginia","Florida","Texas","New York","California"}, 0)),
    0,
    IF(C38=C37,
        G37 + D38 - E38,
        IF(COUNTIF($C$2:C38, C38) = 1, D38, LOOKUP(2, 1/(C$1:C37=C38), G$1:G37) + D38 - E38)
    )
)</f>
        <v>381.4083333333333</v>
      </c>
      <c r="H38" s="63">
        <f>IF(B38&lt;INDEX(Assumptions!$C$3:$C$7, MATCH(C38, {"Virginia","Florida","Texas","New York","California"}, 0)),
    0,
    (G38 / INDEX(Assumptions!$C$15:$C$19, MATCH(C38, {"Virginia","Florida","Texas","New York","California"}, 0)))
)</f>
        <v>5.4486904761904759E-3</v>
      </c>
      <c r="I38" s="43">
        <f>G38*'Unit Economics'!$B$19* INDEX(Assumptions!$C$38:$C$42, MATCH(C38, {"Virginia","Florida","Texas","New York","California"}, 0))</f>
        <v>96427.273424999992</v>
      </c>
      <c r="J38" s="43">
        <f>D38*Assumptions!$C$21*INDEX(Assumptions!$C$38:$C$42,MATCH(C38,{"Virginia","Florida","Texas","New York","California"},0))</f>
        <v>17199.84</v>
      </c>
      <c r="K38" s="43">
        <f>G38/Assumptions!$C$22*('Unit Economics'!$F$24+'Unit Economics'!$F$25+'Unit Economics'!$F$26)</f>
        <v>18187.007659313724</v>
      </c>
      <c r="L38" s="43">
        <f>D38*Assumptions!$C$29</f>
        <v>11840</v>
      </c>
      <c r="M38" s="35">
        <f>G38*Assumptions!$C$27</f>
        <v>0</v>
      </c>
      <c r="N38" s="35">
        <f>G38*Assumptions!$C$28</f>
        <v>0</v>
      </c>
      <c r="O38" s="64">
        <f>IF( COUNTIF($B$2:B38, B38) = 1, MIN( Assumptions!$C$34 + INT(SUMIF($B$2:$B38, B38, G$2:G38) / 1000) * Assumptions!$C$37, Assumptions!$C$36 ), 0 )</f>
        <v>60000</v>
      </c>
      <c r="P38" s="53">
        <f t="shared" si="1"/>
        <v>59974.121084313723</v>
      </c>
      <c r="Q38" s="52">
        <f t="shared" si="2"/>
        <v>3325868.8288162742</v>
      </c>
    </row>
    <row r="39" spans="1:17">
      <c r="A39" s="2">
        <f t="shared" si="0"/>
        <v>2</v>
      </c>
      <c r="B39" s="2">
        <v>21</v>
      </c>
      <c r="C39" s="2" t="s">
        <v>91</v>
      </c>
      <c r="D39" s="62">
        <f>IF(
    B39 &lt; INDEX(Assumptions!$C$3:$C$7, MATCH(C39, {"Virginia","Florida","Texas","New York","California"}, 0)),
    0,
    IF(
        B39 = INDEX(Assumptions!$C$3:$C$7, MATCH(C39, {"Virginia","Florida","Texas","New York","California"}, 0)),
        IF(C39 = "Virginia", Assumptions!$C$13, Assumptions!$C$14),
        ROUND(
            (INDEX(Assumptions!$C$15:$C$19, MATCH(C39, {"Virginia","Florida","Texas","New York","California"}, 0)) * Assumptions!$C$9 -
            SUMIF(C$2:C38, C39, D$2:D39)) /
            (1 + EXP(-0.2 * (B39 - INDEX(Assumptions!$C$3:$C$7, MATCH(C39, {"Virginia","Florida","Texas","New York","California"}, 0)) - 30))),
            0
        )
    )
)</f>
        <v>73</v>
      </c>
      <c r="E39" s="62">
        <f>IF(B39&lt;INDEX(Assumptions!$C$3:$C$7, MATCH(C39, {"Virginia","Florida","Texas","New York","California"}, 0)),
    0,
    IF(F39=0,
        0,
        F39 * Assumptions!$C$12
    )
)</f>
        <v>1.7874999999999999</v>
      </c>
      <c r="F39" s="62" cm="1">
        <f t="array" ref="F39">IF(B39&lt;INDEX(Assumptions!$C$3:$C$7, MATCH(C39, {"Virginia","Florida","Texas","New York","California"}, 0)),
    0,
    IF(C39=C38,
        F38 + D39,
        IF(COUNTIF($C$2:C39, C39) = 1, D39, LOOKUP(2, 1/(C$1:C38=C39), F$1:F38) + D39)
    )
)</f>
        <v>429</v>
      </c>
      <c r="G39" s="62" cm="1">
        <f t="array" ref="G39">IF(B39&lt;INDEX(Assumptions!$C$3:$C$7, MATCH(C39, {"Virginia","Florida","Texas","New York","California"}, 0)),
    0,
    IF(C39=C38,
        G38 + D39 - E39,
        IF(COUNTIF($C$2:C39, C39) = 1, D39, LOOKUP(2, 1/(C$1:C38=C39), G$1:G38) + D39 - E39)
    )
)</f>
        <v>420.83333333333326</v>
      </c>
      <c r="H39" s="63">
        <f>IF(B39&lt;INDEX(Assumptions!$C$3:$C$7, MATCH(C39, {"Virginia","Florida","Texas","New York","California"}, 0)),
    0,
    (G39 / INDEX(Assumptions!$C$15:$C$19, MATCH(C39, {"Virginia","Florida","Texas","New York","California"}, 0)))
)</f>
        <v>5.2604166666666658E-3</v>
      </c>
      <c r="I39" s="43">
        <f>G39*'Unit Economics'!$B$19* INDEX(Assumptions!$C$38:$C$42, MATCH(C39, {"Virginia","Florida","Texas","New York","California"}, 0))</f>
        <v>104368.09749999999</v>
      </c>
      <c r="J39" s="43">
        <f>D39*Assumptions!$C$21*INDEX(Assumptions!$C$38:$C$42,MATCH(C39,{"Virginia","Florida","Texas","New York","California"},0))</f>
        <v>19244.880499999999</v>
      </c>
      <c r="K39" s="43">
        <f>G39/Assumptions!$C$22*('Unit Economics'!$F$24+'Unit Economics'!$F$25+'Unit Economics'!$F$26)</f>
        <v>20066.942401960783</v>
      </c>
      <c r="L39" s="43">
        <f>D39*Assumptions!$C$29</f>
        <v>13505</v>
      </c>
      <c r="M39" s="35">
        <f>G39*Assumptions!$C$27</f>
        <v>0</v>
      </c>
      <c r="N39" s="35">
        <f>G39*Assumptions!$C$28</f>
        <v>0</v>
      </c>
      <c r="O39" s="64">
        <f>IF( COUNTIF($B$2:B39, B39) = 1, MIN( Assumptions!$C$34 + INT(SUMIF($B$2:$B39, B39, G$2:G39) / 1000) * Assumptions!$C$37, Assumptions!$C$36 ), 0 )</f>
        <v>0</v>
      </c>
      <c r="P39" s="53">
        <f t="shared" si="1"/>
        <v>130174.92040196079</v>
      </c>
      <c r="Q39" s="52">
        <f t="shared" si="2"/>
        <v>3456043.7492182348</v>
      </c>
    </row>
    <row r="40" spans="1:17">
      <c r="A40" s="2">
        <f t="shared" si="0"/>
        <v>2</v>
      </c>
      <c r="B40" s="2">
        <v>21</v>
      </c>
      <c r="C40" s="2" t="s">
        <v>89</v>
      </c>
      <c r="D40" s="62">
        <f>IF(
    B40 &lt; INDEX(Assumptions!$C$3:$C$7, MATCH(C40, {"Virginia","Florida","Texas","New York","California"}, 0)),
    0,
    IF(
        B40 = INDEX(Assumptions!$C$3:$C$7, MATCH(C40, {"Virginia","Florida","Texas","New York","California"}, 0)),
        IF(C40 = "Virginia", Assumptions!$C$13, Assumptions!$C$14),
        ROUND(
            (INDEX(Assumptions!$C$15:$C$19, MATCH(C40, {"Virginia","Florida","Texas","New York","California"}, 0)) * Assumptions!$C$9 -
            SUMIF(C$2:C39, C40, D$2:D40)) /
            (1 + EXP(-0.2 * (B40 - INDEX(Assumptions!$C$3:$C$7, MATCH(C40, {"Virginia","Florida","Texas","New York","California"}, 0)) - 30))),
            0
        )
    )
)</f>
        <v>264</v>
      </c>
      <c r="E40" s="62">
        <f>IF(B40&lt;INDEX(Assumptions!$C$3:$C$7, MATCH(C40, {"Virginia","Florida","Texas","New York","California"}, 0)),
    0,
    IF(F40=0,
        0,
        F40 * Assumptions!$C$12
    )
)</f>
        <v>8.5458333333333325</v>
      </c>
      <c r="F40" s="62" cm="1">
        <f t="array" ref="F40">IF(B40&lt;INDEX(Assumptions!$C$3:$C$7, MATCH(C40, {"Virginia","Florida","Texas","New York","California"}, 0)),
    0,
    IF(C40=C39,
        F39 + D40,
        IF(COUNTIF($C$2:C40, C40) = 1, D40, LOOKUP(2, 1/(C$1:C39=C40), F$1:F39) + D40)
    )
)</f>
        <v>2051</v>
      </c>
      <c r="G40" s="62" cm="1">
        <f t="array" ref="G40">IF(B40&lt;INDEX(Assumptions!$C$3:$C$7, MATCH(C40, {"Virginia","Florida","Texas","New York","California"}, 0)),
    0,
    IF(C40=C39,
        G39 + D40 - E40,
        IF(COUNTIF($C$2:C40, C40) = 1, D40, LOOKUP(2, 1/(C$1:C39=C40), G$1:G39) + D40 - E40)
    )
)</f>
        <v>1996.6249999999998</v>
      </c>
      <c r="H40" s="63">
        <f>IF(B40&lt;INDEX(Assumptions!$C$3:$C$7, MATCH(C40, {"Virginia","Florida","Texas","New York","California"}, 0)),
    0,
    (G40 / INDEX(Assumptions!$C$15:$C$19, MATCH(C40, {"Virginia","Florida","Texas","New York","California"}, 0)))
)</f>
        <v>3.9932499999999996E-2</v>
      </c>
      <c r="I40" s="43">
        <f>G40*'Unit Economics'!$B$19* INDEX(Assumptions!$C$38:$C$42, MATCH(C40, {"Virginia","Florida","Texas","New York","California"}, 0))</f>
        <v>480747.36749999993</v>
      </c>
      <c r="J40" s="43">
        <f>D40*Assumptions!$C$21*INDEX(Assumptions!$C$38:$C$42,MATCH(C40,{"Virginia","Florida","Texas","New York","California"},0))</f>
        <v>67570.8</v>
      </c>
      <c r="K40" s="43">
        <f>G40/Assumptions!$C$22*('Unit Economics'!$F$24+'Unit Economics'!$F$25+'Unit Economics'!$F$26)</f>
        <v>95206.714154411748</v>
      </c>
      <c r="L40" s="43">
        <f>D40*Assumptions!$C$29</f>
        <v>48840</v>
      </c>
      <c r="M40" s="35">
        <f>G40*Assumptions!$C$27</f>
        <v>0</v>
      </c>
      <c r="N40" s="35">
        <f>G40*Assumptions!$C$28</f>
        <v>0</v>
      </c>
      <c r="O40" s="64">
        <f>IF( COUNTIF($B$2:B40, B40) = 1, MIN( Assumptions!$C$34 + INT(SUMIF($B$2:$B40, B40, G$2:G40) / 1000) * Assumptions!$C$37, Assumptions!$C$36 ), 0 )</f>
        <v>0</v>
      </c>
      <c r="P40" s="53">
        <f t="shared" si="1"/>
        <v>594684.88165441179</v>
      </c>
      <c r="Q40" s="52">
        <f t="shared" si="2"/>
        <v>4050728.6308726463</v>
      </c>
    </row>
    <row r="41" spans="1:17">
      <c r="A41" s="2">
        <f t="shared" si="0"/>
        <v>2</v>
      </c>
      <c r="B41" s="2">
        <v>22</v>
      </c>
      <c r="C41" s="2" t="s">
        <v>90</v>
      </c>
      <c r="D41" s="62">
        <f>IF(
    B41 &lt; INDEX(Assumptions!$C$3:$C$7, MATCH(C41, {"Virginia","Florida","Texas","New York","California"}, 0)),
    0,
    IF(
        B41 = INDEX(Assumptions!$C$3:$C$7, MATCH(C41, {"Virginia","Florida","Texas","New York","California"}, 0)),
        IF(C41 = "Virginia", Assumptions!$C$13, Assumptions!$C$14),
        ROUND(
            (INDEX(Assumptions!$C$15:$C$19, MATCH(C41, {"Virginia","Florida","Texas","New York","California"}, 0)) * Assumptions!$C$9 -
            SUMIF(C$2:C40, C41, D$2:D41)) /
            (1 + EXP(-0.2 * (B41 - INDEX(Assumptions!$C$3:$C$7, MATCH(C41, {"Virginia","Florida","Texas","New York","California"}, 0)) - 30))),
            0
        )
    )
)</f>
        <v>77</v>
      </c>
      <c r="E41" s="62">
        <f>IF(B41&lt;INDEX(Assumptions!$C$3:$C$7, MATCH(C41, {"Virginia","Florida","Texas","New York","California"}, 0)),
    0,
    IF(F41=0,
        0,
        F41 * Assumptions!$C$12
    )
)</f>
        <v>1.9416666666666667</v>
      </c>
      <c r="F41" s="62" cm="1">
        <f t="array" ref="F41">IF(B41&lt;INDEX(Assumptions!$C$3:$C$7, MATCH(C41, {"Virginia","Florida","Texas","New York","California"}, 0)),
    0,
    IF(C41=C40,
        F40 + D41,
        IF(COUNTIF($C$2:C41, C41) = 1, D41, LOOKUP(2, 1/(C$1:C40=C41), F$1:F40) + D41)
    )
)</f>
        <v>466</v>
      </c>
      <c r="G41" s="62" cm="1">
        <f t="array" ref="G41">IF(B41&lt;INDEX(Assumptions!$C$3:$C$7, MATCH(C41, {"Virginia","Florida","Texas","New York","California"}, 0)),
    0,
    IF(C41=C40,
        G40 + D41 - E41,
        IF(COUNTIF($C$2:C41, C41) = 1, D41, LOOKUP(2, 1/(C$1:C40=C41), G$1:G40) + D41 - E41)
    )
)</f>
        <v>456.46666666666664</v>
      </c>
      <c r="H41" s="63">
        <f>IF(B41&lt;INDEX(Assumptions!$C$3:$C$7, MATCH(C41, {"Virginia","Florida","Texas","New York","California"}, 0)),
    0,
    (G41 / INDEX(Assumptions!$C$15:$C$19, MATCH(C41, {"Virginia","Florida","Texas","New York","California"}, 0)))
)</f>
        <v>6.5209523809523808E-3</v>
      </c>
      <c r="I41" s="43">
        <f>G41*'Unit Economics'!$B$19* INDEX(Assumptions!$C$38:$C$42, MATCH(C41, {"Virginia","Florida","Texas","New York","California"}, 0))</f>
        <v>115403.44620000001</v>
      </c>
      <c r="J41" s="43">
        <f>D41*Assumptions!$C$21*INDEX(Assumptions!$C$38:$C$42,MATCH(C41,{"Virginia","Florida","Texas","New York","California"},0))</f>
        <v>20693.557499999999</v>
      </c>
      <c r="K41" s="43">
        <f>G41/Assumptions!$C$22*('Unit Economics'!$F$24+'Unit Economics'!$F$25+'Unit Economics'!$F$26)</f>
        <v>21766.075980392157</v>
      </c>
      <c r="L41" s="43">
        <f>D41*Assumptions!$C$29</f>
        <v>14245</v>
      </c>
      <c r="M41" s="35">
        <f>G41*Assumptions!$C$27</f>
        <v>0</v>
      </c>
      <c r="N41" s="35">
        <f>G41*Assumptions!$C$28</f>
        <v>0</v>
      </c>
      <c r="O41" s="64">
        <f>IF( COUNTIF($B$2:B41, B41) = 1, MIN( Assumptions!$C$34 + INT(SUMIF($B$2:$B41, B41, G$2:G41) / 1000) * Assumptions!$C$37, Assumptions!$C$36 ), 0 )</f>
        <v>60000</v>
      </c>
      <c r="P41" s="53">
        <f t="shared" si="1"/>
        <v>83618.079680392169</v>
      </c>
      <c r="Q41" s="52">
        <f t="shared" si="2"/>
        <v>4134346.7105530384</v>
      </c>
    </row>
    <row r="42" spans="1:17">
      <c r="A42" s="2">
        <f t="shared" si="0"/>
        <v>2</v>
      </c>
      <c r="B42" s="2">
        <v>22</v>
      </c>
      <c r="C42" s="2" t="s">
        <v>91</v>
      </c>
      <c r="D42" s="62">
        <f>IF(
    B42 &lt; INDEX(Assumptions!$C$3:$C$7, MATCH(C42, {"Virginia","Florida","Texas","New York","California"}, 0)),
    0,
    IF(
        B42 = INDEX(Assumptions!$C$3:$C$7, MATCH(C42, {"Virginia","Florida","Texas","New York","California"}, 0)),
        IF(C42 = "Virginia", Assumptions!$C$13, Assumptions!$C$14),
        ROUND(
            (INDEX(Assumptions!$C$15:$C$19, MATCH(C42, {"Virginia","Florida","Texas","New York","California"}, 0)) * Assumptions!$C$9 -
            SUMIF(C$2:C41, C42, D$2:D42)) /
            (1 + EXP(-0.2 * (B42 - INDEX(Assumptions!$C$3:$C$7, MATCH(C42, {"Virginia","Florida","Texas","New York","California"}, 0)) - 30))),
            0
        )
    )
)</f>
        <v>88</v>
      </c>
      <c r="E42" s="62">
        <f>IF(B42&lt;INDEX(Assumptions!$C$3:$C$7, MATCH(C42, {"Virginia","Florida","Texas","New York","California"}, 0)),
    0,
    IF(F42=0,
        0,
        F42 * Assumptions!$C$12
    )
)</f>
        <v>2.1541666666666668</v>
      </c>
      <c r="F42" s="62" cm="1">
        <f t="array" ref="F42">IF(B42&lt;INDEX(Assumptions!$C$3:$C$7, MATCH(C42, {"Virginia","Florida","Texas","New York","California"}, 0)),
    0,
    IF(C42=C41,
        F41 + D42,
        IF(COUNTIF($C$2:C42, C42) = 1, D42, LOOKUP(2, 1/(C$1:C41=C42), F$1:F41) + D42)
    )
)</f>
        <v>517</v>
      </c>
      <c r="G42" s="62" cm="1">
        <f t="array" ref="G42">IF(B42&lt;INDEX(Assumptions!$C$3:$C$7, MATCH(C42, {"Virginia","Florida","Texas","New York","California"}, 0)),
    0,
    IF(C42=C41,
        G41 + D42 - E42,
        IF(COUNTIF($C$2:C42, C42) = 1, D42, LOOKUP(2, 1/(C$1:C41=C42), G$1:G41) + D42 - E42)
    )
)</f>
        <v>506.67916666666662</v>
      </c>
      <c r="H42" s="63">
        <f>IF(B42&lt;INDEX(Assumptions!$C$3:$C$7, MATCH(C42, {"Virginia","Florida","Texas","New York","California"}, 0)),
    0,
    (G42 / INDEX(Assumptions!$C$15:$C$19, MATCH(C42, {"Virginia","Florida","Texas","New York","California"}, 0)))
)</f>
        <v>6.3334895833333325E-3</v>
      </c>
      <c r="I42" s="43">
        <f>G42*'Unit Economics'!$B$19* INDEX(Assumptions!$C$38:$C$42, MATCH(C42, {"Virginia","Florida","Texas","New York","California"}, 0))</f>
        <v>125658.15604249999</v>
      </c>
      <c r="J42" s="43">
        <f>D42*Assumptions!$C$21*INDEX(Assumptions!$C$38:$C$42,MATCH(C42,{"Virginia","Florida","Texas","New York","California"},0))</f>
        <v>23199.308000000001</v>
      </c>
      <c r="K42" s="43">
        <f>G42/Assumptions!$C$22*('Unit Economics'!$F$24+'Unit Economics'!$F$25+'Unit Economics'!$F$26)</f>
        <v>24160.399969362748</v>
      </c>
      <c r="L42" s="43">
        <f>D42*Assumptions!$C$29</f>
        <v>16280</v>
      </c>
      <c r="M42" s="35">
        <f>G42*Assumptions!$C$27</f>
        <v>0</v>
      </c>
      <c r="N42" s="35">
        <f>G42*Assumptions!$C$28</f>
        <v>0</v>
      </c>
      <c r="O42" s="64">
        <f>IF( COUNTIF($B$2:B42, B42) = 1, MIN( Assumptions!$C$34 + INT(SUMIF($B$2:$B42, B42, G$2:G42) / 1000) * Assumptions!$C$37, Assumptions!$C$36 ), 0 )</f>
        <v>0</v>
      </c>
      <c r="P42" s="53">
        <f t="shared" si="1"/>
        <v>156737.86401186272</v>
      </c>
      <c r="Q42" s="52">
        <f t="shared" si="2"/>
        <v>4291084.5745649012</v>
      </c>
    </row>
    <row r="43" spans="1:17">
      <c r="A43" s="2">
        <f t="shared" si="0"/>
        <v>2</v>
      </c>
      <c r="B43" s="2">
        <v>22</v>
      </c>
      <c r="C43" s="2" t="s">
        <v>89</v>
      </c>
      <c r="D43" s="62">
        <f>IF(
    B43 &lt; INDEX(Assumptions!$C$3:$C$7, MATCH(C43, {"Virginia","Florida","Texas","New York","California"}, 0)),
    0,
    IF(
        B43 = INDEX(Assumptions!$C$3:$C$7, MATCH(C43, {"Virginia","Florida","Texas","New York","California"}, 0)),
        IF(C43 = "Virginia", Assumptions!$C$13, Assumptions!$C$14),
        ROUND(
            (INDEX(Assumptions!$C$15:$C$19, MATCH(C43, {"Virginia","Florida","Texas","New York","California"}, 0)) * Assumptions!$C$9 -
            SUMIF(C$2:C42, C43, D$2:D43)) /
            (1 + EXP(-0.2 * (B43 - INDEX(Assumptions!$C$3:$C$7, MATCH(C43, {"Virginia","Florida","Texas","New York","California"}, 0)) - 30))),
            0
        )
    )
)</f>
        <v>276</v>
      </c>
      <c r="E43" s="62">
        <f>IF(B43&lt;INDEX(Assumptions!$C$3:$C$7, MATCH(C43, {"Virginia","Florida","Texas","New York","California"}, 0)),
    0,
    IF(F43=0,
        0,
        F43 * Assumptions!$C$12
    )
)</f>
        <v>9.6958333333333329</v>
      </c>
      <c r="F43" s="62" cm="1">
        <f t="array" ref="F43">IF(B43&lt;INDEX(Assumptions!$C$3:$C$7, MATCH(C43, {"Virginia","Florida","Texas","New York","California"}, 0)),
    0,
    IF(C43=C42,
        F42 + D43,
        IF(COUNTIF($C$2:C43, C43) = 1, D43, LOOKUP(2, 1/(C$1:C42=C43), F$1:F42) + D43)
    )
)</f>
        <v>2327</v>
      </c>
      <c r="G43" s="62" cm="1">
        <f t="array" ref="G43">IF(B43&lt;INDEX(Assumptions!$C$3:$C$7, MATCH(C43, {"Virginia","Florida","Texas","New York","California"}, 0)),
    0,
    IF(C43=C42,
        G42 + D43 - E43,
        IF(COUNTIF($C$2:C43, C43) = 1, D43, LOOKUP(2, 1/(C$1:C42=C43), G$1:G42) + D43 - E43)
    )
)</f>
        <v>2262.9291666666668</v>
      </c>
      <c r="H43" s="63">
        <f>IF(B43&lt;INDEX(Assumptions!$C$3:$C$7, MATCH(C43, {"Virginia","Florida","Texas","New York","California"}, 0)),
    0,
    (G43 / INDEX(Assumptions!$C$15:$C$19, MATCH(C43, {"Virginia","Florida","Texas","New York","California"}, 0)))
)</f>
        <v>4.5258583333333338E-2</v>
      </c>
      <c r="I43" s="43">
        <f>G43*'Unit Economics'!$B$19* INDEX(Assumptions!$C$38:$C$42, MATCH(C43, {"Virginia","Florida","Texas","New York","California"}, 0))</f>
        <v>544868.08475000004</v>
      </c>
      <c r="J43" s="43">
        <f>D43*Assumptions!$C$21*INDEX(Assumptions!$C$38:$C$42,MATCH(C43,{"Virginia","Florida","Texas","New York","California"},0))</f>
        <v>70642.2</v>
      </c>
      <c r="K43" s="43">
        <f>G43/Assumptions!$C$22*('Unit Economics'!$F$24+'Unit Economics'!$F$25+'Unit Economics'!$F$26)</f>
        <v>107905.11504289217</v>
      </c>
      <c r="L43" s="43">
        <f>D43*Assumptions!$C$29</f>
        <v>51060</v>
      </c>
      <c r="M43" s="35">
        <f>G43*Assumptions!$C$27</f>
        <v>0</v>
      </c>
      <c r="N43" s="35">
        <f>G43*Assumptions!$C$28</f>
        <v>0</v>
      </c>
      <c r="O43" s="64">
        <f>IF( COUNTIF($B$2:B43, B43) = 1, MIN( Assumptions!$C$34 + INT(SUMIF($B$2:$B43, B43, G$2:G43) / 1000) * Assumptions!$C$37, Assumptions!$C$36 ), 0 )</f>
        <v>0</v>
      </c>
      <c r="P43" s="53">
        <f t="shared" si="1"/>
        <v>672355.39979289216</v>
      </c>
      <c r="Q43" s="52">
        <f t="shared" si="2"/>
        <v>4963439.9743577931</v>
      </c>
    </row>
    <row r="44" spans="1:17">
      <c r="A44" s="2">
        <f t="shared" si="0"/>
        <v>2</v>
      </c>
      <c r="B44" s="2">
        <v>23</v>
      </c>
      <c r="C44" s="2" t="s">
        <v>90</v>
      </c>
      <c r="D44" s="62">
        <f>IF(
    B44 &lt; INDEX(Assumptions!$C$3:$C$7, MATCH(C44, {"Virginia","Florida","Texas","New York","California"}, 0)),
    0,
    IF(
        B44 = INDEX(Assumptions!$C$3:$C$7, MATCH(C44, {"Virginia","Florida","Texas","New York","California"}, 0)),
        IF(C44 = "Virginia", Assumptions!$C$13, Assumptions!$C$14),
        ROUND(
            (INDEX(Assumptions!$C$15:$C$19, MATCH(C44, {"Virginia","Florida","Texas","New York","California"}, 0)) * Assumptions!$C$9 -
            SUMIF(C$2:C43, C44, D$2:D44)) /
            (1 + EXP(-0.2 * (B44 - INDEX(Assumptions!$C$3:$C$7, MATCH(C44, {"Virginia","Florida","Texas","New York","California"}, 0)) - 30))),
            0
        )
    )
)</f>
        <v>92</v>
      </c>
      <c r="E44" s="62">
        <f>IF(B44&lt;INDEX(Assumptions!$C$3:$C$7, MATCH(C44, {"Virginia","Florida","Texas","New York","California"}, 0)),
    0,
    IF(F44=0,
        0,
        F44 * Assumptions!$C$12
    )
)</f>
        <v>2.3250000000000002</v>
      </c>
      <c r="F44" s="62" cm="1">
        <f t="array" ref="F44">IF(B44&lt;INDEX(Assumptions!$C$3:$C$7, MATCH(C44, {"Virginia","Florida","Texas","New York","California"}, 0)),
    0,
    IF(C44=C43,
        F43 + D44,
        IF(COUNTIF($C$2:C44, C44) = 1, D44, LOOKUP(2, 1/(C$1:C43=C44), F$1:F43) + D44)
    )
)</f>
        <v>558</v>
      </c>
      <c r="G44" s="62" cm="1">
        <f t="array" ref="G44">IF(B44&lt;INDEX(Assumptions!$C$3:$C$7, MATCH(C44, {"Virginia","Florida","Texas","New York","California"}, 0)),
    0,
    IF(C44=C43,
        G43 + D44 - E44,
        IF(COUNTIF($C$2:C44, C44) = 1, D44, LOOKUP(2, 1/(C$1:C43=C44), G$1:G43) + D44 - E44)
    )
)</f>
        <v>546.14166666666665</v>
      </c>
      <c r="H44" s="63">
        <f>IF(B44&lt;INDEX(Assumptions!$C$3:$C$7, MATCH(C44, {"Virginia","Florida","Texas","New York","California"}, 0)),
    0,
    (G44 / INDEX(Assumptions!$C$15:$C$19, MATCH(C44, {"Virginia","Florida","Texas","New York","California"}, 0)))
)</f>
        <v>7.802023809523809E-3</v>
      </c>
      <c r="I44" s="43">
        <f>G44*'Unit Economics'!$B$19* INDEX(Assumptions!$C$38:$C$42, MATCH(C44, {"Virginia","Florida","Texas","New York","California"}, 0))</f>
        <v>138074.99002499998</v>
      </c>
      <c r="J44" s="43">
        <f>D44*Assumptions!$C$21*INDEX(Assumptions!$C$38:$C$42,MATCH(C44,{"Virginia","Florida","Texas","New York","California"},0))</f>
        <v>24724.77</v>
      </c>
      <c r="K44" s="43">
        <f>G44/Assumptions!$C$22*('Unit Economics'!$F$24+'Unit Economics'!$F$25+'Unit Economics'!$F$26)</f>
        <v>26042.122855392161</v>
      </c>
      <c r="L44" s="43">
        <f>D44*Assumptions!$C$29</f>
        <v>17020</v>
      </c>
      <c r="M44" s="35">
        <f>G44*Assumptions!$C$27</f>
        <v>0</v>
      </c>
      <c r="N44" s="35">
        <f>G44*Assumptions!$C$28</f>
        <v>0</v>
      </c>
      <c r="O44" s="64">
        <f>IF( COUNTIF($B$2:B44, B44) = 1, MIN( Assumptions!$C$34 + INT(SUMIF($B$2:$B44, B44, G$2:G44) / 1000) * Assumptions!$C$37, Assumptions!$C$36 ), 0 )</f>
        <v>60000</v>
      </c>
      <c r="P44" s="53">
        <f t="shared" si="1"/>
        <v>111821.88288039214</v>
      </c>
      <c r="Q44" s="52">
        <f t="shared" si="2"/>
        <v>5075261.8572381856</v>
      </c>
    </row>
    <row r="45" spans="1:17">
      <c r="A45" s="2">
        <f t="shared" si="0"/>
        <v>2</v>
      </c>
      <c r="B45" s="2">
        <v>23</v>
      </c>
      <c r="C45" s="2" t="s">
        <v>91</v>
      </c>
      <c r="D45" s="62">
        <f>IF(
    B45 &lt; INDEX(Assumptions!$C$3:$C$7, MATCH(C45, {"Virginia","Florida","Texas","New York","California"}, 0)),
    0,
    IF(
        B45 = INDEX(Assumptions!$C$3:$C$7, MATCH(C45, {"Virginia","Florida","Texas","New York","California"}, 0)),
        IF(C45 = "Virginia", Assumptions!$C$13, Assumptions!$C$14),
        ROUND(
            (INDEX(Assumptions!$C$15:$C$19, MATCH(C45, {"Virginia","Florida","Texas","New York","California"}, 0)) * Assumptions!$C$9 -
            SUMIF(C$2:C44, C45, D$2:D45)) /
            (1 + EXP(-0.2 * (B45 - INDEX(Assumptions!$C$3:$C$7, MATCH(C45, {"Virginia","Florida","Texas","New York","California"}, 0)) - 30))),
            0
        )
    )
)</f>
        <v>106</v>
      </c>
      <c r="E45" s="62">
        <f>IF(B45&lt;INDEX(Assumptions!$C$3:$C$7, MATCH(C45, {"Virginia","Florida","Texas","New York","California"}, 0)),
    0,
    IF(F45=0,
        0,
        F45 * Assumptions!$C$12
    )
)</f>
        <v>2.5958333333333332</v>
      </c>
      <c r="F45" s="62" cm="1">
        <f t="array" ref="F45">IF(B45&lt;INDEX(Assumptions!$C$3:$C$7, MATCH(C45, {"Virginia","Florida","Texas","New York","California"}, 0)),
    0,
    IF(C45=C44,
        F44 + D45,
        IF(COUNTIF($C$2:C45, C45) = 1, D45, LOOKUP(2, 1/(C$1:C44=C45), F$1:F44) + D45)
    )
)</f>
        <v>623</v>
      </c>
      <c r="G45" s="62" cm="1">
        <f t="array" ref="G45">IF(B45&lt;INDEX(Assumptions!$C$3:$C$7, MATCH(C45, {"Virginia","Florida","Texas","New York","California"}, 0)),
    0,
    IF(C45=C44,
        G44 + D45 - E45,
        IF(COUNTIF($C$2:C45, C45) = 1, D45, LOOKUP(2, 1/(C$1:C44=C45), G$1:G44) + D45 - E45)
    )
)</f>
        <v>610.08333333333326</v>
      </c>
      <c r="H45" s="63">
        <f>IF(B45&lt;INDEX(Assumptions!$C$3:$C$7, MATCH(C45, {"Virginia","Florida","Texas","New York","California"}, 0)),
    0,
    (G45 / INDEX(Assumptions!$C$15:$C$19, MATCH(C45, {"Virginia","Florida","Texas","New York","California"}, 0)))
)</f>
        <v>7.6260416666666655E-3</v>
      </c>
      <c r="I45" s="43">
        <f>G45*'Unit Economics'!$B$19* INDEX(Assumptions!$C$38:$C$42, MATCH(C45, {"Virginia","Florida","Texas","New York","California"}, 0))</f>
        <v>151302.74095000001</v>
      </c>
      <c r="J45" s="43">
        <f>D45*Assumptions!$C$21*INDEX(Assumptions!$C$38:$C$42,MATCH(C45,{"Virginia","Florida","Texas","New York","California"},0))</f>
        <v>27944.620999999999</v>
      </c>
      <c r="K45" s="43">
        <f>G45/Assumptions!$C$22*('Unit Economics'!$F$24+'Unit Economics'!$F$25+'Unit Economics'!$F$26)</f>
        <v>29091.106004901958</v>
      </c>
      <c r="L45" s="43">
        <f>D45*Assumptions!$C$29</f>
        <v>19610</v>
      </c>
      <c r="M45" s="35">
        <f>G45*Assumptions!$C$27</f>
        <v>0</v>
      </c>
      <c r="N45" s="35">
        <f>G45*Assumptions!$C$28</f>
        <v>0</v>
      </c>
      <c r="O45" s="64">
        <f>IF( COUNTIF($B$2:B45, B45) = 1, MIN( Assumptions!$C$34 + INT(SUMIF($B$2:$B45, B45, G$2:G45) / 1000) * Assumptions!$C$37, Assumptions!$C$36 ), 0 )</f>
        <v>0</v>
      </c>
      <c r="P45" s="53">
        <f t="shared" si="1"/>
        <v>188728.46795490195</v>
      </c>
      <c r="Q45" s="52">
        <f t="shared" si="2"/>
        <v>5263990.3251930876</v>
      </c>
    </row>
    <row r="46" spans="1:17">
      <c r="A46" s="2">
        <f t="shared" si="0"/>
        <v>2</v>
      </c>
      <c r="B46" s="2">
        <v>23</v>
      </c>
      <c r="C46" s="2" t="s">
        <v>89</v>
      </c>
      <c r="D46" s="62">
        <f>IF(
    B46 &lt; INDEX(Assumptions!$C$3:$C$7, MATCH(C46, {"Virginia","Florida","Texas","New York","California"}, 0)),
    0,
    IF(
        B46 = INDEX(Assumptions!$C$3:$C$7, MATCH(C46, {"Virginia","Florida","Texas","New York","California"}, 0)),
        IF(C46 = "Virginia", Assumptions!$C$13, Assumptions!$C$14),
        ROUND(
            (INDEX(Assumptions!$C$15:$C$19, MATCH(C46, {"Virginia","Florida","Texas","New York","California"}, 0)) * Assumptions!$C$9 -
            SUMIF(C$2:C45, C46, D$2:D46)) /
            (1 + EXP(-0.2 * (B46 - INDEX(Assumptions!$C$3:$C$7, MATCH(C46, {"Virginia","Florida","Texas","New York","California"}, 0)) - 30))),
            0
        )
    )
)</f>
        <v>281</v>
      </c>
      <c r="E46" s="62">
        <f>IF(B46&lt;INDEX(Assumptions!$C$3:$C$7, MATCH(C46, {"Virginia","Florida","Texas","New York","California"}, 0)),
    0,
    IF(F46=0,
        0,
        F46 * Assumptions!$C$12
    )
)</f>
        <v>10.866666666666667</v>
      </c>
      <c r="F46" s="62" cm="1">
        <f t="array" ref="F46">IF(B46&lt;INDEX(Assumptions!$C$3:$C$7, MATCH(C46, {"Virginia","Florida","Texas","New York","California"}, 0)),
    0,
    IF(C46=C45,
        F45 + D46,
        IF(COUNTIF($C$2:C46, C46) = 1, D46, LOOKUP(2, 1/(C$1:C45=C46), F$1:F45) + D46)
    )
)</f>
        <v>2608</v>
      </c>
      <c r="G46" s="62" cm="1">
        <f t="array" ref="G46">IF(B46&lt;INDEX(Assumptions!$C$3:$C$7, MATCH(C46, {"Virginia","Florida","Texas","New York","California"}, 0)),
    0,
    IF(C46=C45,
        G45 + D46 - E46,
        IF(COUNTIF($C$2:C46, C46) = 1, D46, LOOKUP(2, 1/(C$1:C45=C46), G$1:G45) + D46 - E46)
    )
)</f>
        <v>2533.0625</v>
      </c>
      <c r="H46" s="63">
        <f>IF(B46&lt;INDEX(Assumptions!$C$3:$C$7, MATCH(C46, {"Virginia","Florida","Texas","New York","California"}, 0)),
    0,
    (G46 / INDEX(Assumptions!$C$15:$C$19, MATCH(C46, {"Virginia","Florida","Texas","New York","California"}, 0)))
)</f>
        <v>5.0661249999999998E-2</v>
      </c>
      <c r="I46" s="43">
        <f>G46*'Unit Economics'!$B$19* INDEX(Assumptions!$C$38:$C$42, MATCH(C46, {"Virginia","Florida","Texas","New York","California"}, 0))</f>
        <v>609910.78874999995</v>
      </c>
      <c r="J46" s="43">
        <f>D46*Assumptions!$C$21*INDEX(Assumptions!$C$38:$C$42,MATCH(C46,{"Virginia","Florida","Texas","New York","California"},0))</f>
        <v>71921.95</v>
      </c>
      <c r="K46" s="43">
        <f>G46/Assumptions!$C$22*('Unit Economics'!$F$24+'Unit Economics'!$F$25+'Unit Economics'!$F$26)</f>
        <v>120786.1052389706</v>
      </c>
      <c r="L46" s="43">
        <f>D46*Assumptions!$C$29</f>
        <v>51985</v>
      </c>
      <c r="M46" s="35">
        <f>G46*Assumptions!$C$27</f>
        <v>0</v>
      </c>
      <c r="N46" s="35">
        <f>G46*Assumptions!$C$28</f>
        <v>0</v>
      </c>
      <c r="O46" s="64">
        <f>IF( COUNTIF($B$2:B46, B46) = 1, MIN( Assumptions!$C$34 + INT(SUMIF($B$2:$B46, B46, G$2:G46) / 1000) * Assumptions!$C$37, Assumptions!$C$36 ), 0 )</f>
        <v>0</v>
      </c>
      <c r="P46" s="53">
        <f t="shared" si="1"/>
        <v>750633.8439889705</v>
      </c>
      <c r="Q46" s="52">
        <f t="shared" si="2"/>
        <v>6014624.1691820584</v>
      </c>
    </row>
    <row r="47" spans="1:17">
      <c r="A47" s="2">
        <f t="shared" si="0"/>
        <v>2</v>
      </c>
      <c r="B47" s="2">
        <v>24</v>
      </c>
      <c r="C47" s="2" t="s">
        <v>90</v>
      </c>
      <c r="D47" s="62">
        <f>IF(
    B47 &lt; INDEX(Assumptions!$C$3:$C$7, MATCH(C47, {"Virginia","Florida","Texas","New York","California"}, 0)),
    0,
    IF(
        B47 = INDEX(Assumptions!$C$3:$C$7, MATCH(C47, {"Virginia","Florida","Texas","New York","California"}, 0)),
        IF(C47 = "Virginia", Assumptions!$C$13, Assumptions!$C$14),
        ROUND(
            (INDEX(Assumptions!$C$15:$C$19, MATCH(C47, {"Virginia","Florida","Texas","New York","California"}, 0)) * Assumptions!$C$9 -
            SUMIF(C$2:C46, C47, D$2:D47)) /
            (1 + EXP(-0.2 * (B47 - INDEX(Assumptions!$C$3:$C$7, MATCH(C47, {"Virginia","Florida","Texas","New York","California"}, 0)) - 30))),
            0
        )
    )
)</f>
        <v>110</v>
      </c>
      <c r="E47" s="62">
        <f>IF(B47&lt;INDEX(Assumptions!$C$3:$C$7, MATCH(C47, {"Virginia","Florida","Texas","New York","California"}, 0)),
    0,
    IF(F47=0,
        0,
        F47 * Assumptions!$C$12
    )
)</f>
        <v>2.7833333333333332</v>
      </c>
      <c r="F47" s="62" cm="1">
        <f t="array" ref="F47">IF(B47&lt;INDEX(Assumptions!$C$3:$C$7, MATCH(C47, {"Virginia","Florida","Texas","New York","California"}, 0)),
    0,
    IF(C47=C46,
        F46 + D47,
        IF(COUNTIF($C$2:C47, C47) = 1, D47, LOOKUP(2, 1/(C$1:C46=C47), F$1:F46) + D47)
    )
)</f>
        <v>668</v>
      </c>
      <c r="G47" s="62" cm="1">
        <f t="array" ref="G47">IF(B47&lt;INDEX(Assumptions!$C$3:$C$7, MATCH(C47, {"Virginia","Florida","Texas","New York","California"}, 0)),
    0,
    IF(C47=C46,
        G46 + D47 - E47,
        IF(COUNTIF($C$2:C47, C47) = 1, D47, LOOKUP(2, 1/(C$1:C46=C47), G$1:G46) + D47 - E47)
    )
)</f>
        <v>653.35833333333335</v>
      </c>
      <c r="H47" s="63">
        <f>IF(B47&lt;INDEX(Assumptions!$C$3:$C$7, MATCH(C47, {"Virginia","Florida","Texas","New York","California"}, 0)),
    0,
    (G47 / INDEX(Assumptions!$C$15:$C$19, MATCH(C47, {"Virginia","Florida","Texas","New York","California"}, 0)))
)</f>
        <v>9.3336904761904763E-3</v>
      </c>
      <c r="I47" s="43">
        <f>G47*'Unit Economics'!$B$19* INDEX(Assumptions!$C$38:$C$42, MATCH(C47, {"Virginia","Florida","Texas","New York","California"}, 0))</f>
        <v>165181.400475</v>
      </c>
      <c r="J47" s="43">
        <f>D47*Assumptions!$C$21*INDEX(Assumptions!$C$38:$C$42,MATCH(C47,{"Virginia","Florida","Texas","New York","California"},0))</f>
        <v>29562.225000000002</v>
      </c>
      <c r="K47" s="43">
        <f>G47/Assumptions!$C$22*('Unit Economics'!$F$24+'Unit Economics'!$F$25+'Unit Economics'!$F$26)</f>
        <v>31154.623468137259</v>
      </c>
      <c r="L47" s="43">
        <f>D47*Assumptions!$C$29</f>
        <v>20350</v>
      </c>
      <c r="M47" s="35">
        <f>G47*Assumptions!$C$27</f>
        <v>0</v>
      </c>
      <c r="N47" s="35">
        <f>G47*Assumptions!$C$28</f>
        <v>0</v>
      </c>
      <c r="O47" s="64">
        <f>IF( COUNTIF($B$2:B47, B47) = 1, MIN( Assumptions!$C$34 + INT(SUMIF($B$2:$B47, B47, G$2:G47) / 1000) * Assumptions!$C$37, Assumptions!$C$36 ), 0 )</f>
        <v>60000</v>
      </c>
      <c r="P47" s="53">
        <f t="shared" si="1"/>
        <v>145548.24894313727</v>
      </c>
      <c r="Q47" s="52">
        <f t="shared" si="2"/>
        <v>6160172.4181251954</v>
      </c>
    </row>
    <row r="48" spans="1:17">
      <c r="A48" s="2">
        <f t="shared" si="0"/>
        <v>2</v>
      </c>
      <c r="B48" s="2">
        <v>24</v>
      </c>
      <c r="C48" s="2" t="s">
        <v>91</v>
      </c>
      <c r="D48" s="62">
        <f>IF(
    B48 &lt; INDEX(Assumptions!$C$3:$C$7, MATCH(C48, {"Virginia","Florida","Texas","New York","California"}, 0)),
    0,
    IF(
        B48 = INDEX(Assumptions!$C$3:$C$7, MATCH(C48, {"Virginia","Florida","Texas","New York","California"}, 0)),
        IF(C48 = "Virginia", Assumptions!$C$13, Assumptions!$C$14),
        ROUND(
            (INDEX(Assumptions!$C$15:$C$19, MATCH(C48, {"Virginia","Florida","Texas","New York","California"}, 0)) * Assumptions!$C$9 -
            SUMIF(C$2:C47, C48, D$2:D48)) /
            (1 + EXP(-0.2 * (B48 - INDEX(Assumptions!$C$3:$C$7, MATCH(C48, {"Virginia","Florida","Texas","New York","California"}, 0)) - 30))),
            0
        )
    )
)</f>
        <v>126</v>
      </c>
      <c r="E48" s="62">
        <f>IF(B48&lt;INDEX(Assumptions!$C$3:$C$7, MATCH(C48, {"Virginia","Florida","Texas","New York","California"}, 0)),
    0,
    IF(F48=0,
        0,
        F48 * Assumptions!$C$12
    )
)</f>
        <v>3.1208333333333331</v>
      </c>
      <c r="F48" s="62" cm="1">
        <f t="array" ref="F48">IF(B48&lt;INDEX(Assumptions!$C$3:$C$7, MATCH(C48, {"Virginia","Florida","Texas","New York","California"}, 0)),
    0,
    IF(C48=C47,
        F47 + D48,
        IF(COUNTIF($C$2:C48, C48) = 1, D48, LOOKUP(2, 1/(C$1:C47=C48), F$1:F47) + D48)
    )
)</f>
        <v>749</v>
      </c>
      <c r="G48" s="62" cm="1">
        <f t="array" ref="G48">IF(B48&lt;INDEX(Assumptions!$C$3:$C$7, MATCH(C48, {"Virginia","Florida","Texas","New York","California"}, 0)),
    0,
    IF(C48=C47,
        G47 + D48 - E48,
        IF(COUNTIF($C$2:C48, C48) = 1, D48, LOOKUP(2, 1/(C$1:C47=C48), G$1:G47) + D48 - E48)
    )
)</f>
        <v>732.96249999999998</v>
      </c>
      <c r="H48" s="63">
        <f>IF(B48&lt;INDEX(Assumptions!$C$3:$C$7, MATCH(C48, {"Virginia","Florida","Texas","New York","California"}, 0)),
    0,
    (G48 / INDEX(Assumptions!$C$15:$C$19, MATCH(C48, {"Virginia","Florida","Texas","New York","California"}, 0)))
)</f>
        <v>9.1620312499999992E-3</v>
      </c>
      <c r="I48" s="43">
        <f>G48*'Unit Economics'!$B$19* INDEX(Assumptions!$C$38:$C$42, MATCH(C48, {"Virginia","Florida","Texas","New York","California"}, 0))</f>
        <v>181777.19207250001</v>
      </c>
      <c r="J48" s="43">
        <f>D48*Assumptions!$C$21*INDEX(Assumptions!$C$38:$C$42,MATCH(C48,{"Virginia","Florida","Texas","New York","California"},0))</f>
        <v>33217.190999999999</v>
      </c>
      <c r="K48" s="43">
        <f>G48/Assumptions!$C$22*('Unit Economics'!$F$24+'Unit Economics'!$F$25+'Unit Economics'!$F$26)</f>
        <v>34950.454503676476</v>
      </c>
      <c r="L48" s="43">
        <f>D48*Assumptions!$C$29</f>
        <v>23310</v>
      </c>
      <c r="M48" s="35">
        <f>G48*Assumptions!$C$27</f>
        <v>0</v>
      </c>
      <c r="N48" s="35">
        <f>G48*Assumptions!$C$28</f>
        <v>0</v>
      </c>
      <c r="O48" s="64">
        <f>IF( COUNTIF($B$2:B48, B48) = 1, MIN( Assumptions!$C$34 + INT(SUMIF($B$2:$B48, B48, G$2:G48) / 1000) * Assumptions!$C$37, Assumptions!$C$36 ), 0 )</f>
        <v>0</v>
      </c>
      <c r="P48" s="53">
        <f t="shared" si="1"/>
        <v>226634.83757617648</v>
      </c>
      <c r="Q48" s="52">
        <f t="shared" si="2"/>
        <v>6386807.2557013715</v>
      </c>
    </row>
    <row r="49" spans="1:17">
      <c r="A49" s="2">
        <f t="shared" si="0"/>
        <v>2</v>
      </c>
      <c r="B49" s="2">
        <v>24</v>
      </c>
      <c r="C49" s="2" t="s">
        <v>89</v>
      </c>
      <c r="D49" s="62">
        <f>IF(
    B49 &lt; INDEX(Assumptions!$C$3:$C$7, MATCH(C49, {"Virginia","Florida","Texas","New York","California"}, 0)),
    0,
    IF(
        B49 = INDEX(Assumptions!$C$3:$C$7, MATCH(C49, {"Virginia","Florida","Texas","New York","California"}, 0)),
        IF(C49 = "Virginia", Assumptions!$C$13, Assumptions!$C$14),
        ROUND(
            (INDEX(Assumptions!$C$15:$C$19, MATCH(C49, {"Virginia","Florida","Texas","New York","California"}, 0)) * Assumptions!$C$9 -
            SUMIF(C$2:C48, C49, D$2:D49)) /
            (1 + EXP(-0.2 * (B49 - INDEX(Assumptions!$C$3:$C$7, MATCH(C49, {"Virginia","Florida","Texas","New York","California"}, 0)) - 30))),
            0
        )
    )
)</f>
        <v>275</v>
      </c>
      <c r="E49" s="62">
        <f>IF(B49&lt;INDEX(Assumptions!$C$3:$C$7, MATCH(C49, {"Virginia","Florida","Texas","New York","California"}, 0)),
    0,
    IF(F49=0,
        0,
        F49 * Assumptions!$C$12
    )
)</f>
        <v>12.012499999999999</v>
      </c>
      <c r="F49" s="62" cm="1">
        <f t="array" ref="F49">IF(B49&lt;INDEX(Assumptions!$C$3:$C$7, MATCH(C49, {"Virginia","Florida","Texas","New York","California"}, 0)),
    0,
    IF(C49=C48,
        F48 + D49,
        IF(COUNTIF($C$2:C49, C49) = 1, D49, LOOKUP(2, 1/(C$1:C48=C49), F$1:F48) + D49)
    )
)</f>
        <v>2883</v>
      </c>
      <c r="G49" s="62" cm="1">
        <f t="array" ref="G49">IF(B49&lt;INDEX(Assumptions!$C$3:$C$7, MATCH(C49, {"Virginia","Florida","Texas","New York","California"}, 0)),
    0,
    IF(C49=C48,
        G48 + D49 - E49,
        IF(COUNTIF($C$2:C49, C49) = 1, D49, LOOKUP(2, 1/(C$1:C48=C49), G$1:G48) + D49 - E49)
    )
)</f>
        <v>2796.05</v>
      </c>
      <c r="H49" s="63">
        <f>IF(B49&lt;INDEX(Assumptions!$C$3:$C$7, MATCH(C49, {"Virginia","Florida","Texas","New York","California"}, 0)),
    0,
    (G49 / INDEX(Assumptions!$C$15:$C$19, MATCH(C49, {"Virginia","Florida","Texas","New York","California"}, 0)))
)</f>
        <v>5.5921000000000005E-2</v>
      </c>
      <c r="I49" s="43">
        <f>G49*'Unit Economics'!$B$19* INDEX(Assumptions!$C$38:$C$42, MATCH(C49, {"Virginia","Florida","Texas","New York","California"}, 0))</f>
        <v>673232.91899999999</v>
      </c>
      <c r="J49" s="43">
        <f>D49*Assumptions!$C$21*INDEX(Assumptions!$C$38:$C$42,MATCH(C49,{"Virginia","Florida","Texas","New York","California"},0))</f>
        <v>70386.25</v>
      </c>
      <c r="K49" s="43">
        <f>G49/Assumptions!$C$22*('Unit Economics'!$F$24+'Unit Economics'!$F$25+'Unit Economics'!$F$26)</f>
        <v>133326.35477941178</v>
      </c>
      <c r="L49" s="43">
        <f>D49*Assumptions!$C$29</f>
        <v>50875</v>
      </c>
      <c r="M49" s="35">
        <f>G49*Assumptions!$C$27</f>
        <v>0</v>
      </c>
      <c r="N49" s="35">
        <f>G49*Assumptions!$C$28</f>
        <v>0</v>
      </c>
      <c r="O49" s="64">
        <f>IF( COUNTIF($B$2:B49, B49) = 1, MIN( Assumptions!$C$34 + INT(SUMIF($B$2:$B49, B49, G$2:G49) / 1000) * Assumptions!$C$37, Assumptions!$C$36 ), 0 )</f>
        <v>0</v>
      </c>
      <c r="P49" s="53">
        <f t="shared" si="1"/>
        <v>826070.5237794118</v>
      </c>
      <c r="Q49" s="52">
        <f t="shared" si="2"/>
        <v>7212877.7794807833</v>
      </c>
    </row>
    <row r="50" spans="1:17">
      <c r="A50" s="2">
        <f t="shared" si="0"/>
        <v>3</v>
      </c>
      <c r="B50" s="2">
        <v>25</v>
      </c>
      <c r="C50" s="2" t="s">
        <v>92</v>
      </c>
      <c r="D50" s="62">
        <f>IF(
    B50 &lt; INDEX(Assumptions!$C$3:$C$7, MATCH(C50, {"Virginia","Florida","Texas","New York","California"}, 0)),
    0,
    IF(
        B50 = INDEX(Assumptions!$C$3:$C$7, MATCH(C50, {"Virginia","Florida","Texas","New York","California"}, 0)),
        IF(C50 = "Virginia", Assumptions!$C$13, Assumptions!$C$14),
        ROUND(
            (INDEX(Assumptions!$C$15:$C$19, MATCH(C50, {"Virginia","Florida","Texas","New York","California"}, 0)) * Assumptions!$C$9 -
            SUMIF(C$2:C49, C50, D$2:D50)) /
            (1 + EXP(-0.2 * (B50 - INDEX(Assumptions!$C$3:$C$7, MATCH(C50, {"Virginia","Florida","Texas","New York","California"}, 0)) - 30))),
            0
        )
    )
)</f>
        <v>100</v>
      </c>
      <c r="E50" s="62">
        <f>IF(B50&lt;INDEX(Assumptions!$C$3:$C$7, MATCH(C50, {"Virginia","Florida","Texas","New York","California"}, 0)),
    0,
    IF(F50=0,
        0,
        F50 * Assumptions!$C$12
    )
)</f>
        <v>0.41666666666666669</v>
      </c>
      <c r="F50" s="62" cm="1">
        <f t="array" ref="F50">IF(B50&lt;INDEX(Assumptions!$C$3:$C$7, MATCH(C50, {"Virginia","Florida","Texas","New York","California"}, 0)),
    0,
    IF(C50=C49,
        F49 + D50,
        IF(COUNTIF($C$2:C50, C50) = 1, D50, LOOKUP(2, 1/(C$1:C49=C50), F$1:F49) + D50)
    )
)</f>
        <v>100</v>
      </c>
      <c r="G50" s="62" cm="1">
        <f t="array" ref="G50">IF(B50&lt;INDEX(Assumptions!$C$3:$C$7, MATCH(C50, {"Virginia","Florida","Texas","New York","California"}, 0)),
    0,
    IF(C50=C49,
        G49 + D50 - E50,
        IF(COUNTIF($C$2:C50, C50) = 1, D50, LOOKUP(2, 1/(C$1:C49=C50), G$1:G49) + D50 - E50)
    )
)</f>
        <v>100</v>
      </c>
      <c r="H50" s="63">
        <f>IF(B50&lt;INDEX(Assumptions!$C$3:$C$7, MATCH(C50, {"Virginia","Florida","Texas","New York","California"}, 0)),
    0,
    (G50 / INDEX(Assumptions!$C$15:$C$19, MATCH(C50, {"Virginia","Florida","Texas","New York","California"}, 0)))
)</f>
        <v>1.6666666666666668E-3</v>
      </c>
      <c r="I50" s="43">
        <f>G50*'Unit Economics'!$B$19* INDEX(Assumptions!$C$38:$C$42, MATCH(C50, {"Virginia","Florida","Texas","New York","California"}, 0))</f>
        <v>26004.240000000002</v>
      </c>
      <c r="J50" s="43">
        <f>D50*Assumptions!$C$21*INDEX(Assumptions!$C$38:$C$42,MATCH(C50,{"Virginia","Florida","Texas","New York","California"},0))</f>
        <v>27642.600000000002</v>
      </c>
      <c r="K50" s="43">
        <f>G50/Assumptions!$C$22*('Unit Economics'!$F$24+'Unit Economics'!$F$25+'Unit Economics'!$F$26)</f>
        <v>4768.3823529411766</v>
      </c>
      <c r="L50" s="43">
        <f>D50*Assumptions!$C$29</f>
        <v>18500</v>
      </c>
      <c r="M50" s="35">
        <f>G50*Assumptions!$C$27</f>
        <v>0</v>
      </c>
      <c r="N50" s="35">
        <f>G50*Assumptions!$C$28</f>
        <v>0</v>
      </c>
      <c r="O50" s="64">
        <f>IF( COUNTIF($B$2:B50, B50) = 1, MIN( Assumptions!$C$34 + INT(SUMIF($B$2:$B50, B50, G$2:G50) / 1000) * Assumptions!$C$37, Assumptions!$C$36 ), 0 )</f>
        <v>60000</v>
      </c>
      <c r="P50" s="53">
        <f t="shared" si="1"/>
        <v>-20084.777647058821</v>
      </c>
      <c r="Q50" s="52">
        <f t="shared" si="2"/>
        <v>7192793.0018337248</v>
      </c>
    </row>
    <row r="51" spans="1:17">
      <c r="A51" s="2">
        <f t="shared" si="0"/>
        <v>3</v>
      </c>
      <c r="B51" s="2">
        <v>25</v>
      </c>
      <c r="C51" s="2" t="s">
        <v>93</v>
      </c>
      <c r="D51" s="62">
        <f>IF(
    B51 &lt; INDEX(Assumptions!$C$3:$C$7, MATCH(C51, {"Virginia","Florida","Texas","New York","California"}, 0)),
    0,
    IF(
        B51 = INDEX(Assumptions!$C$3:$C$7, MATCH(C51, {"Virginia","Florida","Texas","New York","California"}, 0)),
        IF(C51 = "Virginia", Assumptions!$C$13, Assumptions!$C$14),
        ROUND(
            (INDEX(Assumptions!$C$15:$C$19, MATCH(C51, {"Virginia","Florida","Texas","New York","California"}, 0)) * Assumptions!$C$9 -
            SUMIF(C$2:C50, C51, D$2:D51)) /
            (1 + EXP(-0.2 * (B51 - INDEX(Assumptions!$C$3:$C$7, MATCH(C51, {"Virginia","Florida","Texas","New York","California"}, 0)) - 30))),
            0
        )
    )
)</f>
        <v>100</v>
      </c>
      <c r="E51" s="62">
        <f>IF(B51&lt;INDEX(Assumptions!$C$3:$C$7, MATCH(C51, {"Virginia","Florida","Texas","New York","California"}, 0)),
    0,
    IF(F51=0,
        0,
        F51 * Assumptions!$C$12
    )
)</f>
        <v>0.41666666666666669</v>
      </c>
      <c r="F51" s="62" cm="1">
        <f t="array" ref="F51">IF(B51&lt;INDEX(Assumptions!$C$3:$C$7, MATCH(C51, {"Virginia","Florida","Texas","New York","California"}, 0)),
    0,
    IF(C51=C50,
        F50 + D51,
        IF(COUNTIF($C$2:C51, C51) = 1, D51, LOOKUP(2, 1/(C$1:C50=C51), F$1:F50) + D51)
    )
)</f>
        <v>100</v>
      </c>
      <c r="G51" s="62" cm="1">
        <f t="array" ref="G51">IF(B51&lt;INDEX(Assumptions!$C$3:$C$7, MATCH(C51, {"Virginia","Florida","Texas","New York","California"}, 0)),
    0,
    IF(C51=C50,
        G50 + D51 - E51,
        IF(COUNTIF($C$2:C51, C51) = 1, D51, LOOKUP(2, 1/(C$1:C50=C51), G$1:G50) + D51 - E51)
    )
)</f>
        <v>100</v>
      </c>
      <c r="H51" s="63">
        <f>IF(B51&lt;INDEX(Assumptions!$C$3:$C$7, MATCH(C51, {"Virginia","Florida","Texas","New York","California"}, 0)),
    0,
    (G51 / INDEX(Assumptions!$C$15:$C$19, MATCH(C51, {"Virginia","Florida","Texas","New York","California"}, 0)))
)</f>
        <v>1.1111111111111111E-3</v>
      </c>
      <c r="I51" s="43">
        <f>G51*'Unit Economics'!$B$19* INDEX(Assumptions!$C$38:$C$42, MATCH(C51, {"Virginia","Florida","Texas","New York","California"}, 0))</f>
        <v>26485.800000000003</v>
      </c>
      <c r="J51" s="43">
        <f>D51*Assumptions!$C$21*INDEX(Assumptions!$C$38:$C$42,MATCH(C51,{"Virginia","Florida","Texas","New York","California"},0))</f>
        <v>28154.500000000004</v>
      </c>
      <c r="K51" s="43">
        <f>G51/Assumptions!$C$22*('Unit Economics'!$F$24+'Unit Economics'!$F$25+'Unit Economics'!$F$26)</f>
        <v>4768.3823529411766</v>
      </c>
      <c r="L51" s="43">
        <f>D51*Assumptions!$C$29</f>
        <v>18500</v>
      </c>
      <c r="M51" s="35">
        <f>G51*Assumptions!$C$27</f>
        <v>0</v>
      </c>
      <c r="N51" s="35">
        <f>G51*Assumptions!$C$28</f>
        <v>0</v>
      </c>
      <c r="O51" s="64">
        <f>IF( COUNTIF($B$2:B51, B51) = 1, MIN( Assumptions!$C$34 + INT(SUMIF($B$2:$B51, B51, G$2:G51) / 1000) * Assumptions!$C$37, Assumptions!$C$36 ), 0 )</f>
        <v>0</v>
      </c>
      <c r="P51" s="53">
        <f t="shared" si="1"/>
        <v>40908.682352941178</v>
      </c>
      <c r="Q51" s="52">
        <f t="shared" si="2"/>
        <v>7233701.6841866663</v>
      </c>
    </row>
    <row r="52" spans="1:17">
      <c r="A52" s="2">
        <f t="shared" si="0"/>
        <v>3</v>
      </c>
      <c r="B52" s="2">
        <v>25</v>
      </c>
      <c r="C52" s="2" t="s">
        <v>90</v>
      </c>
      <c r="D52" s="62">
        <f>IF(
    B52 &lt; INDEX(Assumptions!$C$3:$C$7, MATCH(C52, {"Virginia","Florida","Texas","New York","California"}, 0)),
    0,
    IF(
        B52 = INDEX(Assumptions!$C$3:$C$7, MATCH(C52, {"Virginia","Florida","Texas","New York","California"}, 0)),
        IF(C52 = "Virginia", Assumptions!$C$13, Assumptions!$C$14),
        ROUND(
            (INDEX(Assumptions!$C$15:$C$19, MATCH(C52, {"Virginia","Florida","Texas","New York","California"}, 0)) * Assumptions!$C$9 -
            SUMIF(C$2:C51, C52, D$2:D52)) /
            (1 + EXP(-0.2 * (B52 - INDEX(Assumptions!$C$3:$C$7, MATCH(C52, {"Virginia","Florida","Texas","New York","California"}, 0)) - 30))),
            0
        )
    )
)</f>
        <v>131</v>
      </c>
      <c r="E52" s="62">
        <f>IF(B52&lt;INDEX(Assumptions!$C$3:$C$7, MATCH(C52, {"Virginia","Florida","Texas","New York","California"}, 0)),
    0,
    IF(F52=0,
        0,
        F52 * Assumptions!$C$12
    )
)</f>
        <v>3.3291666666666666</v>
      </c>
      <c r="F52" s="62" cm="1">
        <f t="array" ref="F52">IF(B52&lt;INDEX(Assumptions!$C$3:$C$7, MATCH(C52, {"Virginia","Florida","Texas","New York","California"}, 0)),
    0,
    IF(C52=C51,
        F51 + D52,
        IF(COUNTIF($C$2:C52, C52) = 1, D52, LOOKUP(2, 1/(C$1:C51=C52), F$1:F51) + D52)
    )
)</f>
        <v>799</v>
      </c>
      <c r="G52" s="62" cm="1">
        <f t="array" ref="G52">IF(B52&lt;INDEX(Assumptions!$C$3:$C$7, MATCH(C52, {"Virginia","Florida","Texas","New York","California"}, 0)),
    0,
    IF(C52=C51,
        G51 + D52 - E52,
        IF(COUNTIF($C$2:C52, C52) = 1, D52, LOOKUP(2, 1/(C$1:C51=C52), G$1:G51) + D52 - E52)
    )
)</f>
        <v>781.0291666666667</v>
      </c>
      <c r="H52" s="63">
        <f>IF(B52&lt;INDEX(Assumptions!$C$3:$C$7, MATCH(C52, {"Virginia","Florida","Texas","New York","California"}, 0)),
    0,
    (G52 / INDEX(Assumptions!$C$15:$C$19, MATCH(C52, {"Virginia","Florida","Texas","New York","California"}, 0)))
)</f>
        <v>1.1157559523809524E-2</v>
      </c>
      <c r="I52" s="43">
        <f>G52*'Unit Economics'!$B$19* INDEX(Assumptions!$C$38:$C$42, MATCH(C52, {"Virginia","Florida","Texas","New York","California"}, 0))</f>
        <v>197459.01288749999</v>
      </c>
      <c r="J52" s="43">
        <f>D52*Assumptions!$C$21*INDEX(Assumptions!$C$38:$C$42,MATCH(C52,{"Virginia","Florida","Texas","New York","California"},0))</f>
        <v>35205.922500000001</v>
      </c>
      <c r="K52" s="43">
        <f>G52/Assumptions!$C$22*('Unit Economics'!$F$24+'Unit Economics'!$F$25+'Unit Economics'!$F$26)</f>
        <v>37242.456954656867</v>
      </c>
      <c r="L52" s="43">
        <f>D52*Assumptions!$C$29</f>
        <v>24235</v>
      </c>
      <c r="M52" s="35">
        <f>G52*Assumptions!$C$27</f>
        <v>0</v>
      </c>
      <c r="N52" s="35">
        <f>G52*Assumptions!$C$28</f>
        <v>0</v>
      </c>
      <c r="O52" s="64">
        <f>IF( COUNTIF($B$2:B52, B52) = 1, MIN( Assumptions!$C$34 + INT(SUMIF($B$2:$B52, B52, G$2:G52) / 1000) * Assumptions!$C$37, Assumptions!$C$36 ), 0 )</f>
        <v>0</v>
      </c>
      <c r="P52" s="53">
        <f t="shared" si="1"/>
        <v>245672.39234215685</v>
      </c>
      <c r="Q52" s="52">
        <f t="shared" si="2"/>
        <v>7479374.076528823</v>
      </c>
    </row>
    <row r="53" spans="1:17">
      <c r="A53" s="2">
        <f t="shared" si="0"/>
        <v>3</v>
      </c>
      <c r="B53" s="2">
        <v>25</v>
      </c>
      <c r="C53" s="2" t="s">
        <v>91</v>
      </c>
      <c r="D53" s="62">
        <f>IF(
    B53 &lt; INDEX(Assumptions!$C$3:$C$7, MATCH(C53, {"Virginia","Florida","Texas","New York","California"}, 0)),
    0,
    IF(
        B53 = INDEX(Assumptions!$C$3:$C$7, MATCH(C53, {"Virginia","Florida","Texas","New York","California"}, 0)),
        IF(C53 = "Virginia", Assumptions!$C$13, Assumptions!$C$14),
        ROUND(
            (INDEX(Assumptions!$C$15:$C$19, MATCH(C53, {"Virginia","Florida","Texas","New York","California"}, 0)) * Assumptions!$C$9 -
            SUMIF(C$2:C52, C53, D$2:D53)) /
            (1 + EXP(-0.2 * (B53 - INDEX(Assumptions!$C$3:$C$7, MATCH(C53, {"Virginia","Florida","Texas","New York","California"}, 0)) - 30))),
            0
        )
    )
)</f>
        <v>150</v>
      </c>
      <c r="E53" s="62">
        <f>IF(B53&lt;INDEX(Assumptions!$C$3:$C$7, MATCH(C53, {"Virginia","Florida","Texas","New York","California"}, 0)),
    0,
    IF(F53=0,
        0,
        F53 * Assumptions!$C$12
    )
)</f>
        <v>3.7458333333333331</v>
      </c>
      <c r="F53" s="62" cm="1">
        <f t="array" ref="F53">IF(B53&lt;INDEX(Assumptions!$C$3:$C$7, MATCH(C53, {"Virginia","Florida","Texas","New York","California"}, 0)),
    0,
    IF(C53=C52,
        F52 + D53,
        IF(COUNTIF($C$2:C53, C53) = 1, D53, LOOKUP(2, 1/(C$1:C52=C53), F$1:F52) + D53)
    )
)</f>
        <v>899</v>
      </c>
      <c r="G53" s="62" cm="1">
        <f t="array" ref="G53">IF(B53&lt;INDEX(Assumptions!$C$3:$C$7, MATCH(C53, {"Virginia","Florida","Texas","New York","California"}, 0)),
    0,
    IF(C53=C52,
        G52 + D53 - E53,
        IF(COUNTIF($C$2:C53, C53) = 1, D53, LOOKUP(2, 1/(C$1:C52=C53), G$1:G52) + D53 - E53)
    )
)</f>
        <v>879.2166666666667</v>
      </c>
      <c r="H53" s="63">
        <f>IF(B53&lt;INDEX(Assumptions!$C$3:$C$7, MATCH(C53, {"Virginia","Florida","Texas","New York","California"}, 0)),
    0,
    (G53 / INDEX(Assumptions!$C$15:$C$19, MATCH(C53, {"Virginia","Florida","Texas","New York","California"}, 0)))
)</f>
        <v>1.0990208333333334E-2</v>
      </c>
      <c r="I53" s="43">
        <f>G53*'Unit Economics'!$B$19* INDEX(Assumptions!$C$38:$C$42, MATCH(C53, {"Virginia","Florida","Texas","New York","California"}, 0))</f>
        <v>218048.72267000002</v>
      </c>
      <c r="J53" s="43">
        <f>D53*Assumptions!$C$21*INDEX(Assumptions!$C$38:$C$42,MATCH(C53,{"Virginia","Florida","Texas","New York","California"},0))</f>
        <v>39544.275000000001</v>
      </c>
      <c r="K53" s="43">
        <f>G53/Assumptions!$C$22*('Unit Economics'!$F$24+'Unit Economics'!$F$25+'Unit Economics'!$F$26)</f>
        <v>41924.412377450986</v>
      </c>
      <c r="L53" s="43">
        <f>D53*Assumptions!$C$29</f>
        <v>27750</v>
      </c>
      <c r="M53" s="35">
        <f>G53*Assumptions!$C$27</f>
        <v>0</v>
      </c>
      <c r="N53" s="35">
        <f>G53*Assumptions!$C$28</f>
        <v>0</v>
      </c>
      <c r="O53" s="64">
        <f>IF( COUNTIF($B$2:B53, B53) = 1, MIN( Assumptions!$C$34 + INT(SUMIF($B$2:$B53, B53, G$2:G53) / 1000) * Assumptions!$C$37, Assumptions!$C$36 ), 0 )</f>
        <v>0</v>
      </c>
      <c r="P53" s="53">
        <f t="shared" si="1"/>
        <v>271767.41004745098</v>
      </c>
      <c r="Q53" s="52">
        <f t="shared" si="2"/>
        <v>7751141.486576274</v>
      </c>
    </row>
    <row r="54" spans="1:17">
      <c r="A54" s="2">
        <f t="shared" si="0"/>
        <v>3</v>
      </c>
      <c r="B54" s="2">
        <v>25</v>
      </c>
      <c r="C54" s="2" t="s">
        <v>89</v>
      </c>
      <c r="D54" s="62">
        <f>IF(
    B54 &lt; INDEX(Assumptions!$C$3:$C$7, MATCH(C54, {"Virginia","Florida","Texas","New York","California"}, 0)),
    0,
    IF(
        B54 = INDEX(Assumptions!$C$3:$C$7, MATCH(C54, {"Virginia","Florida","Texas","New York","California"}, 0)),
        IF(C54 = "Virginia", Assumptions!$C$13, Assumptions!$C$14),
        ROUND(
            (INDEX(Assumptions!$C$15:$C$19, MATCH(C54, {"Virginia","Florida","Texas","New York","California"}, 0)) * Assumptions!$C$9 -
            SUMIF(C$2:C53, C54, D$2:D54)) /
            (1 + EXP(-0.2 * (B54 - INDEX(Assumptions!$C$3:$C$7, MATCH(C54, {"Virginia","Florida","Texas","New York","California"}, 0)) - 30))),
            0
        )
    )
)</f>
        <v>259</v>
      </c>
      <c r="E54" s="62">
        <f>IF(B54&lt;INDEX(Assumptions!$C$3:$C$7, MATCH(C54, {"Virginia","Florida","Texas","New York","California"}, 0)),
    0,
    IF(F54=0,
        0,
        F54 * Assumptions!$C$12
    )
)</f>
        <v>13.091666666666667</v>
      </c>
      <c r="F54" s="62" cm="1">
        <f t="array" ref="F54">IF(B54&lt;INDEX(Assumptions!$C$3:$C$7, MATCH(C54, {"Virginia","Florida","Texas","New York","California"}, 0)),
    0,
    IF(C54=C53,
        F53 + D54,
        IF(COUNTIF($C$2:C54, C54) = 1, D54, LOOKUP(2, 1/(C$1:C53=C54), F$1:F53) + D54)
    )
)</f>
        <v>3142</v>
      </c>
      <c r="G54" s="62" cm="1">
        <f t="array" ref="G54">IF(B54&lt;INDEX(Assumptions!$C$3:$C$7, MATCH(C54, {"Virginia","Florida","Texas","New York","California"}, 0)),
    0,
    IF(C54=C53,
        G53 + D54 - E54,
        IF(COUNTIF($C$2:C54, C54) = 1, D54, LOOKUP(2, 1/(C$1:C53=C54), G$1:G53) + D54 - E54)
    )
)</f>
        <v>3041.9583333333335</v>
      </c>
      <c r="H54" s="63">
        <f>IF(B54&lt;INDEX(Assumptions!$C$3:$C$7, MATCH(C54, {"Virginia","Florida","Texas","New York","California"}, 0)),
    0,
    (G54 / INDEX(Assumptions!$C$15:$C$19, MATCH(C54, {"Virginia","Florida","Texas","New York","California"}, 0)))
)</f>
        <v>6.0839166666666666E-2</v>
      </c>
      <c r="I54" s="43">
        <f>G54*'Unit Economics'!$B$19* INDEX(Assumptions!$C$38:$C$42, MATCH(C54, {"Virginia","Florida","Texas","New York","California"}, 0))</f>
        <v>732442.72750000004</v>
      </c>
      <c r="J54" s="43">
        <f>D54*Assumptions!$C$21*INDEX(Assumptions!$C$38:$C$42,MATCH(C54,{"Virginia","Florida","Texas","New York","California"},0))</f>
        <v>66291.05</v>
      </c>
      <c r="K54" s="43">
        <f>G54/Assumptions!$C$22*('Unit Economics'!$F$24+'Unit Economics'!$F$25+'Unit Economics'!$F$26)</f>
        <v>145052.20435049024</v>
      </c>
      <c r="L54" s="43">
        <f>D54*Assumptions!$C$29</f>
        <v>47915</v>
      </c>
      <c r="M54" s="35">
        <f>G54*Assumptions!$C$27</f>
        <v>0</v>
      </c>
      <c r="N54" s="35">
        <f>G54*Assumptions!$C$28</f>
        <v>0</v>
      </c>
      <c r="O54" s="64">
        <f>IF( COUNTIF($B$2:B54, B54) = 1, MIN( Assumptions!$C$34 + INT(SUMIF($B$2:$B54, B54, G$2:G54) / 1000) * Assumptions!$C$37, Assumptions!$C$36 ), 0 )</f>
        <v>0</v>
      </c>
      <c r="P54" s="53">
        <f t="shared" si="1"/>
        <v>895870.98185049032</v>
      </c>
      <c r="Q54" s="52">
        <f t="shared" si="2"/>
        <v>8647012.468426764</v>
      </c>
    </row>
    <row r="55" spans="1:17">
      <c r="A55" s="2">
        <f t="shared" si="0"/>
        <v>3</v>
      </c>
      <c r="B55" s="2">
        <v>26</v>
      </c>
      <c r="C55" s="2" t="s">
        <v>92</v>
      </c>
      <c r="D55" s="62">
        <f>IF(
    B55 &lt; INDEX(Assumptions!$C$3:$C$7, MATCH(C55, {"Virginia","Florida","Texas","New York","California"}, 0)),
    0,
    IF(
        B55 = INDEX(Assumptions!$C$3:$C$7, MATCH(C55, {"Virginia","Florida","Texas","New York","California"}, 0)),
        IF(C55 = "Virginia", Assumptions!$C$13, Assumptions!$C$14),
        ROUND(
            (INDEX(Assumptions!$C$15:$C$19, MATCH(C55, {"Virginia","Florida","Texas","New York","California"}, 0)) * Assumptions!$C$9 -
            SUMIF(C$2:C54, C55, D$2:D55)) /
            (1 + EXP(-0.2 * (B55 - INDEX(Assumptions!$C$3:$C$7, MATCH(C55, {"Virginia","Florida","Texas","New York","California"}, 0)) - 30))),
            0
        )
    )
)</f>
        <v>14</v>
      </c>
      <c r="E55" s="62">
        <f>IF(B55&lt;INDEX(Assumptions!$C$3:$C$7, MATCH(C55, {"Virginia","Florida","Texas","New York","California"}, 0)),
    0,
    IF(F55=0,
        0,
        F55 * Assumptions!$C$12
    )
)</f>
        <v>0.47499999999999998</v>
      </c>
      <c r="F55" s="62" cm="1">
        <f t="array" ref="F55">IF(B55&lt;INDEX(Assumptions!$C$3:$C$7, MATCH(C55, {"Virginia","Florida","Texas","New York","California"}, 0)),
    0,
    IF(C55=C54,
        F54 + D55,
        IF(COUNTIF($C$2:C55, C55) = 1, D55, LOOKUP(2, 1/(C$1:C54=C55), F$1:F54) + D55)
    )
)</f>
        <v>114</v>
      </c>
      <c r="G55" s="62" cm="1">
        <f t="array" ref="G55">IF(B55&lt;INDEX(Assumptions!$C$3:$C$7, MATCH(C55, {"Virginia","Florida","Texas","New York","California"}, 0)),
    0,
    IF(C55=C54,
        G54 + D55 - E55,
        IF(COUNTIF($C$2:C55, C55) = 1, D55, LOOKUP(2, 1/(C$1:C54=C55), G$1:G54) + D55 - E55)
    )
)</f>
        <v>113.52500000000001</v>
      </c>
      <c r="H55" s="63">
        <f>IF(B55&lt;INDEX(Assumptions!$C$3:$C$7, MATCH(C55, {"Virginia","Florida","Texas","New York","California"}, 0)),
    0,
    (G55 / INDEX(Assumptions!$C$15:$C$19, MATCH(C55, {"Virginia","Florida","Texas","New York","California"}, 0)))
)</f>
        <v>1.8920833333333335E-3</v>
      </c>
      <c r="I55" s="43">
        <f>G55*'Unit Economics'!$B$19* INDEX(Assumptions!$C$38:$C$42, MATCH(C55, {"Virginia","Florida","Texas","New York","California"}, 0))</f>
        <v>29521.313460000001</v>
      </c>
      <c r="J55" s="43">
        <f>D55*Assumptions!$C$21*INDEX(Assumptions!$C$38:$C$42,MATCH(C55,{"Virginia","Florida","Texas","New York","California"},0))</f>
        <v>3869.9639999999999</v>
      </c>
      <c r="K55" s="43">
        <f>G55/Assumptions!$C$22*('Unit Economics'!$F$24+'Unit Economics'!$F$25+'Unit Economics'!$F$26)</f>
        <v>5413.3060661764721</v>
      </c>
      <c r="L55" s="43">
        <f>D55*Assumptions!$C$29</f>
        <v>2590</v>
      </c>
      <c r="M55" s="35">
        <f>G55*Assumptions!$C$27</f>
        <v>0</v>
      </c>
      <c r="N55" s="35">
        <f>G55*Assumptions!$C$28</f>
        <v>0</v>
      </c>
      <c r="O55" s="64">
        <f>IF( COUNTIF($B$2:B55, B55) = 1, MIN( Assumptions!$C$34 + INT(SUMIF($B$2:$B55, B55, G$2:G55) / 1000) * Assumptions!$C$37, Assumptions!$C$36 ), 0 )</f>
        <v>60000</v>
      </c>
      <c r="P55" s="53">
        <f t="shared" si="1"/>
        <v>-23785.416473823527</v>
      </c>
      <c r="Q55" s="52">
        <f t="shared" si="2"/>
        <v>8623227.0519529413</v>
      </c>
    </row>
    <row r="56" spans="1:17">
      <c r="A56" s="2">
        <f t="shared" si="0"/>
        <v>3</v>
      </c>
      <c r="B56" s="2">
        <v>26</v>
      </c>
      <c r="C56" s="2" t="s">
        <v>93</v>
      </c>
      <c r="D56" s="62">
        <f>IF(
    B56 &lt; INDEX(Assumptions!$C$3:$C$7, MATCH(C56, {"Virginia","Florida","Texas","New York","California"}, 0)),
    0,
    IF(
        B56 = INDEX(Assumptions!$C$3:$C$7, MATCH(C56, {"Virginia","Florida","Texas","New York","California"}, 0)),
        IF(C56 = "Virginia", Assumptions!$C$13, Assumptions!$C$14),
        ROUND(
            (INDEX(Assumptions!$C$15:$C$19, MATCH(C56, {"Virginia","Florida","Texas","New York","California"}, 0)) * Assumptions!$C$9 -
            SUMIF(C$2:C55, C56, D$2:D56)) /
            (1 + EXP(-0.2 * (B56 - INDEX(Assumptions!$C$3:$C$7, MATCH(C56, {"Virginia","Florida","Texas","New York","California"}, 0)) - 30))),
            0
        )
    )
)</f>
        <v>21</v>
      </c>
      <c r="E56" s="62">
        <f>IF(B56&lt;INDEX(Assumptions!$C$3:$C$7, MATCH(C56, {"Virginia","Florida","Texas","New York","California"}, 0)),
    0,
    IF(F56=0,
        0,
        F56 * Assumptions!$C$12
    )
)</f>
        <v>0.50416666666666665</v>
      </c>
      <c r="F56" s="62" cm="1">
        <f t="array" ref="F56">IF(B56&lt;INDEX(Assumptions!$C$3:$C$7, MATCH(C56, {"Virginia","Florida","Texas","New York","California"}, 0)),
    0,
    IF(C56=C55,
        F55 + D56,
        IF(COUNTIF($C$2:C56, C56) = 1, D56, LOOKUP(2, 1/(C$1:C55=C56), F$1:F55) + D56)
    )
)</f>
        <v>121</v>
      </c>
      <c r="G56" s="62" cm="1">
        <f t="array" ref="G56">IF(B56&lt;INDEX(Assumptions!$C$3:$C$7, MATCH(C56, {"Virginia","Florida","Texas","New York","California"}, 0)),
    0,
    IF(C56=C55,
        G55 + D56 - E56,
        IF(COUNTIF($C$2:C56, C56) = 1, D56, LOOKUP(2, 1/(C$1:C55=C56), G$1:G55) + D56 - E56)
    )
)</f>
        <v>120.49583333333334</v>
      </c>
      <c r="H56" s="63">
        <f>IF(B56&lt;INDEX(Assumptions!$C$3:$C$7, MATCH(C56, {"Virginia","Florida","Texas","New York","California"}, 0)),
    0,
    (G56 / INDEX(Assumptions!$C$15:$C$19, MATCH(C56, {"Virginia","Florida","Texas","New York","California"}, 0)))
)</f>
        <v>1.3388425925925926E-3</v>
      </c>
      <c r="I56" s="43">
        <f>G56*'Unit Economics'!$B$19* INDEX(Assumptions!$C$38:$C$42, MATCH(C56, {"Virginia","Florida","Texas","New York","California"}, 0))</f>
        <v>31914.285425000002</v>
      </c>
      <c r="J56" s="43">
        <f>D56*Assumptions!$C$21*INDEX(Assumptions!$C$38:$C$42,MATCH(C56,{"Virginia","Florida","Texas","New York","California"},0))</f>
        <v>5912.4450000000006</v>
      </c>
      <c r="K56" s="43">
        <f>G56/Assumptions!$C$22*('Unit Economics'!$F$24+'Unit Economics'!$F$25+'Unit Economics'!$F$26)</f>
        <v>5745.7020526960787</v>
      </c>
      <c r="L56" s="43">
        <f>D56*Assumptions!$C$29</f>
        <v>3885</v>
      </c>
      <c r="M56" s="35">
        <f>G56*Assumptions!$C$27</f>
        <v>0</v>
      </c>
      <c r="N56" s="35">
        <f>G56*Assumptions!$C$28</f>
        <v>0</v>
      </c>
      <c r="O56" s="64">
        <f>IF( COUNTIF($B$2:B56, B56) = 1, MIN( Assumptions!$C$34 + INT(SUMIF($B$2:$B56, B56, G$2:G56) / 1000) * Assumptions!$C$37, Assumptions!$C$36 ), 0 )</f>
        <v>0</v>
      </c>
      <c r="P56" s="53">
        <f t="shared" si="1"/>
        <v>39687.432477696078</v>
      </c>
      <c r="Q56" s="52">
        <f t="shared" si="2"/>
        <v>8662914.4844306372</v>
      </c>
    </row>
    <row r="57" spans="1:17">
      <c r="A57" s="2">
        <f t="shared" si="0"/>
        <v>3</v>
      </c>
      <c r="B57" s="2">
        <v>26</v>
      </c>
      <c r="C57" s="2" t="s">
        <v>90</v>
      </c>
      <c r="D57" s="62">
        <f>IF(
    B57 &lt; INDEX(Assumptions!$C$3:$C$7, MATCH(C57, {"Virginia","Florida","Texas","New York","California"}, 0)),
    0,
    IF(
        B57 = INDEX(Assumptions!$C$3:$C$7, MATCH(C57, {"Virginia","Florida","Texas","New York","California"}, 0)),
        IF(C57 = "Virginia", Assumptions!$C$13, Assumptions!$C$14),
        ROUND(
            (INDEX(Assumptions!$C$15:$C$19, MATCH(C57, {"Virginia","Florida","Texas","New York","California"}, 0)) * Assumptions!$C$9 -
            SUMIF(C$2:C56, C57, D$2:D57)) /
            (1 + EXP(-0.2 * (B57 - INDEX(Assumptions!$C$3:$C$7, MATCH(C57, {"Virginia","Florida","Texas","New York","California"}, 0)) - 30))),
            0
        )
    )
)</f>
        <v>155</v>
      </c>
      <c r="E57" s="62">
        <f>IF(B57&lt;INDEX(Assumptions!$C$3:$C$7, MATCH(C57, {"Virginia","Florida","Texas","New York","California"}, 0)),
    0,
    IF(F57=0,
        0,
        F57 * Assumptions!$C$12
    )
)</f>
        <v>3.9750000000000001</v>
      </c>
      <c r="F57" s="62" cm="1">
        <f t="array" ref="F57">IF(B57&lt;INDEX(Assumptions!$C$3:$C$7, MATCH(C57, {"Virginia","Florida","Texas","New York","California"}, 0)),
    0,
    IF(C57=C56,
        F56 + D57,
        IF(COUNTIF($C$2:C57, C57) = 1, D57, LOOKUP(2, 1/(C$1:C56=C57), F$1:F56) + D57)
    )
)</f>
        <v>954</v>
      </c>
      <c r="G57" s="62" cm="1">
        <f t="array" ref="G57">IF(B57&lt;INDEX(Assumptions!$C$3:$C$7, MATCH(C57, {"Virginia","Florida","Texas","New York","California"}, 0)),
    0,
    IF(C57=C56,
        G56 + D57 - E57,
        IF(COUNTIF($C$2:C57, C57) = 1, D57, LOOKUP(2, 1/(C$1:C56=C57), G$1:G56) + D57 - E57)
    )
)</f>
        <v>932.05416666666667</v>
      </c>
      <c r="H57" s="63">
        <f>IF(B57&lt;INDEX(Assumptions!$C$3:$C$7, MATCH(C57, {"Virginia","Florida","Texas","New York","California"}, 0)),
    0,
    (G57 / INDEX(Assumptions!$C$15:$C$19, MATCH(C57, {"Virginia","Florida","Texas","New York","California"}, 0)))
)</f>
        <v>1.3315059523809524E-2</v>
      </c>
      <c r="I57" s="43">
        <f>G57*'Unit Economics'!$B$19* INDEX(Assumptions!$C$38:$C$42, MATCH(C57, {"Virginia","Florida","Texas","New York","California"}, 0))</f>
        <v>235641.0023625</v>
      </c>
      <c r="J57" s="43">
        <f>D57*Assumptions!$C$21*INDEX(Assumptions!$C$38:$C$42,MATCH(C57,{"Virginia","Florida","Texas","New York","California"},0))</f>
        <v>41655.862500000003</v>
      </c>
      <c r="K57" s="43">
        <f>G57/Assumptions!$C$22*('Unit Economics'!$F$24+'Unit Economics'!$F$25+'Unit Economics'!$F$26)</f>
        <v>44443.90640318628</v>
      </c>
      <c r="L57" s="43">
        <f>D57*Assumptions!$C$29</f>
        <v>28675</v>
      </c>
      <c r="M57" s="35">
        <f>G57*Assumptions!$C$27</f>
        <v>0</v>
      </c>
      <c r="N57" s="35">
        <f>G57*Assumptions!$C$28</f>
        <v>0</v>
      </c>
      <c r="O57" s="64">
        <f>IF( COUNTIF($B$2:B57, B57) = 1, MIN( Assumptions!$C$34 + INT(SUMIF($B$2:$B57, B57, G$2:G57) / 1000) * Assumptions!$C$37, Assumptions!$C$36 ), 0 )</f>
        <v>0</v>
      </c>
      <c r="P57" s="53">
        <f t="shared" si="1"/>
        <v>293065.77126568626</v>
      </c>
      <c r="Q57" s="52">
        <f t="shared" si="2"/>
        <v>8955980.2556963228</v>
      </c>
    </row>
    <row r="58" spans="1:17">
      <c r="A58" s="2">
        <f t="shared" si="0"/>
        <v>3</v>
      </c>
      <c r="B58" s="2">
        <v>26</v>
      </c>
      <c r="C58" s="2" t="s">
        <v>91</v>
      </c>
      <c r="D58" s="62">
        <f>IF(
    B58 &lt; INDEX(Assumptions!$C$3:$C$7, MATCH(C58, {"Virginia","Florida","Texas","New York","California"}, 0)),
    0,
    IF(
        B58 = INDEX(Assumptions!$C$3:$C$7, MATCH(C58, {"Virginia","Florida","Texas","New York","California"}, 0)),
        IF(C58 = "Virginia", Assumptions!$C$13, Assumptions!$C$14),
        ROUND(
            (INDEX(Assumptions!$C$15:$C$19, MATCH(C58, {"Virginia","Florida","Texas","New York","California"}, 0)) * Assumptions!$C$9 -
            SUMIF(C$2:C57, C58, D$2:D58)) /
            (1 + EXP(-0.2 * (B58 - INDEX(Assumptions!$C$3:$C$7, MATCH(C58, {"Virginia","Florida","Texas","New York","California"}, 0)) - 30))),
            0
        )
    )
)</f>
        <v>178</v>
      </c>
      <c r="E58" s="62">
        <f>IF(B58&lt;INDEX(Assumptions!$C$3:$C$7, MATCH(C58, {"Virginia","Florida","Texas","New York","California"}, 0)),
    0,
    IF(F58=0,
        0,
        F58 * Assumptions!$C$12
    )
)</f>
        <v>4.4874999999999998</v>
      </c>
      <c r="F58" s="62" cm="1">
        <f t="array" ref="F58">IF(B58&lt;INDEX(Assumptions!$C$3:$C$7, MATCH(C58, {"Virginia","Florida","Texas","New York","California"}, 0)),
    0,
    IF(C58=C57,
        F57 + D58,
        IF(COUNTIF($C$2:C58, C58) = 1, D58, LOOKUP(2, 1/(C$1:C57=C58), F$1:F57) + D58)
    )
)</f>
        <v>1077</v>
      </c>
      <c r="G58" s="62" cm="1">
        <f t="array" ref="G58">IF(B58&lt;INDEX(Assumptions!$C$3:$C$7, MATCH(C58, {"Virginia","Florida","Texas","New York","California"}, 0)),
    0,
    IF(C58=C57,
        G57 + D58 - E58,
        IF(COUNTIF($C$2:C58, C58) = 1, D58, LOOKUP(2, 1/(C$1:C57=C58), G$1:G57) + D58 - E58)
    )
)</f>
        <v>1052.7291666666667</v>
      </c>
      <c r="H58" s="63">
        <f>IF(B58&lt;INDEX(Assumptions!$C$3:$C$7, MATCH(C58, {"Virginia","Florida","Texas","New York","California"}, 0)),
    0,
    (G58 / INDEX(Assumptions!$C$15:$C$19, MATCH(C58, {"Virginia","Florida","Texas","New York","California"}, 0)))
)</f>
        <v>1.3159114583333334E-2</v>
      </c>
      <c r="I58" s="43">
        <f>G58*'Unit Economics'!$B$19* INDEX(Assumptions!$C$38:$C$42, MATCH(C58, {"Virginia","Florida","Texas","New York","California"}, 0))</f>
        <v>261080.41261250005</v>
      </c>
      <c r="J58" s="43">
        <f>D58*Assumptions!$C$21*INDEX(Assumptions!$C$38:$C$42,MATCH(C58,{"Virginia","Florida","Texas","New York","California"},0))</f>
        <v>46925.873</v>
      </c>
      <c r="K58" s="43">
        <f>G58/Assumptions!$C$22*('Unit Economics'!$F$24+'Unit Economics'!$F$25+'Unit Economics'!$F$26)</f>
        <v>50198.151807598049</v>
      </c>
      <c r="L58" s="43">
        <f>D58*Assumptions!$C$29</f>
        <v>32930</v>
      </c>
      <c r="M58" s="35">
        <f>G58*Assumptions!$C$27</f>
        <v>0</v>
      </c>
      <c r="N58" s="35">
        <f>G58*Assumptions!$C$28</f>
        <v>0</v>
      </c>
      <c r="O58" s="64">
        <f>IF( COUNTIF($B$2:B58, B58) = 1, MIN( Assumptions!$C$34 + INT(SUMIF($B$2:$B58, B58, G$2:G58) / 1000) * Assumptions!$C$37, Assumptions!$C$36 ), 0 )</f>
        <v>0</v>
      </c>
      <c r="P58" s="53">
        <f t="shared" si="1"/>
        <v>325274.43742009811</v>
      </c>
      <c r="Q58" s="52">
        <f t="shared" si="2"/>
        <v>9281254.6931164209</v>
      </c>
    </row>
    <row r="59" spans="1:17">
      <c r="A59" s="2">
        <f t="shared" si="0"/>
        <v>3</v>
      </c>
      <c r="B59" s="2">
        <v>26</v>
      </c>
      <c r="C59" s="2" t="s">
        <v>89</v>
      </c>
      <c r="D59" s="62">
        <f>IF(
    B59 &lt; INDEX(Assumptions!$C$3:$C$7, MATCH(C59, {"Virginia","Florida","Texas","New York","California"}, 0)),
    0,
    IF(
        B59 = INDEX(Assumptions!$C$3:$C$7, MATCH(C59, {"Virginia","Florida","Texas","New York","California"}, 0)),
        IF(C59 = "Virginia", Assumptions!$C$13, Assumptions!$C$14),
        ROUND(
            (INDEX(Assumptions!$C$15:$C$19, MATCH(C59, {"Virginia","Florida","Texas","New York","California"}, 0)) * Assumptions!$C$9 -
            SUMIF(C$2:C58, C59, D$2:D59)) /
            (1 + EXP(-0.2 * (B59 - INDEX(Assumptions!$C$3:$C$7, MATCH(C59, {"Virginia","Florida","Texas","New York","California"}, 0)) - 30))),
            0
        )
    )
)</f>
        <v>231</v>
      </c>
      <c r="E59" s="62">
        <f>IF(B59&lt;INDEX(Assumptions!$C$3:$C$7, MATCH(C59, {"Virginia","Florida","Texas","New York","California"}, 0)),
    0,
    IF(F59=0,
        0,
        F59 * Assumptions!$C$12
    )
)</f>
        <v>14.054166666666667</v>
      </c>
      <c r="F59" s="62" cm="1">
        <f t="array" ref="F59">IF(B59&lt;INDEX(Assumptions!$C$3:$C$7, MATCH(C59, {"Virginia","Florida","Texas","New York","California"}, 0)),
    0,
    IF(C59=C58,
        F58 + D59,
        IF(COUNTIF($C$2:C59, C59) = 1, D59, LOOKUP(2, 1/(C$1:C58=C59), F$1:F58) + D59)
    )
)</f>
        <v>3373</v>
      </c>
      <c r="G59" s="62" cm="1">
        <f t="array" ref="G59">IF(B59&lt;INDEX(Assumptions!$C$3:$C$7, MATCH(C59, {"Virginia","Florida","Texas","New York","California"}, 0)),
    0,
    IF(C59=C58,
        G58 + D59 - E59,
        IF(COUNTIF($C$2:C59, C59) = 1, D59, LOOKUP(2, 1/(C$1:C58=C59), G$1:G58) + D59 - E59)
    )
)</f>
        <v>3258.9041666666667</v>
      </c>
      <c r="H59" s="63">
        <f>IF(B59&lt;INDEX(Assumptions!$C$3:$C$7, MATCH(C59, {"Virginia","Florida","Texas","New York","California"}, 0)),
    0,
    (G59 / INDEX(Assumptions!$C$15:$C$19, MATCH(C59, {"Virginia","Florida","Texas","New York","California"}, 0)))
)</f>
        <v>6.5178083333333331E-2</v>
      </c>
      <c r="I59" s="43">
        <f>G59*'Unit Economics'!$B$19* INDEX(Assumptions!$C$38:$C$42, MATCH(C59, {"Virginia","Florida","Texas","New York","California"}, 0))</f>
        <v>784678.94524999999</v>
      </c>
      <c r="J59" s="43">
        <f>D59*Assumptions!$C$21*INDEX(Assumptions!$C$38:$C$42,MATCH(C59,{"Virginia","Florida","Texas","New York","California"},0))</f>
        <v>59124.45</v>
      </c>
      <c r="K59" s="43">
        <f>G59/Assumptions!$C$22*('Unit Economics'!$F$24+'Unit Economics'!$F$25+'Unit Economics'!$F$26)</f>
        <v>155397.01118259804</v>
      </c>
      <c r="L59" s="43">
        <f>D59*Assumptions!$C$29</f>
        <v>42735</v>
      </c>
      <c r="M59" s="35">
        <f>G59*Assumptions!$C$27</f>
        <v>0</v>
      </c>
      <c r="N59" s="35">
        <f>G59*Assumptions!$C$28</f>
        <v>0</v>
      </c>
      <c r="O59" s="64">
        <f>IF( COUNTIF($B$2:B59, B59) = 1, MIN( Assumptions!$C$34 + INT(SUMIF($B$2:$B59, B59, G$2:G59) / 1000) * Assumptions!$C$37, Assumptions!$C$36 ), 0 )</f>
        <v>0</v>
      </c>
      <c r="P59" s="53">
        <f t="shared" si="1"/>
        <v>956465.40643259801</v>
      </c>
      <c r="Q59" s="52">
        <f t="shared" si="2"/>
        <v>10237720.09954902</v>
      </c>
    </row>
    <row r="60" spans="1:17">
      <c r="A60" s="2">
        <f t="shared" si="0"/>
        <v>3</v>
      </c>
      <c r="B60" s="2">
        <v>27</v>
      </c>
      <c r="C60" s="2" t="s">
        <v>92</v>
      </c>
      <c r="D60" s="62">
        <f>IF(
    B60 &lt; INDEX(Assumptions!$C$3:$C$7, MATCH(C60, {"Virginia","Florida","Texas","New York","California"}, 0)),
    0,
    IF(
        B60 = INDEX(Assumptions!$C$3:$C$7, MATCH(C60, {"Virginia","Florida","Texas","New York","California"}, 0)),
        IF(C60 = "Virginia", Assumptions!$C$13, Assumptions!$C$14),
        ROUND(
            (INDEX(Assumptions!$C$15:$C$19, MATCH(C60, {"Virginia","Florida","Texas","New York","California"}, 0)) * Assumptions!$C$9 -
            SUMIF(C$2:C59, C60, D$2:D60)) /
            (1 + EXP(-0.2 * (B60 - INDEX(Assumptions!$C$3:$C$7, MATCH(C60, {"Virginia","Florida","Texas","New York","California"}, 0)) - 30))),
            0
        )
    )
)</f>
        <v>17</v>
      </c>
      <c r="E60" s="62">
        <f>IF(B60&lt;INDEX(Assumptions!$C$3:$C$7, MATCH(C60, {"Virginia","Florida","Texas","New York","California"}, 0)),
    0,
    IF(F60=0,
        0,
        F60 * Assumptions!$C$12
    )
)</f>
        <v>0.54583333333333328</v>
      </c>
      <c r="F60" s="62" cm="1">
        <f t="array" ref="F60">IF(B60&lt;INDEX(Assumptions!$C$3:$C$7, MATCH(C60, {"Virginia","Florida","Texas","New York","California"}, 0)),
    0,
    IF(C60=C59,
        F59 + D60,
        IF(COUNTIF($C$2:C60, C60) = 1, D60, LOOKUP(2, 1/(C$1:C59=C60), F$1:F59) + D60)
    )
)</f>
        <v>131</v>
      </c>
      <c r="G60" s="62" cm="1">
        <f t="array" ref="G60">IF(B60&lt;INDEX(Assumptions!$C$3:$C$7, MATCH(C60, {"Virginia","Florida","Texas","New York","California"}, 0)),
    0,
    IF(C60=C59,
        G59 + D60 - E60,
        IF(COUNTIF($C$2:C60, C60) = 1, D60, LOOKUP(2, 1/(C$1:C59=C60), G$1:G59) + D60 - E60)
    )
)</f>
        <v>129.97916666666669</v>
      </c>
      <c r="H60" s="63">
        <f>IF(B60&lt;INDEX(Assumptions!$C$3:$C$7, MATCH(C60, {"Virginia","Florida","Texas","New York","California"}, 0)),
    0,
    (G60 / INDEX(Assumptions!$C$15:$C$19, MATCH(C60, {"Virginia","Florida","Texas","New York","California"}, 0)))
)</f>
        <v>2.1663194444444447E-3</v>
      </c>
      <c r="I60" s="43">
        <f>G60*'Unit Economics'!$B$19* INDEX(Assumptions!$C$38:$C$42, MATCH(C60, {"Virginia","Florida","Texas","New York","California"}, 0))</f>
        <v>33800.094450000004</v>
      </c>
      <c r="J60" s="43">
        <f>D60*Assumptions!$C$21*INDEX(Assumptions!$C$38:$C$42,MATCH(C60,{"Virginia","Florida","Texas","New York","California"},0))</f>
        <v>4699.2420000000002</v>
      </c>
      <c r="K60" s="43">
        <f>G60/Assumptions!$C$22*('Unit Economics'!$F$24+'Unit Economics'!$F$25+'Unit Economics'!$F$26)</f>
        <v>6197.9036458333348</v>
      </c>
      <c r="L60" s="43">
        <f>D60*Assumptions!$C$29</f>
        <v>3145</v>
      </c>
      <c r="M60" s="35">
        <f>G60*Assumptions!$C$27</f>
        <v>0</v>
      </c>
      <c r="N60" s="35">
        <f>G60*Assumptions!$C$28</f>
        <v>0</v>
      </c>
      <c r="O60" s="64">
        <f>IF( COUNTIF($B$2:B60, B60) = 1, MIN( Assumptions!$C$34 + INT(SUMIF($B$2:$B60, B60, G$2:G60) / 1000) * Assumptions!$C$37, Assumptions!$C$36 ), 0 )</f>
        <v>60000</v>
      </c>
      <c r="P60" s="53">
        <f t="shared" si="1"/>
        <v>-18447.759904166662</v>
      </c>
      <c r="Q60" s="52">
        <f t="shared" si="2"/>
        <v>10219272.339644853</v>
      </c>
    </row>
    <row r="61" spans="1:17">
      <c r="A61" s="2">
        <f t="shared" si="0"/>
        <v>3</v>
      </c>
      <c r="B61" s="2">
        <v>27</v>
      </c>
      <c r="C61" s="2" t="s">
        <v>93</v>
      </c>
      <c r="D61" s="62">
        <f>IF(
    B61 &lt; INDEX(Assumptions!$C$3:$C$7, MATCH(C61, {"Virginia","Florida","Texas","New York","California"}, 0)),
    0,
    IF(
        B61 = INDEX(Assumptions!$C$3:$C$7, MATCH(C61, {"Virginia","Florida","Texas","New York","California"}, 0)),
        IF(C61 = "Virginia", Assumptions!$C$13, Assumptions!$C$14),
        ROUND(
            (INDEX(Assumptions!$C$15:$C$19, MATCH(C61, {"Virginia","Florida","Texas","New York","California"}, 0)) * Assumptions!$C$9 -
            SUMIF(C$2:C60, C61, D$2:D61)) /
            (1 + EXP(-0.2 * (B61 - INDEX(Assumptions!$C$3:$C$7, MATCH(C61, {"Virginia","Florida","Texas","New York","California"}, 0)) - 30))),
            0
        )
    )
)</f>
        <v>26</v>
      </c>
      <c r="E61" s="62">
        <f>IF(B61&lt;INDEX(Assumptions!$C$3:$C$7, MATCH(C61, {"Virginia","Florida","Texas","New York","California"}, 0)),
    0,
    IF(F61=0,
        0,
        F61 * Assumptions!$C$12
    )
)</f>
        <v>0.61250000000000004</v>
      </c>
      <c r="F61" s="62" cm="1">
        <f t="array" ref="F61">IF(B61&lt;INDEX(Assumptions!$C$3:$C$7, MATCH(C61, {"Virginia","Florida","Texas","New York","California"}, 0)),
    0,
    IF(C61=C60,
        F60 + D61,
        IF(COUNTIF($C$2:C61, C61) = 1, D61, LOOKUP(2, 1/(C$1:C60=C61), F$1:F60) + D61)
    )
)</f>
        <v>147</v>
      </c>
      <c r="G61" s="62" cm="1">
        <f t="array" ref="G61">IF(B61&lt;INDEX(Assumptions!$C$3:$C$7, MATCH(C61, {"Virginia","Florida","Texas","New York","California"}, 0)),
    0,
    IF(C61=C60,
        G60 + D61 - E61,
        IF(COUNTIF($C$2:C61, C61) = 1, D61, LOOKUP(2, 1/(C$1:C60=C61), G$1:G60) + D61 - E61)
    )
)</f>
        <v>145.88333333333333</v>
      </c>
      <c r="H61" s="63">
        <f>IF(B61&lt;INDEX(Assumptions!$C$3:$C$7, MATCH(C61, {"Virginia","Florida","Texas","New York","California"}, 0)),
    0,
    (G61 / INDEX(Assumptions!$C$15:$C$19, MATCH(C61, {"Virginia","Florida","Texas","New York","California"}, 0)))
)</f>
        <v>1.6209259259259258E-3</v>
      </c>
      <c r="I61" s="43">
        <f>G61*'Unit Economics'!$B$19* INDEX(Assumptions!$C$38:$C$42, MATCH(C61, {"Virginia","Florida","Texas","New York","California"}, 0))</f>
        <v>38638.367899999997</v>
      </c>
      <c r="J61" s="43">
        <f>D61*Assumptions!$C$21*INDEX(Assumptions!$C$38:$C$42,MATCH(C61,{"Virginia","Florida","Texas","New York","California"},0))</f>
        <v>7320.17</v>
      </c>
      <c r="K61" s="43">
        <f>G61/Assumptions!$C$22*('Unit Economics'!$F$24+'Unit Economics'!$F$25+'Unit Economics'!$F$26)</f>
        <v>6956.2751225490201</v>
      </c>
      <c r="L61" s="43">
        <f>D61*Assumptions!$C$29</f>
        <v>4810</v>
      </c>
      <c r="M61" s="35">
        <f>G61*Assumptions!$C$27</f>
        <v>0</v>
      </c>
      <c r="N61" s="35">
        <f>G61*Assumptions!$C$28</f>
        <v>0</v>
      </c>
      <c r="O61" s="64">
        <f>IF( COUNTIF($B$2:B61, B61) = 1, MIN( Assumptions!$C$34 + INT(SUMIF($B$2:$B61, B61, G$2:G61) / 1000) * Assumptions!$C$37, Assumptions!$C$36 ), 0 )</f>
        <v>0</v>
      </c>
      <c r="P61" s="53">
        <f t="shared" si="1"/>
        <v>48104.813022549017</v>
      </c>
      <c r="Q61" s="52">
        <f t="shared" si="2"/>
        <v>10267377.152667401</v>
      </c>
    </row>
    <row r="62" spans="1:17">
      <c r="A62" s="2">
        <f t="shared" si="0"/>
        <v>3</v>
      </c>
      <c r="B62" s="2">
        <v>27</v>
      </c>
      <c r="C62" s="2" t="s">
        <v>90</v>
      </c>
      <c r="D62" s="62">
        <f>IF(
    B62 &lt; INDEX(Assumptions!$C$3:$C$7, MATCH(C62, {"Virginia","Florida","Texas","New York","California"}, 0)),
    0,
    IF(
        B62 = INDEX(Assumptions!$C$3:$C$7, MATCH(C62, {"Virginia","Florida","Texas","New York","California"}, 0)),
        IF(C62 = "Virginia", Assumptions!$C$13, Assumptions!$C$14),
        ROUND(
            (INDEX(Assumptions!$C$15:$C$19, MATCH(C62, {"Virginia","Florida","Texas","New York","California"}, 0)) * Assumptions!$C$9 -
            SUMIF(C$2:C61, C62, D$2:D62)) /
            (1 + EXP(-0.2 * (B62 - INDEX(Assumptions!$C$3:$C$7, MATCH(C62, {"Virginia","Florida","Texas","New York","California"}, 0)) - 30))),
            0
        )
    )
)</f>
        <v>182</v>
      </c>
      <c r="E62" s="62">
        <f>IF(B62&lt;INDEX(Assumptions!$C$3:$C$7, MATCH(C62, {"Virginia","Florida","Texas","New York","California"}, 0)),
    0,
    IF(F62=0,
        0,
        F62 * Assumptions!$C$12
    )
)</f>
        <v>4.7333333333333334</v>
      </c>
      <c r="F62" s="62" cm="1">
        <f t="array" ref="F62">IF(B62&lt;INDEX(Assumptions!$C$3:$C$7, MATCH(C62, {"Virginia","Florida","Texas","New York","California"}, 0)),
    0,
    IF(C62=C61,
        F61 + D62,
        IF(COUNTIF($C$2:C62, C62) = 1, D62, LOOKUP(2, 1/(C$1:C61=C62), F$1:F61) + D62)
    )
)</f>
        <v>1136</v>
      </c>
      <c r="G62" s="62" cm="1">
        <f t="array" ref="G62">IF(B62&lt;INDEX(Assumptions!$C$3:$C$7, MATCH(C62, {"Virginia","Florida","Texas","New York","California"}, 0)),
    0,
    IF(C62=C61,
        G61 + D62 - E62,
        IF(COUNTIF($C$2:C62, C62) = 1, D62, LOOKUP(2, 1/(C$1:C61=C62), G$1:G61) + D62 - E62)
    )
)</f>
        <v>1109.3208333333334</v>
      </c>
      <c r="H62" s="63">
        <f>IF(B62&lt;INDEX(Assumptions!$C$3:$C$7, MATCH(C62, {"Virginia","Florida","Texas","New York","California"}, 0)),
    0,
    (G62 / INDEX(Assumptions!$C$15:$C$19, MATCH(C62, {"Virginia","Florida","Texas","New York","California"}, 0)))
)</f>
        <v>1.5847440476190477E-2</v>
      </c>
      <c r="I62" s="43">
        <f>G62*'Unit Economics'!$B$19* INDEX(Assumptions!$C$38:$C$42, MATCH(C62, {"Virginia","Florida","Texas","New York","California"}, 0))</f>
        <v>280457.38376250002</v>
      </c>
      <c r="J62" s="43">
        <f>D62*Assumptions!$C$21*INDEX(Assumptions!$C$38:$C$42,MATCH(C62,{"Virginia","Florida","Texas","New York","California"},0))</f>
        <v>48912.045000000006</v>
      </c>
      <c r="K62" s="43">
        <f>G62/Assumptions!$C$22*('Unit Economics'!$F$24+'Unit Economics'!$F$25+'Unit Economics'!$F$26)</f>
        <v>52896.658854166679</v>
      </c>
      <c r="L62" s="43">
        <f>D62*Assumptions!$C$29</f>
        <v>33670</v>
      </c>
      <c r="M62" s="35">
        <f>G62*Assumptions!$C$27</f>
        <v>0</v>
      </c>
      <c r="N62" s="35">
        <f>G62*Assumptions!$C$28</f>
        <v>0</v>
      </c>
      <c r="O62" s="64">
        <f>IF( COUNTIF($B$2:B62, B62) = 1, MIN( Assumptions!$C$34 + INT(SUMIF($B$2:$B62, B62, G$2:G62) / 1000) * Assumptions!$C$37, Assumptions!$C$36 ), 0 )</f>
        <v>0</v>
      </c>
      <c r="P62" s="53">
        <f t="shared" si="1"/>
        <v>348596.08761666669</v>
      </c>
      <c r="Q62" s="52">
        <f t="shared" si="2"/>
        <v>10615973.240284069</v>
      </c>
    </row>
    <row r="63" spans="1:17">
      <c r="A63" s="2">
        <f t="shared" si="0"/>
        <v>3</v>
      </c>
      <c r="B63" s="2">
        <v>27</v>
      </c>
      <c r="C63" s="2" t="s">
        <v>91</v>
      </c>
      <c r="D63" s="62">
        <f>IF(
    B63 &lt; INDEX(Assumptions!$C$3:$C$7, MATCH(C63, {"Virginia","Florida","Texas","New York","California"}, 0)),
    0,
    IF(
        B63 = INDEX(Assumptions!$C$3:$C$7, MATCH(C63, {"Virginia","Florida","Texas","New York","California"}, 0)),
        IF(C63 = "Virginia", Assumptions!$C$13, Assumptions!$C$14),
        ROUND(
            (INDEX(Assumptions!$C$15:$C$19, MATCH(C63, {"Virginia","Florida","Texas","New York","California"}, 0)) * Assumptions!$C$9 -
            SUMIF(C$2:C62, C63, D$2:D63)) /
            (1 + EXP(-0.2 * (B63 - INDEX(Assumptions!$C$3:$C$7, MATCH(C63, {"Virginia","Florida","Texas","New York","California"}, 0)) - 30))),
            0
        )
    )
)</f>
        <v>208</v>
      </c>
      <c r="E63" s="62">
        <f>IF(B63&lt;INDEX(Assumptions!$C$3:$C$7, MATCH(C63, {"Virginia","Florida","Texas","New York","California"}, 0)),
    0,
    IF(F63=0,
        0,
        F63 * Assumptions!$C$12
    )
)</f>
        <v>5.354166666666667</v>
      </c>
      <c r="F63" s="62" cm="1">
        <f t="array" ref="F63">IF(B63&lt;INDEX(Assumptions!$C$3:$C$7, MATCH(C63, {"Virginia","Florida","Texas","New York","California"}, 0)),
    0,
    IF(C63=C62,
        F62 + D63,
        IF(COUNTIF($C$2:C63, C63) = 1, D63, LOOKUP(2, 1/(C$1:C62=C63), F$1:F62) + D63)
    )
)</f>
        <v>1285</v>
      </c>
      <c r="G63" s="62" cm="1">
        <f t="array" ref="G63">IF(B63&lt;INDEX(Assumptions!$C$3:$C$7, MATCH(C63, {"Virginia","Florida","Texas","New York","California"}, 0)),
    0,
    IF(C63=C62,
        G62 + D63 - E63,
        IF(COUNTIF($C$2:C63, C63) = 1, D63, LOOKUP(2, 1/(C$1:C62=C63), G$1:G62) + D63 - E63)
    )
)</f>
        <v>1255.375</v>
      </c>
      <c r="H63" s="63">
        <f>IF(B63&lt;INDEX(Assumptions!$C$3:$C$7, MATCH(C63, {"Virginia","Florida","Texas","New York","California"}, 0)),
    0,
    (G63 / INDEX(Assumptions!$C$15:$C$19, MATCH(C63, {"Virginia","Florida","Texas","New York","California"}, 0)))
)</f>
        <v>1.56921875E-2</v>
      </c>
      <c r="I63" s="43">
        <f>G63*'Unit Economics'!$B$19* INDEX(Assumptions!$C$38:$C$42, MATCH(C63, {"Virginia","Florida","Texas","New York","California"}, 0))</f>
        <v>311337.26827500004</v>
      </c>
      <c r="J63" s="43">
        <f>D63*Assumptions!$C$21*INDEX(Assumptions!$C$38:$C$42,MATCH(C63,{"Virginia","Florida","Texas","New York","California"},0))</f>
        <v>54834.728000000003</v>
      </c>
      <c r="K63" s="43">
        <f>G63/Assumptions!$C$22*('Unit Economics'!$F$24+'Unit Economics'!$F$25+'Unit Economics'!$F$26)</f>
        <v>59861.079963235301</v>
      </c>
      <c r="L63" s="43">
        <f>D63*Assumptions!$C$29</f>
        <v>38480</v>
      </c>
      <c r="M63" s="35">
        <f>G63*Assumptions!$C$27</f>
        <v>0</v>
      </c>
      <c r="N63" s="35">
        <f>G63*Assumptions!$C$28</f>
        <v>0</v>
      </c>
      <c r="O63" s="64">
        <f>IF( COUNTIF($B$2:B63, B63) = 1, MIN( Assumptions!$C$34 + INT(SUMIF($B$2:$B63, B63, G$2:G63) / 1000) * Assumptions!$C$37, Assumptions!$C$36 ), 0 )</f>
        <v>0</v>
      </c>
      <c r="P63" s="53">
        <f t="shared" si="1"/>
        <v>387553.07623823534</v>
      </c>
      <c r="Q63" s="52">
        <f t="shared" si="2"/>
        <v>11003526.316522304</v>
      </c>
    </row>
    <row r="64" spans="1:17">
      <c r="A64" s="2">
        <f t="shared" si="0"/>
        <v>3</v>
      </c>
      <c r="B64" s="2">
        <v>27</v>
      </c>
      <c r="C64" s="2" t="s">
        <v>89</v>
      </c>
      <c r="D64" s="62">
        <f>IF(
    B64 &lt; INDEX(Assumptions!$C$3:$C$7, MATCH(C64, {"Virginia","Florida","Texas","New York","California"}, 0)),
    0,
    IF(
        B64 = INDEX(Assumptions!$C$3:$C$7, MATCH(C64, {"Virginia","Florida","Texas","New York","California"}, 0)),
        IF(C64 = "Virginia", Assumptions!$C$13, Assumptions!$C$14),
        ROUND(
            (INDEX(Assumptions!$C$15:$C$19, MATCH(C64, {"Virginia","Florida","Texas","New York","California"}, 0)) * Assumptions!$C$9 -
            SUMIF(C$2:C63, C64, D$2:D64)) /
            (1 + EXP(-0.2 * (B64 - INDEX(Assumptions!$C$3:$C$7, MATCH(C64, {"Virginia","Florida","Texas","New York","California"}, 0)) - 30))),
            0
        )
    )
)</f>
        <v>194</v>
      </c>
      <c r="E64" s="62">
        <f>IF(B64&lt;INDEX(Assumptions!$C$3:$C$7, MATCH(C64, {"Virginia","Florida","Texas","New York","California"}, 0)),
    0,
    IF(F64=0,
        0,
        F64 * Assumptions!$C$12
    )
)</f>
        <v>14.862499999999999</v>
      </c>
      <c r="F64" s="62" cm="1">
        <f t="array" ref="F64">IF(B64&lt;INDEX(Assumptions!$C$3:$C$7, MATCH(C64, {"Virginia","Florida","Texas","New York","California"}, 0)),
    0,
    IF(C64=C63,
        F63 + D64,
        IF(COUNTIF($C$2:C64, C64) = 1, D64, LOOKUP(2, 1/(C$1:C63=C64), F$1:F63) + D64)
    )
)</f>
        <v>3567</v>
      </c>
      <c r="G64" s="62" cm="1">
        <f t="array" ref="G64">IF(B64&lt;INDEX(Assumptions!$C$3:$C$7, MATCH(C64, {"Virginia","Florida","Texas","New York","California"}, 0)),
    0,
    IF(C64=C63,
        G63 + D64 - E64,
        IF(COUNTIF($C$2:C64, C64) = 1, D64, LOOKUP(2, 1/(C$1:C63=C64), G$1:G63) + D64 - E64)
    )
)</f>
        <v>3438.0416666666665</v>
      </c>
      <c r="H64" s="63">
        <f>IF(B64&lt;INDEX(Assumptions!$C$3:$C$7, MATCH(C64, {"Virginia","Florida","Texas","New York","California"}, 0)),
    0,
    (G64 / INDEX(Assumptions!$C$15:$C$19, MATCH(C64, {"Virginia","Florida","Texas","New York","California"}, 0)))
)</f>
        <v>6.8760833333333327E-2</v>
      </c>
      <c r="I64" s="43">
        <f>G64*'Unit Economics'!$B$19* INDEX(Assumptions!$C$38:$C$42, MATCH(C64, {"Virginia","Florida","Texas","New York","California"}, 0))</f>
        <v>827811.67249999999</v>
      </c>
      <c r="J64" s="43">
        <f>D64*Assumptions!$C$21*INDEX(Assumptions!$C$38:$C$42,MATCH(C64,{"Virginia","Florida","Texas","New York","California"},0))</f>
        <v>49654.299999999996</v>
      </c>
      <c r="K64" s="43">
        <f>G64/Assumptions!$C$22*('Unit Economics'!$F$24+'Unit Economics'!$F$25+'Unit Economics'!$F$26)</f>
        <v>163938.97212009804</v>
      </c>
      <c r="L64" s="43">
        <f>D64*Assumptions!$C$29</f>
        <v>35890</v>
      </c>
      <c r="M64" s="35">
        <f>G64*Assumptions!$C$27</f>
        <v>0</v>
      </c>
      <c r="N64" s="35">
        <f>G64*Assumptions!$C$28</f>
        <v>0</v>
      </c>
      <c r="O64" s="64">
        <f>IF( COUNTIF($B$2:B64, B64) = 1, MIN( Assumptions!$C$34 + INT(SUMIF($B$2:$B64, B64, G$2:G64) / 1000) * Assumptions!$C$37, Assumptions!$C$36 ), 0 )</f>
        <v>0</v>
      </c>
      <c r="P64" s="53">
        <f t="shared" si="1"/>
        <v>1005514.9446200981</v>
      </c>
      <c r="Q64" s="52">
        <f t="shared" si="2"/>
        <v>12009041.261142403</v>
      </c>
    </row>
    <row r="65" spans="1:17">
      <c r="A65" s="2">
        <f t="shared" si="0"/>
        <v>3</v>
      </c>
      <c r="B65" s="2">
        <v>28</v>
      </c>
      <c r="C65" s="2" t="s">
        <v>92</v>
      </c>
      <c r="D65" s="62">
        <f>IF(
    B65 &lt; INDEX(Assumptions!$C$3:$C$7, MATCH(C65, {"Virginia","Florida","Texas","New York","California"}, 0)),
    0,
    IF(
        B65 = INDEX(Assumptions!$C$3:$C$7, MATCH(C65, {"Virginia","Florida","Texas","New York","California"}, 0)),
        IF(C65 = "Virginia", Assumptions!$C$13, Assumptions!$C$14),
        ROUND(
            (INDEX(Assumptions!$C$15:$C$19, MATCH(C65, {"Virginia","Florida","Texas","New York","California"}, 0)) * Assumptions!$C$9 -
            SUMIF(C$2:C64, C65, D$2:D65)) /
            (1 + EXP(-0.2 * (B65 - INDEX(Assumptions!$C$3:$C$7, MATCH(C65, {"Virginia","Florida","Texas","New York","California"}, 0)) - 30))),
            0
        )
    )
)</f>
        <v>21</v>
      </c>
      <c r="E65" s="62">
        <f>IF(B65&lt;INDEX(Assumptions!$C$3:$C$7, MATCH(C65, {"Virginia","Florida","Texas","New York","California"}, 0)),
    0,
    IF(F65=0,
        0,
        F65 * Assumptions!$C$12
    )
)</f>
        <v>0.6333333333333333</v>
      </c>
      <c r="F65" s="62" cm="1">
        <f t="array" ref="F65">IF(B65&lt;INDEX(Assumptions!$C$3:$C$7, MATCH(C65, {"Virginia","Florida","Texas","New York","California"}, 0)),
    0,
    IF(C65=C64,
        F64 + D65,
        IF(COUNTIF($C$2:C65, C65) = 1, D65, LOOKUP(2, 1/(C$1:C64=C65), F$1:F64) + D65)
    )
)</f>
        <v>152</v>
      </c>
      <c r="G65" s="62" cm="1">
        <f t="array" ref="G65">IF(B65&lt;INDEX(Assumptions!$C$3:$C$7, MATCH(C65, {"Virginia","Florida","Texas","New York","California"}, 0)),
    0,
    IF(C65=C64,
        G64 + D65 - E65,
        IF(COUNTIF($C$2:C65, C65) = 1, D65, LOOKUP(2, 1/(C$1:C64=C65), G$1:G64) + D65 - E65)
    )
)</f>
        <v>150.34583333333336</v>
      </c>
      <c r="H65" s="63">
        <f>IF(B65&lt;INDEX(Assumptions!$C$3:$C$7, MATCH(C65, {"Virginia","Florida","Texas","New York","California"}, 0)),
    0,
    (G65 / INDEX(Assumptions!$C$15:$C$19, MATCH(C65, {"Virginia","Florida","Texas","New York","California"}, 0)))
)</f>
        <v>2.5057638888888894E-3</v>
      </c>
      <c r="I65" s="43">
        <f>G65*'Unit Economics'!$B$19* INDEX(Assumptions!$C$38:$C$42, MATCH(C65, {"Virginia","Florida","Texas","New York","California"}, 0))</f>
        <v>39096.291330000007</v>
      </c>
      <c r="J65" s="43">
        <f>D65*Assumptions!$C$21*INDEX(Assumptions!$C$38:$C$42,MATCH(C65,{"Virginia","Florida","Texas","New York","California"},0))</f>
        <v>5804.9459999999999</v>
      </c>
      <c r="K65" s="43">
        <f>G65/Assumptions!$C$22*('Unit Economics'!$F$24+'Unit Economics'!$F$25+'Unit Economics'!$F$26)</f>
        <v>7169.064185049021</v>
      </c>
      <c r="L65" s="43">
        <f>D65*Assumptions!$C$29</f>
        <v>3885</v>
      </c>
      <c r="M65" s="35">
        <f>G65*Assumptions!$C$27</f>
        <v>0</v>
      </c>
      <c r="N65" s="35">
        <f>G65*Assumptions!$C$28</f>
        <v>0</v>
      </c>
      <c r="O65" s="64">
        <f>IF( COUNTIF($B$2:B65, B65) = 1, MIN( Assumptions!$C$34 + INT(SUMIF($B$2:$B65, B65, G$2:G65) / 1000) * Assumptions!$C$37, Assumptions!$C$36 ), 0 )</f>
        <v>60000</v>
      </c>
      <c r="P65" s="53">
        <f t="shared" si="1"/>
        <v>-11814.698484950975</v>
      </c>
      <c r="Q65" s="52">
        <f t="shared" si="2"/>
        <v>11997226.562657451</v>
      </c>
    </row>
    <row r="66" spans="1:17">
      <c r="A66" s="2">
        <f t="shared" si="0"/>
        <v>3</v>
      </c>
      <c r="B66" s="2">
        <v>28</v>
      </c>
      <c r="C66" s="2" t="s">
        <v>93</v>
      </c>
      <c r="D66" s="62">
        <f>IF(
    B66 &lt; INDEX(Assumptions!$C$3:$C$7, MATCH(C66, {"Virginia","Florida","Texas","New York","California"}, 0)),
    0,
    IF(
        B66 = INDEX(Assumptions!$C$3:$C$7, MATCH(C66, {"Virginia","Florida","Texas","New York","California"}, 0)),
        IF(C66 = "Virginia", Assumptions!$C$13, Assumptions!$C$14),
        ROUND(
            (INDEX(Assumptions!$C$15:$C$19, MATCH(C66, {"Virginia","Florida","Texas","New York","California"}, 0)) * Assumptions!$C$9 -
            SUMIF(C$2:C65, C66, D$2:D66)) /
            (1 + EXP(-0.2 * (B66 - INDEX(Assumptions!$C$3:$C$7, MATCH(C66, {"Virginia","Florida","Texas","New York","California"}, 0)) - 30))),
            0
        )
    )
)</f>
        <v>32</v>
      </c>
      <c r="E66" s="62">
        <f>IF(B66&lt;INDEX(Assumptions!$C$3:$C$7, MATCH(C66, {"Virginia","Florida","Texas","New York","California"}, 0)),
    0,
    IF(F66=0,
        0,
        F66 * Assumptions!$C$12
    )
)</f>
        <v>0.74583333333333335</v>
      </c>
      <c r="F66" s="62" cm="1">
        <f t="array" ref="F66">IF(B66&lt;INDEX(Assumptions!$C$3:$C$7, MATCH(C66, {"Virginia","Florida","Texas","New York","California"}, 0)),
    0,
    IF(C66=C65,
        F65 + D66,
        IF(COUNTIF($C$2:C66, C66) = 1, D66, LOOKUP(2, 1/(C$1:C65=C66), F$1:F65) + D66)
    )
)</f>
        <v>179</v>
      </c>
      <c r="G66" s="62" cm="1">
        <f t="array" ref="G66">IF(B66&lt;INDEX(Assumptions!$C$3:$C$7, MATCH(C66, {"Virginia","Florida","Texas","New York","California"}, 0)),
    0,
    IF(C66=C65,
        G65 + D66 - E66,
        IF(COUNTIF($C$2:C66, C66) = 1, D66, LOOKUP(2, 1/(C$1:C65=C66), G$1:G65) + D66 - E66)
    )
)</f>
        <v>177.13749999999999</v>
      </c>
      <c r="H66" s="63">
        <f>IF(B66&lt;INDEX(Assumptions!$C$3:$C$7, MATCH(C66, {"Virginia","Florida","Texas","New York","California"}, 0)),
    0,
    (G66 / INDEX(Assumptions!$C$15:$C$19, MATCH(C66, {"Virginia","Florida","Texas","New York","California"}, 0)))
)</f>
        <v>1.9681944444444443E-3</v>
      </c>
      <c r="I66" s="43">
        <f>G66*'Unit Economics'!$B$19* INDEX(Assumptions!$C$38:$C$42, MATCH(C66, {"Virginia","Florida","Texas","New York","California"}, 0))</f>
        <v>46916.283975000006</v>
      </c>
      <c r="J66" s="43">
        <f>D66*Assumptions!$C$21*INDEX(Assumptions!$C$38:$C$42,MATCH(C66,{"Virginia","Florida","Texas","New York","California"},0))</f>
        <v>9009.44</v>
      </c>
      <c r="K66" s="43">
        <f>G66/Assumptions!$C$22*('Unit Economics'!$F$24+'Unit Economics'!$F$25+'Unit Economics'!$F$26)</f>
        <v>8446.5932904411766</v>
      </c>
      <c r="L66" s="43">
        <f>D66*Assumptions!$C$29</f>
        <v>5920</v>
      </c>
      <c r="M66" s="35">
        <f>G66*Assumptions!$C$27</f>
        <v>0</v>
      </c>
      <c r="N66" s="35">
        <f>G66*Assumptions!$C$28</f>
        <v>0</v>
      </c>
      <c r="O66" s="64">
        <f>IF( COUNTIF($B$2:B66, B66) = 1, MIN( Assumptions!$C$34 + INT(SUMIF($B$2:$B66, B66, G$2:G66) / 1000) * Assumptions!$C$37, Assumptions!$C$36 ), 0 )</f>
        <v>0</v>
      </c>
      <c r="P66" s="53">
        <f t="shared" si="1"/>
        <v>58452.317265441183</v>
      </c>
      <c r="Q66" s="52">
        <f t="shared" si="2"/>
        <v>12055678.879922893</v>
      </c>
    </row>
    <row r="67" spans="1:17">
      <c r="A67" s="2">
        <f t="shared" ref="A67:A130" si="3">+INT((B67-1)/12)+1</f>
        <v>3</v>
      </c>
      <c r="B67" s="2">
        <v>28</v>
      </c>
      <c r="C67" s="2" t="s">
        <v>90</v>
      </c>
      <c r="D67" s="62">
        <f>IF(
    B67 &lt; INDEX(Assumptions!$C$3:$C$7, MATCH(C67, {"Virginia","Florida","Texas","New York","California"}, 0)),
    0,
    IF(
        B67 = INDEX(Assumptions!$C$3:$C$7, MATCH(C67, {"Virginia","Florida","Texas","New York","California"}, 0)),
        IF(C67 = "Virginia", Assumptions!$C$13, Assumptions!$C$14),
        ROUND(
            (INDEX(Assumptions!$C$15:$C$19, MATCH(C67, {"Virginia","Florida","Texas","New York","California"}, 0)) * Assumptions!$C$9 -
            SUMIF(C$2:C66, C67, D$2:D67)) /
            (1 + EXP(-0.2 * (B67 - INDEX(Assumptions!$C$3:$C$7, MATCH(C67, {"Virginia","Florida","Texas","New York","California"}, 0)) - 30))),
            0
        )
    )
)</f>
        <v>212</v>
      </c>
      <c r="E67" s="62">
        <f>IF(B67&lt;INDEX(Assumptions!$C$3:$C$7, MATCH(C67, {"Virginia","Florida","Texas","New York","California"}, 0)),
    0,
    IF(F67=0,
        0,
        F67 * Assumptions!$C$12
    )
)</f>
        <v>5.6166666666666663</v>
      </c>
      <c r="F67" s="62" cm="1">
        <f t="array" ref="F67">IF(B67&lt;INDEX(Assumptions!$C$3:$C$7, MATCH(C67, {"Virginia","Florida","Texas","New York","California"}, 0)),
    0,
    IF(C67=C66,
        F66 + D67,
        IF(COUNTIF($C$2:C67, C67) = 1, D67, LOOKUP(2, 1/(C$1:C66=C67), F$1:F66) + D67)
    )
)</f>
        <v>1348</v>
      </c>
      <c r="G67" s="62" cm="1">
        <f t="array" ref="G67">IF(B67&lt;INDEX(Assumptions!$C$3:$C$7, MATCH(C67, {"Virginia","Florida","Texas","New York","California"}, 0)),
    0,
    IF(C67=C66,
        G66 + D67 - E67,
        IF(COUNTIF($C$2:C67, C67) = 1, D67, LOOKUP(2, 1/(C$1:C66=C67), G$1:G66) + D67 - E67)
    )
)</f>
        <v>1315.7041666666669</v>
      </c>
      <c r="H67" s="63">
        <f>IF(B67&lt;INDEX(Assumptions!$C$3:$C$7, MATCH(C67, {"Virginia","Florida","Texas","New York","California"}, 0)),
    0,
    (G67 / INDEX(Assumptions!$C$15:$C$19, MATCH(C67, {"Virginia","Florida","Texas","New York","California"}, 0)))
)</f>
        <v>1.8795773809523811E-2</v>
      </c>
      <c r="I67" s="43">
        <f>G67*'Unit Economics'!$B$19* INDEX(Assumptions!$C$38:$C$42, MATCH(C67, {"Virginia","Florida","Texas","New York","California"}, 0))</f>
        <v>332635.01171250007</v>
      </c>
      <c r="J67" s="43">
        <f>D67*Assumptions!$C$21*INDEX(Assumptions!$C$38:$C$42,MATCH(C67,{"Virginia","Florida","Texas","New York","California"},0))</f>
        <v>56974.469999999994</v>
      </c>
      <c r="K67" s="43">
        <f>G67/Assumptions!$C$22*('Unit Economics'!$F$24+'Unit Economics'!$F$25+'Unit Economics'!$F$26)</f>
        <v>62737.805300245112</v>
      </c>
      <c r="L67" s="43">
        <f>D67*Assumptions!$C$29</f>
        <v>39220</v>
      </c>
      <c r="M67" s="35">
        <f>G67*Assumptions!$C$27</f>
        <v>0</v>
      </c>
      <c r="N67" s="35">
        <f>G67*Assumptions!$C$28</f>
        <v>0</v>
      </c>
      <c r="O67" s="64">
        <f>IF( COUNTIF($B$2:B67, B67) = 1, MIN( Assumptions!$C$34 + INT(SUMIF($B$2:$B67, B67, G$2:G67) / 1000) * Assumptions!$C$37, Assumptions!$C$36 ), 0 )</f>
        <v>0</v>
      </c>
      <c r="P67" s="53">
        <f t="shared" ref="P67:P130" si="4">I67+J67+K67-L67-O67</f>
        <v>413127.28701274516</v>
      </c>
      <c r="Q67" s="52">
        <f t="shared" si="2"/>
        <v>12468806.166935638</v>
      </c>
    </row>
    <row r="68" spans="1:17">
      <c r="A68" s="2">
        <f t="shared" si="3"/>
        <v>3</v>
      </c>
      <c r="B68" s="2">
        <v>28</v>
      </c>
      <c r="C68" s="2" t="s">
        <v>91</v>
      </c>
      <c r="D68" s="62">
        <f>IF(
    B68 &lt; INDEX(Assumptions!$C$3:$C$7, MATCH(C68, {"Virginia","Florida","Texas","New York","California"}, 0)),
    0,
    IF(
        B68 = INDEX(Assumptions!$C$3:$C$7, MATCH(C68, {"Virginia","Florida","Texas","New York","California"}, 0)),
        IF(C68 = "Virginia", Assumptions!$C$13, Assumptions!$C$14),
        ROUND(
            (INDEX(Assumptions!$C$15:$C$19, MATCH(C68, {"Virginia","Florida","Texas","New York","California"}, 0)) * Assumptions!$C$9 -
            SUMIF(C$2:C67, C68, D$2:D68)) /
            (1 + EXP(-0.2 * (B68 - INDEX(Assumptions!$C$3:$C$7, MATCH(C68, {"Virginia","Florida","Texas","New York","California"}, 0)) - 30))),
            0
        )
    )
)</f>
        <v>243</v>
      </c>
      <c r="E68" s="62">
        <f>IF(B68&lt;INDEX(Assumptions!$C$3:$C$7, MATCH(C68, {"Virginia","Florida","Texas","New York","California"}, 0)),
    0,
    IF(F68=0,
        0,
        F68 * Assumptions!$C$12
    )
)</f>
        <v>6.3666666666666663</v>
      </c>
      <c r="F68" s="62" cm="1">
        <f t="array" ref="F68">IF(B68&lt;INDEX(Assumptions!$C$3:$C$7, MATCH(C68, {"Virginia","Florida","Texas","New York","California"}, 0)),
    0,
    IF(C68=C67,
        F67 + D68,
        IF(COUNTIF($C$2:C68, C68) = 1, D68, LOOKUP(2, 1/(C$1:C67=C68), F$1:F67) + D68)
    )
)</f>
        <v>1528</v>
      </c>
      <c r="G68" s="62" cm="1">
        <f t="array" ref="G68">IF(B68&lt;INDEX(Assumptions!$C$3:$C$7, MATCH(C68, {"Virginia","Florida","Texas","New York","California"}, 0)),
    0,
    IF(C68=C67,
        G67 + D68 - E68,
        IF(COUNTIF($C$2:C68, C68) = 1, D68, LOOKUP(2, 1/(C$1:C67=C68), G$1:G67) + D68 - E68)
    )
)</f>
        <v>1492.0083333333334</v>
      </c>
      <c r="H68" s="63">
        <f>IF(B68&lt;INDEX(Assumptions!$C$3:$C$7, MATCH(C68, {"Virginia","Florida","Texas","New York","California"}, 0)),
    0,
    (G68 / INDEX(Assumptions!$C$15:$C$19, MATCH(C68, {"Virginia","Florida","Texas","New York","California"}, 0)))
)</f>
        <v>1.8650104166666667E-2</v>
      </c>
      <c r="I68" s="43">
        <f>G68*'Unit Economics'!$B$19* INDEX(Assumptions!$C$38:$C$42, MATCH(C68, {"Virginia","Florida","Texas","New York","California"}, 0))</f>
        <v>370023.13949500001</v>
      </c>
      <c r="J68" s="43">
        <f>D68*Assumptions!$C$21*INDEX(Assumptions!$C$38:$C$42,MATCH(C68,{"Virginia","Florida","Texas","New York","California"},0))</f>
        <v>64061.7255</v>
      </c>
      <c r="K68" s="43">
        <f>G68/Assumptions!$C$22*('Unit Economics'!$F$24+'Unit Economics'!$F$25+'Unit Economics'!$F$26)</f>
        <v>71144.662071078448</v>
      </c>
      <c r="L68" s="43">
        <f>D68*Assumptions!$C$29</f>
        <v>44955</v>
      </c>
      <c r="M68" s="35">
        <f>G68*Assumptions!$C$27</f>
        <v>0</v>
      </c>
      <c r="N68" s="35">
        <f>G68*Assumptions!$C$28</f>
        <v>0</v>
      </c>
      <c r="O68" s="64">
        <f>IF( COUNTIF($B$2:B68, B68) = 1, MIN( Assumptions!$C$34 + INT(SUMIF($B$2:$B68, B68, G$2:G68) / 1000) * Assumptions!$C$37, Assumptions!$C$36 ), 0 )</f>
        <v>0</v>
      </c>
      <c r="P68" s="53">
        <f t="shared" si="4"/>
        <v>460274.52706607844</v>
      </c>
      <c r="Q68" s="52">
        <f t="shared" ref="Q68:Q131" si="5">Q67+P68</f>
        <v>12929080.694001716</v>
      </c>
    </row>
    <row r="69" spans="1:17">
      <c r="A69" s="2">
        <f t="shared" si="3"/>
        <v>3</v>
      </c>
      <c r="B69" s="2">
        <v>28</v>
      </c>
      <c r="C69" s="2" t="s">
        <v>89</v>
      </c>
      <c r="D69" s="62">
        <f>IF(
    B69 &lt; INDEX(Assumptions!$C$3:$C$7, MATCH(C69, {"Virginia","Florida","Texas","New York","California"}, 0)),
    0,
    IF(
        B69 = INDEX(Assumptions!$C$3:$C$7, MATCH(C69, {"Virginia","Florida","Texas","New York","California"}, 0)),
        IF(C69 = "Virginia", Assumptions!$C$13, Assumptions!$C$14),
        ROUND(
            (INDEX(Assumptions!$C$15:$C$19, MATCH(C69, {"Virginia","Florida","Texas","New York","California"}, 0)) * Assumptions!$C$9 -
            SUMIF(C$2:C68, C69, D$2:D69)) /
            (1 + EXP(-0.2 * (B69 - INDEX(Assumptions!$C$3:$C$7, MATCH(C69, {"Virginia","Florida","Texas","New York","California"}, 0)) - 30))),
            0
        )
    )
)</f>
        <v>153</v>
      </c>
      <c r="E69" s="62">
        <f>IF(B69&lt;INDEX(Assumptions!$C$3:$C$7, MATCH(C69, {"Virginia","Florida","Texas","New York","California"}, 0)),
    0,
    IF(F69=0,
        0,
        F69 * Assumptions!$C$12
    )
)</f>
        <v>15.5</v>
      </c>
      <c r="F69" s="62" cm="1">
        <f t="array" ref="F69">IF(B69&lt;INDEX(Assumptions!$C$3:$C$7, MATCH(C69, {"Virginia","Florida","Texas","New York","California"}, 0)),
    0,
    IF(C69=C68,
        F68 + D69,
        IF(COUNTIF($C$2:C69, C69) = 1, D69, LOOKUP(2, 1/(C$1:C68=C69), F$1:F68) + D69)
    )
)</f>
        <v>3720</v>
      </c>
      <c r="G69" s="62" cm="1">
        <f t="array" ref="G69">IF(B69&lt;INDEX(Assumptions!$C$3:$C$7, MATCH(C69, {"Virginia","Florida","Texas","New York","California"}, 0)),
    0,
    IF(C69=C68,
        G68 + D69 - E69,
        IF(COUNTIF($C$2:C69, C69) = 1, D69, LOOKUP(2, 1/(C$1:C68=C69), G$1:G68) + D69 - E69)
    )
)</f>
        <v>3575.5416666666665</v>
      </c>
      <c r="H69" s="63">
        <f>IF(B69&lt;INDEX(Assumptions!$C$3:$C$7, MATCH(C69, {"Virginia","Florida","Texas","New York","California"}, 0)),
    0,
    (G69 / INDEX(Assumptions!$C$15:$C$19, MATCH(C69, {"Virginia","Florida","Texas","New York","California"}, 0)))
)</f>
        <v>7.1510833333333329E-2</v>
      </c>
      <c r="I69" s="43">
        <f>G69*'Unit Economics'!$B$19* INDEX(Assumptions!$C$38:$C$42, MATCH(C69, {"Virginia","Florida","Texas","New York","California"}, 0))</f>
        <v>860918.92249999999</v>
      </c>
      <c r="J69" s="43">
        <f>D69*Assumptions!$C$21*INDEX(Assumptions!$C$38:$C$42,MATCH(C69,{"Virginia","Florida","Texas","New York","California"},0))</f>
        <v>39160.35</v>
      </c>
      <c r="K69" s="43">
        <f>G69/Assumptions!$C$22*('Unit Economics'!$F$24+'Unit Economics'!$F$25+'Unit Economics'!$F$26)</f>
        <v>170495.49785539217</v>
      </c>
      <c r="L69" s="43">
        <f>D69*Assumptions!$C$29</f>
        <v>28305</v>
      </c>
      <c r="M69" s="35">
        <f>G69*Assumptions!$C$27</f>
        <v>0</v>
      </c>
      <c r="N69" s="35">
        <f>G69*Assumptions!$C$28</f>
        <v>0</v>
      </c>
      <c r="O69" s="64">
        <f>IF( COUNTIF($B$2:B69, B69) = 1, MIN( Assumptions!$C$34 + INT(SUMIF($B$2:$B69, B69, G$2:G69) / 1000) * Assumptions!$C$37, Assumptions!$C$36 ), 0 )</f>
        <v>0</v>
      </c>
      <c r="P69" s="53">
        <f t="shared" si="4"/>
        <v>1042269.7703553922</v>
      </c>
      <c r="Q69" s="52">
        <f t="shared" si="5"/>
        <v>13971350.464357108</v>
      </c>
    </row>
    <row r="70" spans="1:17">
      <c r="A70" s="2">
        <f t="shared" si="3"/>
        <v>3</v>
      </c>
      <c r="B70" s="2">
        <v>29</v>
      </c>
      <c r="C70" s="2" t="s">
        <v>92</v>
      </c>
      <c r="D70" s="62">
        <f>IF(
    B70 &lt; INDEX(Assumptions!$C$3:$C$7, MATCH(C70, {"Virginia","Florida","Texas","New York","California"}, 0)),
    0,
    IF(
        B70 = INDEX(Assumptions!$C$3:$C$7, MATCH(C70, {"Virginia","Florida","Texas","New York","California"}, 0)),
        IF(C70 = "Virginia", Assumptions!$C$13, Assumptions!$C$14),
        ROUND(
            (INDEX(Assumptions!$C$15:$C$19, MATCH(C70, {"Virginia","Florida","Texas","New York","California"}, 0)) * Assumptions!$C$9 -
            SUMIF(C$2:C69, C70, D$2:D70)) /
            (1 + EXP(-0.2 * (B70 - INDEX(Assumptions!$C$3:$C$7, MATCH(C70, {"Virginia","Florida","Texas","New York","California"}, 0)) - 30))),
            0
        )
    )
)</f>
        <v>26</v>
      </c>
      <c r="E70" s="62">
        <f>IF(B70&lt;INDEX(Assumptions!$C$3:$C$7, MATCH(C70, {"Virginia","Florida","Texas","New York","California"}, 0)),
    0,
    IF(F70=0,
        0,
        F70 * Assumptions!$C$12
    )
)</f>
        <v>0.7416666666666667</v>
      </c>
      <c r="F70" s="62" cm="1">
        <f t="array" ref="F70">IF(B70&lt;INDEX(Assumptions!$C$3:$C$7, MATCH(C70, {"Virginia","Florida","Texas","New York","California"}, 0)),
    0,
    IF(C70=C69,
        F69 + D70,
        IF(COUNTIF($C$2:C70, C70) = 1, D70, LOOKUP(2, 1/(C$1:C69=C70), F$1:F69) + D70)
    )
)</f>
        <v>178</v>
      </c>
      <c r="G70" s="62" cm="1">
        <f t="array" ref="G70">IF(B70&lt;INDEX(Assumptions!$C$3:$C$7, MATCH(C70, {"Virginia","Florida","Texas","New York","California"}, 0)),
    0,
    IF(C70=C69,
        G69 + D70 - E70,
        IF(COUNTIF($C$2:C70, C70) = 1, D70, LOOKUP(2, 1/(C$1:C69=C70), G$1:G69) + D70 - E70)
    )
)</f>
        <v>175.60416666666669</v>
      </c>
      <c r="H70" s="63">
        <f>IF(B70&lt;INDEX(Assumptions!$C$3:$C$7, MATCH(C70, {"Virginia","Florida","Texas","New York","California"}, 0)),
    0,
    (G70 / INDEX(Assumptions!$C$15:$C$19, MATCH(C70, {"Virginia","Florida","Texas","New York","California"}, 0)))
)</f>
        <v>2.9267361111111113E-3</v>
      </c>
      <c r="I70" s="43">
        <f>G70*'Unit Economics'!$B$19* INDEX(Assumptions!$C$38:$C$42, MATCH(C70, {"Virginia","Florida","Texas","New York","California"}, 0))</f>
        <v>45664.528950000007</v>
      </c>
      <c r="J70" s="43">
        <f>D70*Assumptions!$C$21*INDEX(Assumptions!$C$38:$C$42,MATCH(C70,{"Virginia","Florida","Texas","New York","California"},0))</f>
        <v>7187.076</v>
      </c>
      <c r="K70" s="43">
        <f>G70/Assumptions!$C$22*('Unit Economics'!$F$24+'Unit Economics'!$F$25+'Unit Economics'!$F$26)</f>
        <v>8373.4780943627466</v>
      </c>
      <c r="L70" s="43">
        <f>D70*Assumptions!$C$29</f>
        <v>4810</v>
      </c>
      <c r="M70" s="35">
        <f>G70*Assumptions!$C$27</f>
        <v>0</v>
      </c>
      <c r="N70" s="35">
        <f>G70*Assumptions!$C$28</f>
        <v>0</v>
      </c>
      <c r="O70" s="64">
        <f>IF( COUNTIF($B$2:B70, B70) = 1, MIN( Assumptions!$C$34 + INT(SUMIF($B$2:$B70, B70, G$2:G70) / 1000) * Assumptions!$C$37, Assumptions!$C$36 ), 0 )</f>
        <v>60000</v>
      </c>
      <c r="P70" s="53">
        <f t="shared" si="4"/>
        <v>-3584.9169556372435</v>
      </c>
      <c r="Q70" s="52">
        <f t="shared" si="5"/>
        <v>13967765.547401471</v>
      </c>
    </row>
    <row r="71" spans="1:17">
      <c r="A71" s="2">
        <f t="shared" si="3"/>
        <v>3</v>
      </c>
      <c r="B71" s="2">
        <v>29</v>
      </c>
      <c r="C71" s="2" t="s">
        <v>93</v>
      </c>
      <c r="D71" s="62">
        <f>IF(
    B71 &lt; INDEX(Assumptions!$C$3:$C$7, MATCH(C71, {"Virginia","Florida","Texas","New York","California"}, 0)),
    0,
    IF(
        B71 = INDEX(Assumptions!$C$3:$C$7, MATCH(C71, {"Virginia","Florida","Texas","New York","California"}, 0)),
        IF(C71 = "Virginia", Assumptions!$C$13, Assumptions!$C$14),
        ROUND(
            (INDEX(Assumptions!$C$15:$C$19, MATCH(C71, {"Virginia","Florida","Texas","New York","California"}, 0)) * Assumptions!$C$9 -
            SUMIF(C$2:C70, C71, D$2:D71)) /
            (1 + EXP(-0.2 * (B71 - INDEX(Assumptions!$C$3:$C$7, MATCH(C71, {"Virginia","Florida","Texas","New York","California"}, 0)) - 30))),
            0
        )
    )
)</f>
        <v>39</v>
      </c>
      <c r="E71" s="62">
        <f>IF(B71&lt;INDEX(Assumptions!$C$3:$C$7, MATCH(C71, {"Virginia","Florida","Texas","New York","California"}, 0)),
    0,
    IF(F71=0,
        0,
        F71 * Assumptions!$C$12
    )
)</f>
        <v>0.90833333333333333</v>
      </c>
      <c r="F71" s="62" cm="1">
        <f t="array" ref="F71">IF(B71&lt;INDEX(Assumptions!$C$3:$C$7, MATCH(C71, {"Virginia","Florida","Texas","New York","California"}, 0)),
    0,
    IF(C71=C70,
        F70 + D71,
        IF(COUNTIF($C$2:C71, C71) = 1, D71, LOOKUP(2, 1/(C$1:C70=C71), F$1:F70) + D71)
    )
)</f>
        <v>218</v>
      </c>
      <c r="G71" s="62" cm="1">
        <f t="array" ref="G71">IF(B71&lt;INDEX(Assumptions!$C$3:$C$7, MATCH(C71, {"Virginia","Florida","Texas","New York","California"}, 0)),
    0,
    IF(C71=C70,
        G70 + D71 - E71,
        IF(COUNTIF($C$2:C71, C71) = 1, D71, LOOKUP(2, 1/(C$1:C70=C71), G$1:G70) + D71 - E71)
    )
)</f>
        <v>215.22916666666666</v>
      </c>
      <c r="H71" s="63">
        <f>IF(B71&lt;INDEX(Assumptions!$C$3:$C$7, MATCH(C71, {"Virginia","Florida","Texas","New York","California"}, 0)),
    0,
    (G71 / INDEX(Assumptions!$C$15:$C$19, MATCH(C71, {"Virginia","Florida","Texas","New York","California"}, 0)))
)</f>
        <v>2.3914351851851852E-3</v>
      </c>
      <c r="I71" s="43">
        <f>G71*'Unit Economics'!$B$19* INDEX(Assumptions!$C$38:$C$42, MATCH(C71, {"Virginia","Florida","Texas","New York","California"}, 0))</f>
        <v>57005.166624999998</v>
      </c>
      <c r="J71" s="43">
        <f>D71*Assumptions!$C$21*INDEX(Assumptions!$C$38:$C$42,MATCH(C71,{"Virginia","Florida","Texas","New York","California"},0))</f>
        <v>10980.254999999999</v>
      </c>
      <c r="K71" s="43">
        <f>G71/Assumptions!$C$22*('Unit Economics'!$F$24+'Unit Economics'!$F$25+'Unit Economics'!$F$26)</f>
        <v>10262.949601715687</v>
      </c>
      <c r="L71" s="43">
        <f>D71*Assumptions!$C$29</f>
        <v>7215</v>
      </c>
      <c r="M71" s="35">
        <f>G71*Assumptions!$C$27</f>
        <v>0</v>
      </c>
      <c r="N71" s="35">
        <f>G71*Assumptions!$C$28</f>
        <v>0</v>
      </c>
      <c r="O71" s="64">
        <f>IF( COUNTIF($B$2:B71, B71) = 1, MIN( Assumptions!$C$34 + INT(SUMIF($B$2:$B71, B71, G$2:G71) / 1000) * Assumptions!$C$37, Assumptions!$C$36 ), 0 )</f>
        <v>0</v>
      </c>
      <c r="P71" s="53">
        <f t="shared" si="4"/>
        <v>71033.371226715695</v>
      </c>
      <c r="Q71" s="52">
        <f t="shared" si="5"/>
        <v>14038798.918628186</v>
      </c>
    </row>
    <row r="72" spans="1:17">
      <c r="A72" s="2">
        <f t="shared" si="3"/>
        <v>3</v>
      </c>
      <c r="B72" s="2">
        <v>29</v>
      </c>
      <c r="C72" s="2" t="s">
        <v>90</v>
      </c>
      <c r="D72" s="62">
        <f>IF(
    B72 &lt; INDEX(Assumptions!$C$3:$C$7, MATCH(C72, {"Virginia","Florida","Texas","New York","California"}, 0)),
    0,
    IF(
        B72 = INDEX(Assumptions!$C$3:$C$7, MATCH(C72, {"Virginia","Florida","Texas","New York","California"}, 0)),
        IF(C72 = "Virginia", Assumptions!$C$13, Assumptions!$C$14),
        ROUND(
            (INDEX(Assumptions!$C$15:$C$19, MATCH(C72, {"Virginia","Florida","Texas","New York","California"}, 0)) * Assumptions!$C$9 -
            SUMIF(C$2:C71, C72, D$2:D72)) /
            (1 + EXP(-0.2 * (B72 - INDEX(Assumptions!$C$3:$C$7, MATCH(C72, {"Virginia","Florida","Texas","New York","California"}, 0)) - 30))),
            0
        )
    )
)</f>
        <v>244</v>
      </c>
      <c r="E72" s="62">
        <f>IF(B72&lt;INDEX(Assumptions!$C$3:$C$7, MATCH(C72, {"Virginia","Florida","Texas","New York","California"}, 0)),
    0,
    IF(F72=0,
        0,
        F72 * Assumptions!$C$12
    )
)</f>
        <v>6.6333333333333329</v>
      </c>
      <c r="F72" s="62" cm="1">
        <f t="array" ref="F72">IF(B72&lt;INDEX(Assumptions!$C$3:$C$7, MATCH(C72, {"Virginia","Florida","Texas","New York","California"}, 0)),
    0,
    IF(C72=C71,
        F71 + D72,
        IF(COUNTIF($C$2:C72, C72) = 1, D72, LOOKUP(2, 1/(C$1:C71=C72), F$1:F71) + D72)
    )
)</f>
        <v>1592</v>
      </c>
      <c r="G72" s="62" cm="1">
        <f t="array" ref="G72">IF(B72&lt;INDEX(Assumptions!$C$3:$C$7, MATCH(C72, {"Virginia","Florida","Texas","New York","California"}, 0)),
    0,
    IF(C72=C71,
        G71 + D72 - E72,
        IF(COUNTIF($C$2:C72, C72) = 1, D72, LOOKUP(2, 1/(C$1:C71=C72), G$1:G71) + D72 - E72)
    )
)</f>
        <v>1553.0708333333334</v>
      </c>
      <c r="H72" s="63">
        <f>IF(B72&lt;INDEX(Assumptions!$C$3:$C$7, MATCH(C72, {"Virginia","Florida","Texas","New York","California"}, 0)),
    0,
    (G72 / INDEX(Assumptions!$C$15:$C$19, MATCH(C72, {"Virginia","Florida","Texas","New York","California"}, 0)))
)</f>
        <v>2.2186726190476191E-2</v>
      </c>
      <c r="I72" s="43">
        <f>G72*'Unit Economics'!$B$19* INDEX(Assumptions!$C$38:$C$42, MATCH(C72, {"Virginia","Florida","Texas","New York","California"}, 0))</f>
        <v>392645.81501250004</v>
      </c>
      <c r="J72" s="43">
        <f>D72*Assumptions!$C$21*INDEX(Assumptions!$C$38:$C$42,MATCH(C72,{"Virginia","Florida","Texas","New York","California"},0))</f>
        <v>65574.39</v>
      </c>
      <c r="K72" s="43">
        <f>G72/Assumptions!$C$22*('Unit Economics'!$F$24+'Unit Economics'!$F$25+'Unit Economics'!$F$26)</f>
        <v>74056.355545343147</v>
      </c>
      <c r="L72" s="43">
        <f>D72*Assumptions!$C$29</f>
        <v>45140</v>
      </c>
      <c r="M72" s="35">
        <f>G72*Assumptions!$C$27</f>
        <v>0</v>
      </c>
      <c r="N72" s="35">
        <f>G72*Assumptions!$C$28</f>
        <v>0</v>
      </c>
      <c r="O72" s="64">
        <f>IF( COUNTIF($B$2:B72, B72) = 1, MIN( Assumptions!$C$34 + INT(SUMIF($B$2:$B72, B72, G$2:G72) / 1000) * Assumptions!$C$37, Assumptions!$C$36 ), 0 )</f>
        <v>0</v>
      </c>
      <c r="P72" s="53">
        <f t="shared" si="4"/>
        <v>487136.56055784319</v>
      </c>
      <c r="Q72" s="52">
        <f t="shared" si="5"/>
        <v>14525935.479186028</v>
      </c>
    </row>
    <row r="73" spans="1:17">
      <c r="A73" s="2">
        <f t="shared" si="3"/>
        <v>3</v>
      </c>
      <c r="B73" s="2">
        <v>29</v>
      </c>
      <c r="C73" s="2" t="s">
        <v>91</v>
      </c>
      <c r="D73" s="62">
        <f>IF(
    B73 &lt; INDEX(Assumptions!$C$3:$C$7, MATCH(C73, {"Virginia","Florida","Texas","New York","California"}, 0)),
    0,
    IF(
        B73 = INDEX(Assumptions!$C$3:$C$7, MATCH(C73, {"Virginia","Florida","Texas","New York","California"}, 0)),
        IF(C73 = "Virginia", Assumptions!$C$13, Assumptions!$C$14),
        ROUND(
            (INDEX(Assumptions!$C$15:$C$19, MATCH(C73, {"Virginia","Florida","Texas","New York","California"}, 0)) * Assumptions!$C$9 -
            SUMIF(C$2:C72, C73, D$2:D73)) /
            (1 + EXP(-0.2 * (B73 - INDEX(Assumptions!$C$3:$C$7, MATCH(C73, {"Virginia","Florida","Texas","New York","California"}, 0)) - 30))),
            0
        )
    )
)</f>
        <v>279</v>
      </c>
      <c r="E73" s="62">
        <f>IF(B73&lt;INDEX(Assumptions!$C$3:$C$7, MATCH(C73, {"Virginia","Florida","Texas","New York","California"}, 0)),
    0,
    IF(F73=0,
        0,
        F73 * Assumptions!$C$12
    )
)</f>
        <v>7.5291666666666668</v>
      </c>
      <c r="F73" s="62" cm="1">
        <f t="array" ref="F73">IF(B73&lt;INDEX(Assumptions!$C$3:$C$7, MATCH(C73, {"Virginia","Florida","Texas","New York","California"}, 0)),
    0,
    IF(C73=C72,
        F72 + D73,
        IF(COUNTIF($C$2:C73, C73) = 1, D73, LOOKUP(2, 1/(C$1:C72=C73), F$1:F72) + D73)
    )
)</f>
        <v>1807</v>
      </c>
      <c r="G73" s="62" cm="1">
        <f t="array" ref="G73">IF(B73&lt;INDEX(Assumptions!$C$3:$C$7, MATCH(C73, {"Virginia","Florida","Texas","New York","California"}, 0)),
    0,
    IF(C73=C72,
        G72 + D73 - E73,
        IF(COUNTIF($C$2:C73, C73) = 1, D73, LOOKUP(2, 1/(C$1:C72=C73), G$1:G72) + D73 - E73)
    )
)</f>
        <v>1763.4791666666667</v>
      </c>
      <c r="H73" s="63">
        <f>IF(B73&lt;INDEX(Assumptions!$C$3:$C$7, MATCH(C73, {"Virginia","Florida","Texas","New York","California"}, 0)),
    0,
    (G73 / INDEX(Assumptions!$C$15:$C$19, MATCH(C73, {"Virginia","Florida","Texas","New York","California"}, 0)))
)</f>
        <v>2.2043489583333336E-2</v>
      </c>
      <c r="I73" s="43">
        <f>G73*'Unit Economics'!$B$19* INDEX(Assumptions!$C$38:$C$42, MATCH(C73, {"Virginia","Florida","Texas","New York","California"}, 0))</f>
        <v>437348.82916250004</v>
      </c>
      <c r="J73" s="43">
        <f>D73*Assumptions!$C$21*INDEX(Assumptions!$C$38:$C$42,MATCH(C73,{"Virginia","Florida","Texas","New York","California"},0))</f>
        <v>73552.351500000004</v>
      </c>
      <c r="K73" s="43">
        <f>G73/Assumptions!$C$22*('Unit Economics'!$F$24+'Unit Economics'!$F$25+'Unit Economics'!$F$26)</f>
        <v>84089.429381127455</v>
      </c>
      <c r="L73" s="43">
        <f>D73*Assumptions!$C$29</f>
        <v>51615</v>
      </c>
      <c r="M73" s="35">
        <f>G73*Assumptions!$C$27</f>
        <v>0</v>
      </c>
      <c r="N73" s="35">
        <f>G73*Assumptions!$C$28</f>
        <v>0</v>
      </c>
      <c r="O73" s="64">
        <f>IF( COUNTIF($B$2:B73, B73) = 1, MIN( Assumptions!$C$34 + INT(SUMIF($B$2:$B73, B73, G$2:G73) / 1000) * Assumptions!$C$37, Assumptions!$C$36 ), 0 )</f>
        <v>0</v>
      </c>
      <c r="P73" s="53">
        <f t="shared" si="4"/>
        <v>543375.61004362744</v>
      </c>
      <c r="Q73" s="52">
        <f t="shared" si="5"/>
        <v>15069311.089229656</v>
      </c>
    </row>
    <row r="74" spans="1:17">
      <c r="A74" s="2">
        <f t="shared" si="3"/>
        <v>3</v>
      </c>
      <c r="B74" s="2">
        <v>29</v>
      </c>
      <c r="C74" s="2" t="s">
        <v>89</v>
      </c>
      <c r="D74" s="62">
        <f>IF(
    B74 &lt; INDEX(Assumptions!$C$3:$C$7, MATCH(C74, {"Virginia","Florida","Texas","New York","California"}, 0)),
    0,
    IF(
        B74 = INDEX(Assumptions!$C$3:$C$7, MATCH(C74, {"Virginia","Florida","Texas","New York","California"}, 0)),
        IF(C74 = "Virginia", Assumptions!$C$13, Assumptions!$C$14),
        ROUND(
            (INDEX(Assumptions!$C$15:$C$19, MATCH(C74, {"Virginia","Florida","Texas","New York","California"}, 0)) * Assumptions!$C$9 -
            SUMIF(C$2:C73, C74, D$2:D74)) /
            (1 + EXP(-0.2 * (B74 - INDEX(Assumptions!$C$3:$C$7, MATCH(C74, {"Virginia","Florida","Texas","New York","California"}, 0)) - 30))),
            0
        )
    )
)</f>
        <v>112</v>
      </c>
      <c r="E74" s="62">
        <f>IF(B74&lt;INDEX(Assumptions!$C$3:$C$7, MATCH(C74, {"Virginia","Florida","Texas","New York","California"}, 0)),
    0,
    IF(F74=0,
        0,
        F74 * Assumptions!$C$12
    )
)</f>
        <v>15.966666666666667</v>
      </c>
      <c r="F74" s="62" cm="1">
        <f t="array" ref="F74">IF(B74&lt;INDEX(Assumptions!$C$3:$C$7, MATCH(C74, {"Virginia","Florida","Texas","New York","California"}, 0)),
    0,
    IF(C74=C73,
        F73 + D74,
        IF(COUNTIF($C$2:C74, C74) = 1, D74, LOOKUP(2, 1/(C$1:C73=C74), F$1:F73) + D74)
    )
)</f>
        <v>3832</v>
      </c>
      <c r="G74" s="62" cm="1">
        <f t="array" ref="G74">IF(B74&lt;INDEX(Assumptions!$C$3:$C$7, MATCH(C74, {"Virginia","Florida","Texas","New York","California"}, 0)),
    0,
    IF(C74=C73,
        G73 + D74 - E74,
        IF(COUNTIF($C$2:C74, C74) = 1, D74, LOOKUP(2, 1/(C$1:C73=C74), G$1:G73) + D74 - E74)
    )
)</f>
        <v>3671.5749999999998</v>
      </c>
      <c r="H74" s="63">
        <f>IF(B74&lt;INDEX(Assumptions!$C$3:$C$7, MATCH(C74, {"Virginia","Florida","Texas","New York","California"}, 0)),
    0,
    (G74 / INDEX(Assumptions!$C$15:$C$19, MATCH(C74, {"Virginia","Florida","Texas","New York","California"}, 0)))
)</f>
        <v>7.3431499999999997E-2</v>
      </c>
      <c r="I74" s="43">
        <f>G74*'Unit Economics'!$B$19* INDEX(Assumptions!$C$38:$C$42, MATCH(C74, {"Virginia","Florida","Texas","New York","California"}, 0))</f>
        <v>884041.82849999995</v>
      </c>
      <c r="J74" s="43">
        <f>D74*Assumptions!$C$21*INDEX(Assumptions!$C$38:$C$42,MATCH(C74,{"Virginia","Florida","Texas","New York","California"},0))</f>
        <v>28666.399999999998</v>
      </c>
      <c r="K74" s="43">
        <f>G74/Assumptions!$C$22*('Unit Economics'!$F$24+'Unit Economics'!$F$25+'Unit Economics'!$F$26)</f>
        <v>175074.734375</v>
      </c>
      <c r="L74" s="43">
        <f>D74*Assumptions!$C$29</f>
        <v>20720</v>
      </c>
      <c r="M74" s="35">
        <f>G74*Assumptions!$C$27</f>
        <v>0</v>
      </c>
      <c r="N74" s="35">
        <f>G74*Assumptions!$C$28</f>
        <v>0</v>
      </c>
      <c r="O74" s="64">
        <f>IF( COUNTIF($B$2:B74, B74) = 1, MIN( Assumptions!$C$34 + INT(SUMIF($B$2:$B74, B74, G$2:G74) / 1000) * Assumptions!$C$37, Assumptions!$C$36 ), 0 )</f>
        <v>0</v>
      </c>
      <c r="P74" s="53">
        <f t="shared" si="4"/>
        <v>1067062.962875</v>
      </c>
      <c r="Q74" s="52">
        <f t="shared" si="5"/>
        <v>16136374.052104656</v>
      </c>
    </row>
    <row r="75" spans="1:17">
      <c r="A75" s="2">
        <f t="shared" si="3"/>
        <v>3</v>
      </c>
      <c r="B75" s="2">
        <v>30</v>
      </c>
      <c r="C75" s="2" t="s">
        <v>92</v>
      </c>
      <c r="D75" s="62">
        <f>IF(
    B75 &lt; INDEX(Assumptions!$C$3:$C$7, MATCH(C75, {"Virginia","Florida","Texas","New York","California"}, 0)),
    0,
    IF(
        B75 = INDEX(Assumptions!$C$3:$C$7, MATCH(C75, {"Virginia","Florida","Texas","New York","California"}, 0)),
        IF(C75 = "Virginia", Assumptions!$C$13, Assumptions!$C$14),
        ROUND(
            (INDEX(Assumptions!$C$15:$C$19, MATCH(C75, {"Virginia","Florida","Texas","New York","California"}, 0)) * Assumptions!$C$9 -
            SUMIF(C$2:C74, C75, D$2:D75)) /
            (1 + EXP(-0.2 * (B75 - INDEX(Assumptions!$C$3:$C$7, MATCH(C75, {"Virginia","Florida","Texas","New York","California"}, 0)) - 30))),
            0
        )
    )
)</f>
        <v>31</v>
      </c>
      <c r="E75" s="62">
        <f>IF(B75&lt;INDEX(Assumptions!$C$3:$C$7, MATCH(C75, {"Virginia","Florida","Texas","New York","California"}, 0)),
    0,
    IF(F75=0,
        0,
        F75 * Assumptions!$C$12
    )
)</f>
        <v>0.87083333333333335</v>
      </c>
      <c r="F75" s="62" cm="1">
        <f t="array" ref="F75">IF(B75&lt;INDEX(Assumptions!$C$3:$C$7, MATCH(C75, {"Virginia","Florida","Texas","New York","California"}, 0)),
    0,
    IF(C75=C74,
        F74 + D75,
        IF(COUNTIF($C$2:C75, C75) = 1, D75, LOOKUP(2, 1/(C$1:C74=C75), F$1:F74) + D75)
    )
)</f>
        <v>209</v>
      </c>
      <c r="G75" s="62" cm="1">
        <f t="array" ref="G75">IF(B75&lt;INDEX(Assumptions!$C$3:$C$7, MATCH(C75, {"Virginia","Florida","Texas","New York","California"}, 0)),
    0,
    IF(C75=C74,
        G74 + D75 - E75,
        IF(COUNTIF($C$2:C75, C75) = 1, D75, LOOKUP(2, 1/(C$1:C74=C75), G$1:G74) + D75 - E75)
    )
)</f>
        <v>205.73333333333335</v>
      </c>
      <c r="H75" s="63">
        <f>IF(B75&lt;INDEX(Assumptions!$C$3:$C$7, MATCH(C75, {"Virginia","Florida","Texas","New York","California"}, 0)),
    0,
    (G75 / INDEX(Assumptions!$C$15:$C$19, MATCH(C75, {"Virginia","Florida","Texas","New York","California"}, 0)))
)</f>
        <v>3.4288888888888893E-3</v>
      </c>
      <c r="I75" s="43">
        <f>G75*'Unit Economics'!$B$19* INDEX(Assumptions!$C$38:$C$42, MATCH(C75, {"Virginia","Florida","Texas","New York","California"}, 0))</f>
        <v>53499.389760000005</v>
      </c>
      <c r="J75" s="43">
        <f>D75*Assumptions!$C$21*INDEX(Assumptions!$C$38:$C$42,MATCH(C75,{"Virginia","Florida","Texas","New York","California"},0))</f>
        <v>8569.2060000000001</v>
      </c>
      <c r="K75" s="43">
        <f>G75/Assumptions!$C$22*('Unit Economics'!$F$24+'Unit Economics'!$F$25+'Unit Economics'!$F$26)</f>
        <v>9810.1519607843147</v>
      </c>
      <c r="L75" s="43">
        <f>D75*Assumptions!$C$29</f>
        <v>5735</v>
      </c>
      <c r="M75" s="35">
        <f>G75*Assumptions!$C$27</f>
        <v>0</v>
      </c>
      <c r="N75" s="35">
        <f>G75*Assumptions!$C$28</f>
        <v>0</v>
      </c>
      <c r="O75" s="64">
        <f>IF( COUNTIF($B$2:B75, B75) = 1, MIN( Assumptions!$C$34 + INT(SUMIF($B$2:$B75, B75, G$2:G75) / 1000) * Assumptions!$C$37, Assumptions!$C$36 ), 0 )</f>
        <v>60000</v>
      </c>
      <c r="P75" s="53">
        <f t="shared" si="4"/>
        <v>6143.7477207843185</v>
      </c>
      <c r="Q75" s="52">
        <f t="shared" si="5"/>
        <v>16142517.799825439</v>
      </c>
    </row>
    <row r="76" spans="1:17">
      <c r="A76" s="2">
        <f t="shared" si="3"/>
        <v>3</v>
      </c>
      <c r="B76" s="2">
        <v>30</v>
      </c>
      <c r="C76" s="2" t="s">
        <v>93</v>
      </c>
      <c r="D76" s="62">
        <f>IF(
    B76 &lt; INDEX(Assumptions!$C$3:$C$7, MATCH(C76, {"Virginia","Florida","Texas","New York","California"}, 0)),
    0,
    IF(
        B76 = INDEX(Assumptions!$C$3:$C$7, MATCH(C76, {"Virginia","Florida","Texas","New York","California"}, 0)),
        IF(C76 = "Virginia", Assumptions!$C$13, Assumptions!$C$14),
        ROUND(
            (INDEX(Assumptions!$C$15:$C$19, MATCH(C76, {"Virginia","Florida","Texas","New York","California"}, 0)) * Assumptions!$C$9 -
            SUMIF(C$2:C75, C76, D$2:D76)) /
            (1 + EXP(-0.2 * (B76 - INDEX(Assumptions!$C$3:$C$7, MATCH(C76, {"Virginia","Florida","Texas","New York","California"}, 0)) - 30))),
            0
        )
    )
)</f>
        <v>47</v>
      </c>
      <c r="E76" s="62">
        <f>IF(B76&lt;INDEX(Assumptions!$C$3:$C$7, MATCH(C76, {"Virginia","Florida","Texas","New York","California"}, 0)),
    0,
    IF(F76=0,
        0,
        F76 * Assumptions!$C$12
    )
)</f>
        <v>1.1041666666666667</v>
      </c>
      <c r="F76" s="62" cm="1">
        <f t="array" ref="F76">IF(B76&lt;INDEX(Assumptions!$C$3:$C$7, MATCH(C76, {"Virginia","Florida","Texas","New York","California"}, 0)),
    0,
    IF(C76=C75,
        F75 + D76,
        IF(COUNTIF($C$2:C76, C76) = 1, D76, LOOKUP(2, 1/(C$1:C75=C76), F$1:F75) + D76)
    )
)</f>
        <v>265</v>
      </c>
      <c r="G76" s="62" cm="1">
        <f t="array" ref="G76">IF(B76&lt;INDEX(Assumptions!$C$3:$C$7, MATCH(C76, {"Virginia","Florida","Texas","New York","California"}, 0)),
    0,
    IF(C76=C75,
        G75 + D76 - E76,
        IF(COUNTIF($C$2:C76, C76) = 1, D76, LOOKUP(2, 1/(C$1:C75=C76), G$1:G75) + D76 - E76)
    )
)</f>
        <v>261.12499999999994</v>
      </c>
      <c r="H76" s="63">
        <f>IF(B76&lt;INDEX(Assumptions!$C$3:$C$7, MATCH(C76, {"Virginia","Florida","Texas","New York","California"}, 0)),
    0,
    (G76 / INDEX(Assumptions!$C$15:$C$19, MATCH(C76, {"Virginia","Florida","Texas","New York","California"}, 0)))
)</f>
        <v>2.9013888888888882E-3</v>
      </c>
      <c r="I76" s="43">
        <f>G76*'Unit Economics'!$B$19* INDEX(Assumptions!$C$38:$C$42, MATCH(C76, {"Virginia","Florida","Texas","New York","California"}, 0))</f>
        <v>69161.045249999981</v>
      </c>
      <c r="J76" s="43">
        <f>D76*Assumptions!$C$21*INDEX(Assumptions!$C$38:$C$42,MATCH(C76,{"Virginia","Florida","Texas","New York","California"},0))</f>
        <v>13232.615</v>
      </c>
      <c r="K76" s="43">
        <f>G76/Assumptions!$C$22*('Unit Economics'!$F$24+'Unit Economics'!$F$25+'Unit Economics'!$F$26)</f>
        <v>12451.438419117647</v>
      </c>
      <c r="L76" s="43">
        <f>D76*Assumptions!$C$29</f>
        <v>8695</v>
      </c>
      <c r="M76" s="35">
        <f>G76*Assumptions!$C$27</f>
        <v>0</v>
      </c>
      <c r="N76" s="35">
        <f>G76*Assumptions!$C$28</f>
        <v>0</v>
      </c>
      <c r="O76" s="64">
        <f>IF( COUNTIF($B$2:B76, B76) = 1, MIN( Assumptions!$C$34 + INT(SUMIF($B$2:$B76, B76, G$2:G76) / 1000) * Assumptions!$C$37, Assumptions!$C$36 ), 0 )</f>
        <v>0</v>
      </c>
      <c r="P76" s="53">
        <f t="shared" si="4"/>
        <v>86150.098669117637</v>
      </c>
      <c r="Q76" s="52">
        <f t="shared" si="5"/>
        <v>16228667.898494557</v>
      </c>
    </row>
    <row r="77" spans="1:17">
      <c r="A77" s="2">
        <f t="shared" si="3"/>
        <v>3</v>
      </c>
      <c r="B77" s="2">
        <v>30</v>
      </c>
      <c r="C77" s="2" t="s">
        <v>90</v>
      </c>
      <c r="D77" s="62">
        <f>IF(
    B77 &lt; INDEX(Assumptions!$C$3:$C$7, MATCH(C77, {"Virginia","Florida","Texas","New York","California"}, 0)),
    0,
    IF(
        B77 = INDEX(Assumptions!$C$3:$C$7, MATCH(C77, {"Virginia","Florida","Texas","New York","California"}, 0)),
        IF(C77 = "Virginia", Assumptions!$C$13, Assumptions!$C$14),
        ROUND(
            (INDEX(Assumptions!$C$15:$C$19, MATCH(C77, {"Virginia","Florida","Texas","New York","California"}, 0)) * Assumptions!$C$9 -
            SUMIF(C$2:C76, C77, D$2:D77)) /
            (1 + EXP(-0.2 * (B77 - INDEX(Assumptions!$C$3:$C$7, MATCH(C77, {"Virginia","Florida","Texas","New York","California"}, 0)) - 30))),
            0
        )
    )
)</f>
        <v>277</v>
      </c>
      <c r="E77" s="62">
        <f>IF(B77&lt;INDEX(Assumptions!$C$3:$C$7, MATCH(C77, {"Virginia","Florida","Texas","New York","California"}, 0)),
    0,
    IF(F77=0,
        0,
        F77 * Assumptions!$C$12
    )
)</f>
        <v>7.7874999999999996</v>
      </c>
      <c r="F77" s="62" cm="1">
        <f t="array" ref="F77">IF(B77&lt;INDEX(Assumptions!$C$3:$C$7, MATCH(C77, {"Virginia","Florida","Texas","New York","California"}, 0)),
    0,
    IF(C77=C76,
        F76 + D77,
        IF(COUNTIF($C$2:C77, C77) = 1, D77, LOOKUP(2, 1/(C$1:C76=C77), F$1:F76) + D77)
    )
)</f>
        <v>1869</v>
      </c>
      <c r="G77" s="62" cm="1">
        <f t="array" ref="G77">IF(B77&lt;INDEX(Assumptions!$C$3:$C$7, MATCH(C77, {"Virginia","Florida","Texas","New York","California"}, 0)),
    0,
    IF(C77=C76,
        G76 + D77 - E77,
        IF(COUNTIF($C$2:C77, C77) = 1, D77, LOOKUP(2, 1/(C$1:C76=C77), G$1:G76) + D77 - E77)
    )
)</f>
        <v>1822.2833333333335</v>
      </c>
      <c r="H77" s="63">
        <f>IF(B77&lt;INDEX(Assumptions!$C$3:$C$7, MATCH(C77, {"Virginia","Florida","Texas","New York","California"}, 0)),
    0,
    (G77 / INDEX(Assumptions!$C$15:$C$19, MATCH(C77, {"Virginia","Florida","Texas","New York","California"}, 0)))
)</f>
        <v>2.6032619047619051E-2</v>
      </c>
      <c r="I77" s="43">
        <f>G77*'Unit Economics'!$B$19* INDEX(Assumptions!$C$38:$C$42, MATCH(C77, {"Virginia","Florida","Texas","New York","California"}, 0))</f>
        <v>460707.85005000007</v>
      </c>
      <c r="J77" s="43">
        <f>D77*Assumptions!$C$21*INDEX(Assumptions!$C$38:$C$42,MATCH(C77,{"Virginia","Florida","Texas","New York","California"},0))</f>
        <v>74443.057499999995</v>
      </c>
      <c r="K77" s="43">
        <f>G77/Assumptions!$C$22*('Unit Economics'!$F$24+'Unit Economics'!$F$25+'Unit Economics'!$F$26)</f>
        <v>86893.436887254924</v>
      </c>
      <c r="L77" s="43">
        <f>D77*Assumptions!$C$29</f>
        <v>51245</v>
      </c>
      <c r="M77" s="35">
        <f>G77*Assumptions!$C$27</f>
        <v>0</v>
      </c>
      <c r="N77" s="35">
        <f>G77*Assumptions!$C$28</f>
        <v>0</v>
      </c>
      <c r="O77" s="64">
        <f>IF( COUNTIF($B$2:B77, B77) = 1, MIN( Assumptions!$C$34 + INT(SUMIF($B$2:$B77, B77, G$2:G77) / 1000) * Assumptions!$C$37, Assumptions!$C$36 ), 0 )</f>
        <v>0</v>
      </c>
      <c r="P77" s="53">
        <f t="shared" si="4"/>
        <v>570799.34443725506</v>
      </c>
      <c r="Q77" s="52">
        <f t="shared" si="5"/>
        <v>16799467.242931813</v>
      </c>
    </row>
    <row r="78" spans="1:17">
      <c r="A78" s="2">
        <f t="shared" si="3"/>
        <v>3</v>
      </c>
      <c r="B78" s="2">
        <v>30</v>
      </c>
      <c r="C78" s="2" t="s">
        <v>91</v>
      </c>
      <c r="D78" s="62">
        <f>IF(
    B78 &lt; INDEX(Assumptions!$C$3:$C$7, MATCH(C78, {"Virginia","Florida","Texas","New York","California"}, 0)),
    0,
    IF(
        B78 = INDEX(Assumptions!$C$3:$C$7, MATCH(C78, {"Virginia","Florida","Texas","New York","California"}, 0)),
        IF(C78 = "Virginia", Assumptions!$C$13, Assumptions!$C$14),
        ROUND(
            (INDEX(Assumptions!$C$15:$C$19, MATCH(C78, {"Virginia","Florida","Texas","New York","California"}, 0)) * Assumptions!$C$9 -
            SUMIF(C$2:C77, C78, D$2:D78)) /
            (1 + EXP(-0.2 * (B78 - INDEX(Assumptions!$C$3:$C$7, MATCH(C78, {"Virginia","Florida","Texas","New York","California"}, 0)) - 30))),
            0
        )
    )
)</f>
        <v>318</v>
      </c>
      <c r="E78" s="62">
        <f>IF(B78&lt;INDEX(Assumptions!$C$3:$C$7, MATCH(C78, {"Virginia","Florida","Texas","New York","California"}, 0)),
    0,
    IF(F78=0,
        0,
        F78 * Assumptions!$C$12
    )
)</f>
        <v>8.8541666666666661</v>
      </c>
      <c r="F78" s="62" cm="1">
        <f t="array" ref="F78">IF(B78&lt;INDEX(Assumptions!$C$3:$C$7, MATCH(C78, {"Virginia","Florida","Texas","New York","California"}, 0)),
    0,
    IF(C78=C77,
        F77 + D78,
        IF(COUNTIF($C$2:C78, C78) = 1, D78, LOOKUP(2, 1/(C$1:C77=C78), F$1:F77) + D78)
    )
)</f>
        <v>2125</v>
      </c>
      <c r="G78" s="62" cm="1">
        <f t="array" ref="G78">IF(B78&lt;INDEX(Assumptions!$C$3:$C$7, MATCH(C78, {"Virginia","Florida","Texas","New York","California"}, 0)),
    0,
    IF(C78=C77,
        G77 + D78 - E78,
        IF(COUNTIF($C$2:C78, C78) = 1, D78, LOOKUP(2, 1/(C$1:C77=C78), G$1:G77) + D78 - E78)
    )
)</f>
        <v>2072.6250000000005</v>
      </c>
      <c r="H78" s="63">
        <f>IF(B78&lt;INDEX(Assumptions!$C$3:$C$7, MATCH(C78, {"Virginia","Florida","Texas","New York","California"}, 0)),
    0,
    (G78 / INDEX(Assumptions!$C$15:$C$19, MATCH(C78, {"Virginia","Florida","Texas","New York","California"}, 0)))
)</f>
        <v>2.5907812500000005E-2</v>
      </c>
      <c r="I78" s="43">
        <f>G78*'Unit Economics'!$B$19* INDEX(Assumptions!$C$38:$C$42, MATCH(C78, {"Virginia","Florida","Texas","New York","California"}, 0))</f>
        <v>514018.04692500015</v>
      </c>
      <c r="J78" s="43">
        <f>D78*Assumptions!$C$21*INDEX(Assumptions!$C$38:$C$42,MATCH(C78,{"Virginia","Florida","Texas","New York","California"},0))</f>
        <v>83833.862999999998</v>
      </c>
      <c r="K78" s="43">
        <f>G78/Assumptions!$C$22*('Unit Economics'!$F$24+'Unit Economics'!$F$25+'Unit Economics'!$F$26)</f>
        <v>98830.684742647092</v>
      </c>
      <c r="L78" s="43">
        <f>D78*Assumptions!$C$29</f>
        <v>58830</v>
      </c>
      <c r="M78" s="35">
        <f>G78*Assumptions!$C$27</f>
        <v>0</v>
      </c>
      <c r="N78" s="35">
        <f>G78*Assumptions!$C$28</f>
        <v>0</v>
      </c>
      <c r="O78" s="64">
        <f>IF( COUNTIF($B$2:B78, B78) = 1, MIN( Assumptions!$C$34 + INT(SUMIF($B$2:$B78, B78, G$2:G78) / 1000) * Assumptions!$C$37, Assumptions!$C$36 ), 0 )</f>
        <v>0</v>
      </c>
      <c r="P78" s="53">
        <f t="shared" si="4"/>
        <v>637852.59466764727</v>
      </c>
      <c r="Q78" s="52">
        <f t="shared" si="5"/>
        <v>17437319.83759946</v>
      </c>
    </row>
    <row r="79" spans="1:17">
      <c r="A79" s="2">
        <f t="shared" si="3"/>
        <v>3</v>
      </c>
      <c r="B79" s="2">
        <v>30</v>
      </c>
      <c r="C79" s="2" t="s">
        <v>89</v>
      </c>
      <c r="D79" s="62">
        <f>IF(
    B79 &lt; INDEX(Assumptions!$C$3:$C$7, MATCH(C79, {"Virginia","Florida","Texas","New York","California"}, 0)),
    0,
    IF(
        B79 = INDEX(Assumptions!$C$3:$C$7, MATCH(C79, {"Virginia","Florida","Texas","New York","California"}, 0)),
        IF(C79 = "Virginia", Assumptions!$C$13, Assumptions!$C$14),
        ROUND(
            (INDEX(Assumptions!$C$15:$C$19, MATCH(C79, {"Virginia","Florida","Texas","New York","California"}, 0)) * Assumptions!$C$9 -
            SUMIF(C$2:C78, C79, D$2:D79)) /
            (1 + EXP(-0.2 * (B79 - INDEX(Assumptions!$C$3:$C$7, MATCH(C79, {"Virginia","Florida","Texas","New York","California"}, 0)) - 30))),
            0
        )
    )
)</f>
        <v>76</v>
      </c>
      <c r="E79" s="62">
        <f>IF(B79&lt;INDEX(Assumptions!$C$3:$C$7, MATCH(C79, {"Virginia","Florida","Texas","New York","California"}, 0)),
    0,
    IF(F79=0,
        0,
        F79 * Assumptions!$C$12
    )
)</f>
        <v>16.283333333333331</v>
      </c>
      <c r="F79" s="62" cm="1">
        <f t="array" ref="F79">IF(B79&lt;INDEX(Assumptions!$C$3:$C$7, MATCH(C79, {"Virginia","Florida","Texas","New York","California"}, 0)),
    0,
    IF(C79=C78,
        F78 + D79,
        IF(COUNTIF($C$2:C79, C79) = 1, D79, LOOKUP(2, 1/(C$1:C78=C79), F$1:F78) + D79)
    )
)</f>
        <v>3908</v>
      </c>
      <c r="G79" s="62" cm="1">
        <f t="array" ref="G79">IF(B79&lt;INDEX(Assumptions!$C$3:$C$7, MATCH(C79, {"Virginia","Florida","Texas","New York","California"}, 0)),
    0,
    IF(C79=C78,
        G78 + D79 - E79,
        IF(COUNTIF($C$2:C79, C79) = 1, D79, LOOKUP(2, 1/(C$1:C78=C79), G$1:G78) + D79 - E79)
    )
)</f>
        <v>3731.2916666666665</v>
      </c>
      <c r="H79" s="63">
        <f>IF(B79&lt;INDEX(Assumptions!$C$3:$C$7, MATCH(C79, {"Virginia","Florida","Texas","New York","California"}, 0)),
    0,
    (G79 / INDEX(Assumptions!$C$15:$C$19, MATCH(C79, {"Virginia","Florida","Texas","New York","California"}, 0)))
)</f>
        <v>7.4625833333333336E-2</v>
      </c>
      <c r="I79" s="43">
        <f>G79*'Unit Economics'!$B$19* INDEX(Assumptions!$C$38:$C$42, MATCH(C79, {"Virginia","Florida","Texas","New York","California"}, 0))</f>
        <v>898420.40749999997</v>
      </c>
      <c r="J79" s="43">
        <f>D79*Assumptions!$C$21*INDEX(Assumptions!$C$38:$C$42,MATCH(C79,{"Virginia","Florida","Texas","New York","California"},0))</f>
        <v>19452.2</v>
      </c>
      <c r="K79" s="43">
        <f>G79/Assumptions!$C$22*('Unit Economics'!$F$24+'Unit Economics'!$F$25+'Unit Economics'!$F$26)</f>
        <v>177922.25337009804</v>
      </c>
      <c r="L79" s="43">
        <f>D79*Assumptions!$C$29</f>
        <v>14060</v>
      </c>
      <c r="M79" s="35">
        <f>G79*Assumptions!$C$27</f>
        <v>0</v>
      </c>
      <c r="N79" s="35">
        <f>G79*Assumptions!$C$28</f>
        <v>0</v>
      </c>
      <c r="O79" s="64">
        <f>IF( COUNTIF($B$2:B79, B79) = 1, MIN( Assumptions!$C$34 + INT(SUMIF($B$2:$B79, B79, G$2:G79) / 1000) * Assumptions!$C$37, Assumptions!$C$36 ), 0 )</f>
        <v>0</v>
      </c>
      <c r="P79" s="53">
        <f t="shared" si="4"/>
        <v>1081734.860870098</v>
      </c>
      <c r="Q79" s="52">
        <f t="shared" si="5"/>
        <v>18519054.698469557</v>
      </c>
    </row>
    <row r="80" spans="1:17">
      <c r="A80" s="2">
        <f t="shared" si="3"/>
        <v>3</v>
      </c>
      <c r="B80" s="2">
        <v>31</v>
      </c>
      <c r="C80" s="2" t="s">
        <v>92</v>
      </c>
      <c r="D80" s="62">
        <f>IF(
    B80 &lt; INDEX(Assumptions!$C$3:$C$7, MATCH(C80, {"Virginia","Florida","Texas","New York","California"}, 0)),
    0,
    IF(
        B80 = INDEX(Assumptions!$C$3:$C$7, MATCH(C80, {"Virginia","Florida","Texas","New York","California"}, 0)),
        IF(C80 = "Virginia", Assumptions!$C$13, Assumptions!$C$14),
        ROUND(
            (INDEX(Assumptions!$C$15:$C$19, MATCH(C80, {"Virginia","Florida","Texas","New York","California"}, 0)) * Assumptions!$C$9 -
            SUMIF(C$2:C79, C80, D$2:D80)) /
            (1 + EXP(-0.2 * (B80 - INDEX(Assumptions!$C$3:$C$7, MATCH(C80, {"Virginia","Florida","Texas","New York","California"}, 0)) - 30))),
            0
        )
    )
)</f>
        <v>37</v>
      </c>
      <c r="E80" s="62">
        <f>IF(B80&lt;INDEX(Assumptions!$C$3:$C$7, MATCH(C80, {"Virginia","Florida","Texas","New York","California"}, 0)),
    0,
    IF(F80=0,
        0,
        F80 * Assumptions!$C$12
    )
)</f>
        <v>1.0249999999999999</v>
      </c>
      <c r="F80" s="62" cm="1">
        <f t="array" ref="F80">IF(B80&lt;INDEX(Assumptions!$C$3:$C$7, MATCH(C80, {"Virginia","Florida","Texas","New York","California"}, 0)),
    0,
    IF(C80=C79,
        F79 + D80,
        IF(COUNTIF($C$2:C80, C80) = 1, D80, LOOKUP(2, 1/(C$1:C79=C80), F$1:F79) + D80)
    )
)</f>
        <v>246</v>
      </c>
      <c r="G80" s="62" cm="1">
        <f t="array" ref="G80">IF(B80&lt;INDEX(Assumptions!$C$3:$C$7, MATCH(C80, {"Virginia","Florida","Texas","New York","California"}, 0)),
    0,
    IF(C80=C79,
        G79 + D80 - E80,
        IF(COUNTIF($C$2:C80, C80) = 1, D80, LOOKUP(2, 1/(C$1:C79=C80), G$1:G79) + D80 - E80)
    )
)</f>
        <v>241.70833333333334</v>
      </c>
      <c r="H80" s="63">
        <f>IF(B80&lt;INDEX(Assumptions!$C$3:$C$7, MATCH(C80, {"Virginia","Florida","Texas","New York","California"}, 0)),
    0,
    (G80 / INDEX(Assumptions!$C$15:$C$19, MATCH(C80, {"Virginia","Florida","Texas","New York","California"}, 0)))
)</f>
        <v>4.0284722222222224E-3</v>
      </c>
      <c r="I80" s="43">
        <f>G80*'Unit Economics'!$B$19* INDEX(Assumptions!$C$38:$C$42, MATCH(C80, {"Virginia","Florida","Texas","New York","California"}, 0))</f>
        <v>62854.415100000006</v>
      </c>
      <c r="J80" s="43">
        <f>D80*Assumptions!$C$21*INDEX(Assumptions!$C$38:$C$42,MATCH(C80,{"Virginia","Florida","Texas","New York","California"},0))</f>
        <v>10227.762000000001</v>
      </c>
      <c r="K80" s="43">
        <f>G80/Assumptions!$C$22*('Unit Economics'!$F$24+'Unit Economics'!$F$25+'Unit Economics'!$F$26)</f>
        <v>11525.577512254904</v>
      </c>
      <c r="L80" s="43">
        <f>D80*Assumptions!$C$29</f>
        <v>6845</v>
      </c>
      <c r="M80" s="35">
        <f>G80*Assumptions!$C$27</f>
        <v>0</v>
      </c>
      <c r="N80" s="35">
        <f>G80*Assumptions!$C$28</f>
        <v>0</v>
      </c>
      <c r="O80" s="64">
        <f>IF( COUNTIF($B$2:B80, B80) = 1, MIN( Assumptions!$C$34 + INT(SUMIF($B$2:$B80, B80, G$2:G80) / 1000) * Assumptions!$C$37, Assumptions!$C$36 ), 0 )</f>
        <v>60000</v>
      </c>
      <c r="P80" s="53">
        <f t="shared" si="4"/>
        <v>17762.75461225491</v>
      </c>
      <c r="Q80" s="52">
        <f t="shared" si="5"/>
        <v>18536817.453081813</v>
      </c>
    </row>
    <row r="81" spans="1:17">
      <c r="A81" s="2">
        <f t="shared" si="3"/>
        <v>3</v>
      </c>
      <c r="B81" s="2">
        <v>31</v>
      </c>
      <c r="C81" s="2" t="s">
        <v>93</v>
      </c>
      <c r="D81" s="62">
        <f>IF(
    B81 &lt; INDEX(Assumptions!$C$3:$C$7, MATCH(C81, {"Virginia","Florida","Texas","New York","California"}, 0)),
    0,
    IF(
        B81 = INDEX(Assumptions!$C$3:$C$7, MATCH(C81, {"Virginia","Florida","Texas","New York","California"}, 0)),
        IF(C81 = "Virginia", Assumptions!$C$13, Assumptions!$C$14),
        ROUND(
            (INDEX(Assumptions!$C$15:$C$19, MATCH(C81, {"Virginia","Florida","Texas","New York","California"}, 0)) * Assumptions!$C$9 -
            SUMIF(C$2:C80, C81, D$2:D81)) /
            (1 + EXP(-0.2 * (B81 - INDEX(Assumptions!$C$3:$C$7, MATCH(C81, {"Virginia","Florida","Texas","New York","California"}, 0)) - 30))),
            0
        )
    )
)</f>
        <v>57</v>
      </c>
      <c r="E81" s="62">
        <f>IF(B81&lt;INDEX(Assumptions!$C$3:$C$7, MATCH(C81, {"Virginia","Florida","Texas","New York","California"}, 0)),
    0,
    IF(F81=0,
        0,
        F81 * Assumptions!$C$12
    )
)</f>
        <v>1.3416666666666666</v>
      </c>
      <c r="F81" s="62" cm="1">
        <f t="array" ref="F81">IF(B81&lt;INDEX(Assumptions!$C$3:$C$7, MATCH(C81, {"Virginia","Florida","Texas","New York","California"}, 0)),
    0,
    IF(C81=C80,
        F80 + D81,
        IF(COUNTIF($C$2:C81, C81) = 1, D81, LOOKUP(2, 1/(C$1:C80=C81), F$1:F80) + D81)
    )
)</f>
        <v>322</v>
      </c>
      <c r="G81" s="62" cm="1">
        <f t="array" ref="G81">IF(B81&lt;INDEX(Assumptions!$C$3:$C$7, MATCH(C81, {"Virginia","Florida","Texas","New York","California"}, 0)),
    0,
    IF(C81=C80,
        G80 + D81 - E81,
        IF(COUNTIF($C$2:C81, C81) = 1, D81, LOOKUP(2, 1/(C$1:C80=C81), G$1:G80) + D81 - E81)
    )
)</f>
        <v>316.7833333333333</v>
      </c>
      <c r="H81" s="63">
        <f>IF(B81&lt;INDEX(Assumptions!$C$3:$C$7, MATCH(C81, {"Virginia","Florida","Texas","New York","California"}, 0)),
    0,
    (G81 / INDEX(Assumptions!$C$15:$C$19, MATCH(C81, {"Virginia","Florida","Texas","New York","California"}, 0)))
)</f>
        <v>3.5198148148148146E-3</v>
      </c>
      <c r="I81" s="43">
        <f>G81*'Unit Economics'!$B$19* INDEX(Assumptions!$C$38:$C$42, MATCH(C81, {"Virginia","Florida","Texas","New York","California"}, 0))</f>
        <v>83902.600099999996</v>
      </c>
      <c r="J81" s="43">
        <f>D81*Assumptions!$C$21*INDEX(Assumptions!$C$38:$C$42,MATCH(C81,{"Virginia","Florida","Texas","New York","California"},0))</f>
        <v>16048.065000000001</v>
      </c>
      <c r="K81" s="43">
        <f>G81/Assumptions!$C$22*('Unit Economics'!$F$24+'Unit Economics'!$F$25+'Unit Economics'!$F$26)</f>
        <v>15105.440563725489</v>
      </c>
      <c r="L81" s="43">
        <f>D81*Assumptions!$C$29</f>
        <v>10545</v>
      </c>
      <c r="M81" s="35">
        <f>G81*Assumptions!$C$27</f>
        <v>0</v>
      </c>
      <c r="N81" s="35">
        <f>G81*Assumptions!$C$28</f>
        <v>0</v>
      </c>
      <c r="O81" s="64">
        <f>IF( COUNTIF($B$2:B81, B81) = 1, MIN( Assumptions!$C$34 + INT(SUMIF($B$2:$B81, B81, G$2:G81) / 1000) * Assumptions!$C$37, Assumptions!$C$36 ), 0 )</f>
        <v>0</v>
      </c>
      <c r="P81" s="53">
        <f t="shared" si="4"/>
        <v>104511.1056637255</v>
      </c>
      <c r="Q81" s="52">
        <f t="shared" si="5"/>
        <v>18641328.558745537</v>
      </c>
    </row>
    <row r="82" spans="1:17">
      <c r="A82" s="2">
        <f t="shared" si="3"/>
        <v>3</v>
      </c>
      <c r="B82" s="2">
        <v>31</v>
      </c>
      <c r="C82" s="2" t="s">
        <v>90</v>
      </c>
      <c r="D82" s="62">
        <f>IF(
    B82 &lt; INDEX(Assumptions!$C$3:$C$7, MATCH(C82, {"Virginia","Florida","Texas","New York","California"}, 0)),
    0,
    IF(
        B82 = INDEX(Assumptions!$C$3:$C$7, MATCH(C82, {"Virginia","Florida","Texas","New York","California"}, 0)),
        IF(C82 = "Virginia", Assumptions!$C$13, Assumptions!$C$14),
        ROUND(
            (INDEX(Assumptions!$C$15:$C$19, MATCH(C82, {"Virginia","Florida","Texas","New York","California"}, 0)) * Assumptions!$C$9 -
            SUMIF(C$2:C81, C82, D$2:D82)) /
            (1 + EXP(-0.2 * (B82 - INDEX(Assumptions!$C$3:$C$7, MATCH(C82, {"Virginia","Florida","Texas","New York","California"}, 0)) - 30))),
            0
        )
    )
)</f>
        <v>310</v>
      </c>
      <c r="E82" s="62">
        <f>IF(B82&lt;INDEX(Assumptions!$C$3:$C$7, MATCH(C82, {"Virginia","Florida","Texas","New York","California"}, 0)),
    0,
    IF(F82=0,
        0,
        F82 * Assumptions!$C$12
    )
)</f>
        <v>9.0791666666666657</v>
      </c>
      <c r="F82" s="62" cm="1">
        <f t="array" ref="F82">IF(B82&lt;INDEX(Assumptions!$C$3:$C$7, MATCH(C82, {"Virginia","Florida","Texas","New York","California"}, 0)),
    0,
    IF(C82=C81,
        F81 + D82,
        IF(COUNTIF($C$2:C82, C82) = 1, D82, LOOKUP(2, 1/(C$1:C81=C82), F$1:F81) + D82)
    )
)</f>
        <v>2179</v>
      </c>
      <c r="G82" s="62" cm="1">
        <f t="array" ref="G82">IF(B82&lt;INDEX(Assumptions!$C$3:$C$7, MATCH(C82, {"Virginia","Florida","Texas","New York","California"}, 0)),
    0,
    IF(C82=C81,
        G81 + D82 - E82,
        IF(COUNTIF($C$2:C82, C82) = 1, D82, LOOKUP(2, 1/(C$1:C81=C82), G$1:G81) + D82 - E82)
    )
)</f>
        <v>2123.2041666666669</v>
      </c>
      <c r="H82" s="63">
        <f>IF(B82&lt;INDEX(Assumptions!$C$3:$C$7, MATCH(C82, {"Virginia","Florida","Texas","New York","California"}, 0)),
    0,
    (G82 / INDEX(Assumptions!$C$15:$C$19, MATCH(C82, {"Virginia","Florida","Texas","New York","California"}, 0)))
)</f>
        <v>3.0331488095238099E-2</v>
      </c>
      <c r="I82" s="43">
        <f>G82*'Unit Economics'!$B$19* INDEX(Assumptions!$C$38:$C$42, MATCH(C82, {"Virginia","Florida","Texas","New York","California"}, 0))</f>
        <v>536786.35421250004</v>
      </c>
      <c r="J82" s="43">
        <f>D82*Assumptions!$C$21*INDEX(Assumptions!$C$38:$C$42,MATCH(C82,{"Virginia","Florida","Texas","New York","California"},0))</f>
        <v>83311.725000000006</v>
      </c>
      <c r="K82" s="43">
        <f>G82/Assumptions!$C$22*('Unit Economics'!$F$24+'Unit Economics'!$F$25+'Unit Economics'!$F$26)</f>
        <v>101242.49280024512</v>
      </c>
      <c r="L82" s="43">
        <f>D82*Assumptions!$C$29</f>
        <v>57350</v>
      </c>
      <c r="M82" s="35">
        <f>G82*Assumptions!$C$27</f>
        <v>0</v>
      </c>
      <c r="N82" s="35">
        <f>G82*Assumptions!$C$28</f>
        <v>0</v>
      </c>
      <c r="O82" s="64">
        <f>IF( COUNTIF($B$2:B82, B82) = 1, MIN( Assumptions!$C$34 + INT(SUMIF($B$2:$B82, B82, G$2:G82) / 1000) * Assumptions!$C$37, Assumptions!$C$36 ), 0 )</f>
        <v>0</v>
      </c>
      <c r="P82" s="53">
        <f t="shared" si="4"/>
        <v>663990.57201274508</v>
      </c>
      <c r="Q82" s="52">
        <f t="shared" si="5"/>
        <v>19305319.130758282</v>
      </c>
    </row>
    <row r="83" spans="1:17">
      <c r="A83" s="2">
        <f t="shared" si="3"/>
        <v>3</v>
      </c>
      <c r="B83" s="2">
        <v>31</v>
      </c>
      <c r="C83" s="2" t="s">
        <v>91</v>
      </c>
      <c r="D83" s="62">
        <f>IF(
    B83 &lt; INDEX(Assumptions!$C$3:$C$7, MATCH(C83, {"Virginia","Florida","Texas","New York","California"}, 0)),
    0,
    IF(
        B83 = INDEX(Assumptions!$C$3:$C$7, MATCH(C83, {"Virginia","Florida","Texas","New York","California"}, 0)),
        IF(C83 = "Virginia", Assumptions!$C$13, Assumptions!$C$14),
        ROUND(
            (INDEX(Assumptions!$C$15:$C$19, MATCH(C83, {"Virginia","Florida","Texas","New York","California"}, 0)) * Assumptions!$C$9 -
            SUMIF(C$2:C82, C83, D$2:D83)) /
            (1 + EXP(-0.2 * (B83 - INDEX(Assumptions!$C$3:$C$7, MATCH(C83, {"Virginia","Florida","Texas","New York","California"}, 0)) - 30))),
            0
        )
    )
)</f>
        <v>356</v>
      </c>
      <c r="E83" s="62">
        <f>IF(B83&lt;INDEX(Assumptions!$C$3:$C$7, MATCH(C83, {"Virginia","Florida","Texas","New York","California"}, 0)),
    0,
    IF(F83=0,
        0,
        F83 * Assumptions!$C$12
    )
)</f>
        <v>10.3375</v>
      </c>
      <c r="F83" s="62" cm="1">
        <f t="array" ref="F83">IF(B83&lt;INDEX(Assumptions!$C$3:$C$7, MATCH(C83, {"Virginia","Florida","Texas","New York","California"}, 0)),
    0,
    IF(C83=C82,
        F82 + D83,
        IF(COUNTIF($C$2:C83, C83) = 1, D83, LOOKUP(2, 1/(C$1:C82=C83), F$1:F82) + D83)
    )
)</f>
        <v>2481</v>
      </c>
      <c r="G83" s="62" cm="1">
        <f t="array" ref="G83">IF(B83&lt;INDEX(Assumptions!$C$3:$C$7, MATCH(C83, {"Virginia","Florida","Texas","New York","California"}, 0)),
    0,
    IF(C83=C82,
        G82 + D83 - E83,
        IF(COUNTIF($C$2:C83, C83) = 1, D83, LOOKUP(2, 1/(C$1:C82=C83), G$1:G82) + D83 - E83)
    )
)</f>
        <v>2418.2875000000004</v>
      </c>
      <c r="H83" s="63">
        <f>IF(B83&lt;INDEX(Assumptions!$C$3:$C$7, MATCH(C83, {"Virginia","Florida","Texas","New York","California"}, 0)),
    0,
    (G83 / INDEX(Assumptions!$C$15:$C$19, MATCH(C83, {"Virginia","Florida","Texas","New York","California"}, 0)))
)</f>
        <v>3.0228593750000005E-2</v>
      </c>
      <c r="I83" s="43">
        <f>G83*'Unit Economics'!$B$19* INDEX(Assumptions!$C$38:$C$42, MATCH(C83, {"Virginia","Florida","Texas","New York","California"}, 0))</f>
        <v>599743.52217750018</v>
      </c>
      <c r="J83" s="43">
        <f>D83*Assumptions!$C$21*INDEX(Assumptions!$C$38:$C$42,MATCH(C83,{"Virginia","Florida","Texas","New York","California"},0))</f>
        <v>93851.745999999999</v>
      </c>
      <c r="K83" s="43">
        <f>G83/Assumptions!$C$22*('Unit Economics'!$F$24+'Unit Economics'!$F$25+'Unit Economics'!$F$26)</f>
        <v>115313.19439338238</v>
      </c>
      <c r="L83" s="43">
        <f>D83*Assumptions!$C$29</f>
        <v>65860</v>
      </c>
      <c r="M83" s="35">
        <f>G83*Assumptions!$C$27</f>
        <v>0</v>
      </c>
      <c r="N83" s="35">
        <f>G83*Assumptions!$C$28</f>
        <v>0</v>
      </c>
      <c r="O83" s="64">
        <f>IF( COUNTIF($B$2:B83, B83) = 1, MIN( Assumptions!$C$34 + INT(SUMIF($B$2:$B83, B83, G$2:G83) / 1000) * Assumptions!$C$37, Assumptions!$C$36 ), 0 )</f>
        <v>0</v>
      </c>
      <c r="P83" s="53">
        <f t="shared" si="4"/>
        <v>743048.46257088264</v>
      </c>
      <c r="Q83" s="52">
        <f t="shared" si="5"/>
        <v>20048367.593329165</v>
      </c>
    </row>
    <row r="84" spans="1:17">
      <c r="A84" s="2">
        <f t="shared" si="3"/>
        <v>3</v>
      </c>
      <c r="B84" s="2">
        <v>31</v>
      </c>
      <c r="C84" s="2" t="s">
        <v>89</v>
      </c>
      <c r="D84" s="62">
        <f>IF(
    B84 &lt; INDEX(Assumptions!$C$3:$C$7, MATCH(C84, {"Virginia","Florida","Texas","New York","California"}, 0)),
    0,
    IF(
        B84 = INDEX(Assumptions!$C$3:$C$7, MATCH(C84, {"Virginia","Florida","Texas","New York","California"}, 0)),
        IF(C84 = "Virginia", Assumptions!$C$13, Assumptions!$C$14),
        ROUND(
            (INDEX(Assumptions!$C$15:$C$19, MATCH(C84, {"Virginia","Florida","Texas","New York","California"}, 0)) * Assumptions!$C$9 -
            SUMIF(C$2:C83, C84, D$2:D84)) /
            (1 + EXP(-0.2 * (B84 - INDEX(Assumptions!$C$3:$C$7, MATCH(C84, {"Virginia","Florida","Texas","New York","California"}, 0)) - 30))),
            0
        )
    )
)</f>
        <v>46</v>
      </c>
      <c r="E84" s="62">
        <f>IF(B84&lt;INDEX(Assumptions!$C$3:$C$7, MATCH(C84, {"Virginia","Florida","Texas","New York","California"}, 0)),
    0,
    IF(F84=0,
        0,
        F84 * Assumptions!$C$12
    )
)</f>
        <v>16.475000000000001</v>
      </c>
      <c r="F84" s="62" cm="1">
        <f t="array" ref="F84">IF(B84&lt;INDEX(Assumptions!$C$3:$C$7, MATCH(C84, {"Virginia","Florida","Texas","New York","California"}, 0)),
    0,
    IF(C84=C83,
        F83 + D84,
        IF(COUNTIF($C$2:C84, C84) = 1, D84, LOOKUP(2, 1/(C$1:C83=C84), F$1:F83) + D84)
    )
)</f>
        <v>3954</v>
      </c>
      <c r="G84" s="62" cm="1">
        <f t="array" ref="G84">IF(B84&lt;INDEX(Assumptions!$C$3:$C$7, MATCH(C84, {"Virginia","Florida","Texas","New York","California"}, 0)),
    0,
    IF(C84=C83,
        G83 + D84 - E84,
        IF(COUNTIF($C$2:C84, C84) = 1, D84, LOOKUP(2, 1/(C$1:C83=C84), G$1:G83) + D84 - E84)
    )
)</f>
        <v>3760.8166666666666</v>
      </c>
      <c r="H84" s="63">
        <f>IF(B84&lt;INDEX(Assumptions!$C$3:$C$7, MATCH(C84, {"Virginia","Florida","Texas","New York","California"}, 0)),
    0,
    (G84 / INDEX(Assumptions!$C$15:$C$19, MATCH(C84, {"Virginia","Florida","Texas","New York","California"}, 0)))
)</f>
        <v>7.5216333333333329E-2</v>
      </c>
      <c r="I84" s="43">
        <f>G84*'Unit Economics'!$B$19* INDEX(Assumptions!$C$38:$C$42, MATCH(C84, {"Virginia","Florida","Texas","New York","California"}, 0))</f>
        <v>905529.43700000003</v>
      </c>
      <c r="J84" s="43">
        <f>D84*Assumptions!$C$21*INDEX(Assumptions!$C$38:$C$42,MATCH(C84,{"Virginia","Florida","Texas","New York","California"},0))</f>
        <v>11773.699999999999</v>
      </c>
      <c r="K84" s="43">
        <f>G84/Assumptions!$C$22*('Unit Economics'!$F$24+'Unit Economics'!$F$25+'Unit Economics'!$F$26)</f>
        <v>179330.11825980394</v>
      </c>
      <c r="L84" s="43">
        <f>D84*Assumptions!$C$29</f>
        <v>8510</v>
      </c>
      <c r="M84" s="35">
        <f>G84*Assumptions!$C$27</f>
        <v>0</v>
      </c>
      <c r="N84" s="35">
        <f>G84*Assumptions!$C$28</f>
        <v>0</v>
      </c>
      <c r="O84" s="64">
        <f>IF( COUNTIF($B$2:B84, B84) = 1, MIN( Assumptions!$C$34 + INT(SUMIF($B$2:$B84, B84, G$2:G84) / 1000) * Assumptions!$C$37, Assumptions!$C$36 ), 0 )</f>
        <v>0</v>
      </c>
      <c r="P84" s="53">
        <f t="shared" si="4"/>
        <v>1088123.255259804</v>
      </c>
      <c r="Q84" s="52">
        <f t="shared" si="5"/>
        <v>21136490.84858897</v>
      </c>
    </row>
    <row r="85" spans="1:17">
      <c r="A85" s="2">
        <f t="shared" si="3"/>
        <v>3</v>
      </c>
      <c r="B85" s="2">
        <v>32</v>
      </c>
      <c r="C85" s="2" t="s">
        <v>92</v>
      </c>
      <c r="D85" s="62">
        <f>IF(
    B85 &lt; INDEX(Assumptions!$C$3:$C$7, MATCH(C85, {"Virginia","Florida","Texas","New York","California"}, 0)),
    0,
    IF(
        B85 = INDEX(Assumptions!$C$3:$C$7, MATCH(C85, {"Virginia","Florida","Texas","New York","California"}, 0)),
        IF(C85 = "Virginia", Assumptions!$C$13, Assumptions!$C$14),
        ROUND(
            (INDEX(Assumptions!$C$15:$C$19, MATCH(C85, {"Virginia","Florida","Texas","New York","California"}, 0)) * Assumptions!$C$9 -
            SUMIF(C$2:C84, C85, D$2:D85)) /
            (1 + EXP(-0.2 * (B85 - INDEX(Assumptions!$C$3:$C$7, MATCH(C85, {"Virginia","Florida","Texas","New York","California"}, 0)) - 30))),
            0
        )
    )
)</f>
        <v>45</v>
      </c>
      <c r="E85" s="62">
        <f>IF(B85&lt;INDEX(Assumptions!$C$3:$C$7, MATCH(C85, {"Virginia","Florida","Texas","New York","California"}, 0)),
    0,
    IF(F85=0,
        0,
        F85 * Assumptions!$C$12
    )
)</f>
        <v>1.2124999999999999</v>
      </c>
      <c r="F85" s="62" cm="1">
        <f t="array" ref="F85">IF(B85&lt;INDEX(Assumptions!$C$3:$C$7, MATCH(C85, {"Virginia","Florida","Texas","New York","California"}, 0)),
    0,
    IF(C85=C84,
        F84 + D85,
        IF(COUNTIF($C$2:C85, C85) = 1, D85, LOOKUP(2, 1/(C$1:C84=C85), F$1:F84) + D85)
    )
)</f>
        <v>291</v>
      </c>
      <c r="G85" s="62" cm="1">
        <f t="array" ref="G85">IF(B85&lt;INDEX(Assumptions!$C$3:$C$7, MATCH(C85, {"Virginia","Florida","Texas","New York","California"}, 0)),
    0,
    IF(C85=C84,
        G84 + D85 - E85,
        IF(COUNTIF($C$2:C85, C85) = 1, D85, LOOKUP(2, 1/(C$1:C84=C85), G$1:G84) + D85 - E85)
    )
)</f>
        <v>285.49583333333339</v>
      </c>
      <c r="H85" s="63">
        <f>IF(B85&lt;INDEX(Assumptions!$C$3:$C$7, MATCH(C85, {"Virginia","Florida","Texas","New York","California"}, 0)),
    0,
    (G85 / INDEX(Assumptions!$C$15:$C$19, MATCH(C85, {"Virginia","Florida","Texas","New York","California"}, 0)))
)</f>
        <v>4.75826388888889E-3</v>
      </c>
      <c r="I85" s="43">
        <f>G85*'Unit Economics'!$B$19* INDEX(Assumptions!$C$38:$C$42, MATCH(C85, {"Virginia","Florida","Texas","New York","California"}, 0))</f>
        <v>74241.021690000009</v>
      </c>
      <c r="J85" s="43">
        <f>D85*Assumptions!$C$21*INDEX(Assumptions!$C$38:$C$42,MATCH(C85,{"Virginia","Florida","Texas","New York","California"},0))</f>
        <v>12439.17</v>
      </c>
      <c r="K85" s="43">
        <f>G85/Assumptions!$C$22*('Unit Economics'!$F$24+'Unit Economics'!$F$25+'Unit Economics'!$F$26)</f>
        <v>13613.532935049023</v>
      </c>
      <c r="L85" s="43">
        <f>D85*Assumptions!$C$29</f>
        <v>8325</v>
      </c>
      <c r="M85" s="35">
        <f>G85*Assumptions!$C$27</f>
        <v>0</v>
      </c>
      <c r="N85" s="35">
        <f>G85*Assumptions!$C$28</f>
        <v>0</v>
      </c>
      <c r="O85" s="64">
        <f>IF( COUNTIF($B$2:B85, B85) = 1, MIN( Assumptions!$C$34 + INT(SUMIF($B$2:$B85, B85, G$2:G85) / 1000) * Assumptions!$C$37, Assumptions!$C$36 ), 0 )</f>
        <v>60000</v>
      </c>
      <c r="P85" s="53">
        <f t="shared" si="4"/>
        <v>31968.724625049028</v>
      </c>
      <c r="Q85" s="52">
        <f t="shared" si="5"/>
        <v>21168459.573214017</v>
      </c>
    </row>
    <row r="86" spans="1:17">
      <c r="A86" s="2">
        <f t="shared" si="3"/>
        <v>3</v>
      </c>
      <c r="B86" s="2">
        <v>32</v>
      </c>
      <c r="C86" s="2" t="s">
        <v>93</v>
      </c>
      <c r="D86" s="62">
        <f>IF(
    B86 &lt; INDEX(Assumptions!$C$3:$C$7, MATCH(C86, {"Virginia","Florida","Texas","New York","California"}, 0)),
    0,
    IF(
        B86 = INDEX(Assumptions!$C$3:$C$7, MATCH(C86, {"Virginia","Florida","Texas","New York","California"}, 0)),
        IF(C86 = "Virginia", Assumptions!$C$13, Assumptions!$C$14),
        ROUND(
            (INDEX(Assumptions!$C$15:$C$19, MATCH(C86, {"Virginia","Florida","Texas","New York","California"}, 0)) * Assumptions!$C$9 -
            SUMIF(C$2:C85, C86, D$2:D86)) /
            (1 + EXP(-0.2 * (B86 - INDEX(Assumptions!$C$3:$C$7, MATCH(C86, {"Virginia","Florida","Texas","New York","California"}, 0)) - 30))),
            0
        )
    )
)</f>
        <v>68</v>
      </c>
      <c r="E86" s="62">
        <f>IF(B86&lt;INDEX(Assumptions!$C$3:$C$7, MATCH(C86, {"Virginia","Florida","Texas","New York","California"}, 0)),
    0,
    IF(F86=0,
        0,
        F86 * Assumptions!$C$12
    )
)</f>
        <v>1.625</v>
      </c>
      <c r="F86" s="62" cm="1">
        <f t="array" ref="F86">IF(B86&lt;INDEX(Assumptions!$C$3:$C$7, MATCH(C86, {"Virginia","Florida","Texas","New York","California"}, 0)),
    0,
    IF(C86=C85,
        F85 + D86,
        IF(COUNTIF($C$2:C86, C86) = 1, D86, LOOKUP(2, 1/(C$1:C85=C86), F$1:F85) + D86)
    )
)</f>
        <v>390</v>
      </c>
      <c r="G86" s="62" cm="1">
        <f t="array" ref="G86">IF(B86&lt;INDEX(Assumptions!$C$3:$C$7, MATCH(C86, {"Virginia","Florida","Texas","New York","California"}, 0)),
    0,
    IF(C86=C85,
        G85 + D86 - E86,
        IF(COUNTIF($C$2:C86, C86) = 1, D86, LOOKUP(2, 1/(C$1:C85=C86), G$1:G85) + D86 - E86)
    )
)</f>
        <v>383.1583333333333</v>
      </c>
      <c r="H86" s="63">
        <f>IF(B86&lt;INDEX(Assumptions!$C$3:$C$7, MATCH(C86, {"Virginia","Florida","Texas","New York","California"}, 0)),
    0,
    (G86 / INDEX(Assumptions!$C$15:$C$19, MATCH(C86, {"Virginia","Florida","Texas","New York","California"}, 0)))
)</f>
        <v>4.2573148148148145E-3</v>
      </c>
      <c r="I86" s="43">
        <f>G86*'Unit Economics'!$B$19* INDEX(Assumptions!$C$38:$C$42, MATCH(C86, {"Virginia","Florida","Texas","New York","California"}, 0))</f>
        <v>101482.54985</v>
      </c>
      <c r="J86" s="43">
        <f>D86*Assumptions!$C$21*INDEX(Assumptions!$C$38:$C$42,MATCH(C86,{"Virginia","Florida","Texas","New York","California"},0))</f>
        <v>19145.060000000001</v>
      </c>
      <c r="K86" s="43">
        <f>G86/Assumptions!$C$22*('Unit Economics'!$F$24+'Unit Economics'!$F$25+'Unit Economics'!$F$26)</f>
        <v>18270.454350490196</v>
      </c>
      <c r="L86" s="43">
        <f>D86*Assumptions!$C$29</f>
        <v>12580</v>
      </c>
      <c r="M86" s="35">
        <f>G86*Assumptions!$C$27</f>
        <v>0</v>
      </c>
      <c r="N86" s="35">
        <f>G86*Assumptions!$C$28</f>
        <v>0</v>
      </c>
      <c r="O86" s="64">
        <f>IF( COUNTIF($B$2:B86, B86) = 1, MIN( Assumptions!$C$34 + INT(SUMIF($B$2:$B86, B86, G$2:G86) / 1000) * Assumptions!$C$37, Assumptions!$C$36 ), 0 )</f>
        <v>0</v>
      </c>
      <c r="P86" s="53">
        <f t="shared" si="4"/>
        <v>126318.06420049019</v>
      </c>
      <c r="Q86" s="52">
        <f t="shared" si="5"/>
        <v>21294777.637414508</v>
      </c>
    </row>
    <row r="87" spans="1:17">
      <c r="A87" s="2">
        <f t="shared" si="3"/>
        <v>3</v>
      </c>
      <c r="B87" s="2">
        <v>32</v>
      </c>
      <c r="C87" s="2" t="s">
        <v>90</v>
      </c>
      <c r="D87" s="62">
        <f>IF(
    B87 &lt; INDEX(Assumptions!$C$3:$C$7, MATCH(C87, {"Virginia","Florida","Texas","New York","California"}, 0)),
    0,
    IF(
        B87 = INDEX(Assumptions!$C$3:$C$7, MATCH(C87, {"Virginia","Florida","Texas","New York","California"}, 0)),
        IF(C87 = "Virginia", Assumptions!$C$13, Assumptions!$C$14),
        ROUND(
            (INDEX(Assumptions!$C$15:$C$19, MATCH(C87, {"Virginia","Florida","Texas","New York","California"}, 0)) * Assumptions!$C$9 -
            SUMIF(C$2:C86, C87, D$2:D87)) /
            (1 + EXP(-0.2 * (B87 - INDEX(Assumptions!$C$3:$C$7, MATCH(C87, {"Virginia","Florida","Texas","New York","California"}, 0)) - 30))),
            0
        )
    )
)</f>
        <v>341</v>
      </c>
      <c r="E87" s="62">
        <f>IF(B87&lt;INDEX(Assumptions!$C$3:$C$7, MATCH(C87, {"Virginia","Florida","Texas","New York","California"}, 0)),
    0,
    IF(F87=0,
        0,
        F87 * Assumptions!$C$12
    )
)</f>
        <v>10.5</v>
      </c>
      <c r="F87" s="62" cm="1">
        <f t="array" ref="F87">IF(B87&lt;INDEX(Assumptions!$C$3:$C$7, MATCH(C87, {"Virginia","Florida","Texas","New York","California"}, 0)),
    0,
    IF(C87=C86,
        F86 + D87,
        IF(COUNTIF($C$2:C87, C87) = 1, D87, LOOKUP(2, 1/(C$1:C86=C87), F$1:F86) + D87)
    )
)</f>
        <v>2520</v>
      </c>
      <c r="G87" s="62" cm="1">
        <f t="array" ref="G87">IF(B87&lt;INDEX(Assumptions!$C$3:$C$7, MATCH(C87, {"Virginia","Florida","Texas","New York","California"}, 0)),
    0,
    IF(C87=C86,
        G86 + D87 - E87,
        IF(COUNTIF($C$2:C87, C87) = 1, D87, LOOKUP(2, 1/(C$1:C86=C87), G$1:G86) + D87 - E87)
    )
)</f>
        <v>2453.7041666666669</v>
      </c>
      <c r="H87" s="63">
        <f>IF(B87&lt;INDEX(Assumptions!$C$3:$C$7, MATCH(C87, {"Virginia","Florida","Texas","New York","California"}, 0)),
    0,
    (G87 / INDEX(Assumptions!$C$15:$C$19, MATCH(C87, {"Virginia","Florida","Texas","New York","California"}, 0)))
)</f>
        <v>3.505291666666667E-2</v>
      </c>
      <c r="I87" s="43">
        <f>G87*'Unit Economics'!$B$19* INDEX(Assumptions!$C$38:$C$42, MATCH(C87, {"Virginia","Florida","Texas","New York","California"}, 0))</f>
        <v>620343.03371250001</v>
      </c>
      <c r="J87" s="43">
        <f>D87*Assumptions!$C$21*INDEX(Assumptions!$C$38:$C$42,MATCH(C87,{"Virginia","Florida","Texas","New York","California"},0))</f>
        <v>91642.897500000006</v>
      </c>
      <c r="K87" s="43">
        <f>G87/Assumptions!$C$22*('Unit Economics'!$F$24+'Unit Economics'!$F$25+'Unit Economics'!$F$26)</f>
        <v>117001.99647671571</v>
      </c>
      <c r="L87" s="43">
        <f>D87*Assumptions!$C$29</f>
        <v>63085</v>
      </c>
      <c r="M87" s="35">
        <f>G87*Assumptions!$C$27</f>
        <v>0</v>
      </c>
      <c r="N87" s="35">
        <f>G87*Assumptions!$C$28</f>
        <v>0</v>
      </c>
      <c r="O87" s="64">
        <f>IF( COUNTIF($B$2:B87, B87) = 1, MIN( Assumptions!$C$34 + INT(SUMIF($B$2:$B87, B87, G$2:G87) / 1000) * Assumptions!$C$37, Assumptions!$C$36 ), 0 )</f>
        <v>0</v>
      </c>
      <c r="P87" s="53">
        <f t="shared" si="4"/>
        <v>765902.92768921563</v>
      </c>
      <c r="Q87" s="52">
        <f t="shared" si="5"/>
        <v>22060680.565103725</v>
      </c>
    </row>
    <row r="88" spans="1:17">
      <c r="A88" s="2">
        <f t="shared" si="3"/>
        <v>3</v>
      </c>
      <c r="B88" s="2">
        <v>32</v>
      </c>
      <c r="C88" s="2" t="s">
        <v>91</v>
      </c>
      <c r="D88" s="62">
        <f>IF(
    B88 &lt; INDEX(Assumptions!$C$3:$C$7, MATCH(C88, {"Virginia","Florida","Texas","New York","California"}, 0)),
    0,
    IF(
        B88 = INDEX(Assumptions!$C$3:$C$7, MATCH(C88, {"Virginia","Florida","Texas","New York","California"}, 0)),
        IF(C88 = "Virginia", Assumptions!$C$13, Assumptions!$C$14),
        ROUND(
            (INDEX(Assumptions!$C$15:$C$19, MATCH(C88, {"Virginia","Florida","Texas","New York","California"}, 0)) * Assumptions!$C$9 -
            SUMIF(C$2:C87, C88, D$2:D88)) /
            (1 + EXP(-0.2 * (B88 - INDEX(Assumptions!$C$3:$C$7, MATCH(C88, {"Virginia","Florida","Texas","New York","California"}, 0)) - 30))),
            0
        )
    )
)</f>
        <v>391</v>
      </c>
      <c r="E88" s="62">
        <f>IF(B88&lt;INDEX(Assumptions!$C$3:$C$7, MATCH(C88, {"Virginia","Florida","Texas","New York","California"}, 0)),
    0,
    IF(F88=0,
        0,
        F88 * Assumptions!$C$12
    )
)</f>
        <v>11.966666666666667</v>
      </c>
      <c r="F88" s="62" cm="1">
        <f t="array" ref="F88">IF(B88&lt;INDEX(Assumptions!$C$3:$C$7, MATCH(C88, {"Virginia","Florida","Texas","New York","California"}, 0)),
    0,
    IF(C88=C87,
        F87 + D88,
        IF(COUNTIF($C$2:C88, C88) = 1, D88, LOOKUP(2, 1/(C$1:C87=C88), F$1:F87) + D88)
    )
)</f>
        <v>2872</v>
      </c>
      <c r="G88" s="62" cm="1">
        <f t="array" ref="G88">IF(B88&lt;INDEX(Assumptions!$C$3:$C$7, MATCH(C88, {"Virginia","Florida","Texas","New York","California"}, 0)),
    0,
    IF(C88=C87,
        G87 + D88 - E88,
        IF(COUNTIF($C$2:C88, C88) = 1, D88, LOOKUP(2, 1/(C$1:C87=C88), G$1:G87) + D88 - E88)
    )
)</f>
        <v>2797.3208333333337</v>
      </c>
      <c r="H88" s="63">
        <f>IF(B88&lt;INDEX(Assumptions!$C$3:$C$7, MATCH(C88, {"Virginia","Florida","Texas","New York","California"}, 0)),
    0,
    (G88 / INDEX(Assumptions!$C$15:$C$19, MATCH(C88, {"Virginia","Florida","Texas","New York","California"}, 0)))
)</f>
        <v>3.4966510416666673E-2</v>
      </c>
      <c r="I88" s="43">
        <f>G88*'Unit Economics'!$B$19* INDEX(Assumptions!$C$38:$C$42, MATCH(C88, {"Virginia","Florida","Texas","New York","California"}, 0))</f>
        <v>693745.0775575001</v>
      </c>
      <c r="J88" s="43">
        <f>D88*Assumptions!$C$21*INDEX(Assumptions!$C$38:$C$42,MATCH(C88,{"Virginia","Florida","Texas","New York","California"},0))</f>
        <v>103078.7435</v>
      </c>
      <c r="K88" s="43">
        <f>G88/Assumptions!$C$22*('Unit Economics'!$F$24+'Unit Economics'!$F$25+'Unit Economics'!$F$26)</f>
        <v>133386.95297181376</v>
      </c>
      <c r="L88" s="43">
        <f>D88*Assumptions!$C$29</f>
        <v>72335</v>
      </c>
      <c r="M88" s="35">
        <f>G88*Assumptions!$C$27</f>
        <v>0</v>
      </c>
      <c r="N88" s="35">
        <f>G88*Assumptions!$C$28</f>
        <v>0</v>
      </c>
      <c r="O88" s="64">
        <f>IF( COUNTIF($B$2:B88, B88) = 1, MIN( Assumptions!$C$34 + INT(SUMIF($B$2:$B88, B88, G$2:G88) / 1000) * Assumptions!$C$37, Assumptions!$C$36 ), 0 )</f>
        <v>0</v>
      </c>
      <c r="P88" s="53">
        <f t="shared" si="4"/>
        <v>857875.77402931382</v>
      </c>
      <c r="Q88" s="52">
        <f t="shared" si="5"/>
        <v>22918556.339133039</v>
      </c>
    </row>
    <row r="89" spans="1:17">
      <c r="A89" s="2">
        <f t="shared" si="3"/>
        <v>3</v>
      </c>
      <c r="B89" s="2">
        <v>32</v>
      </c>
      <c r="C89" s="2" t="s">
        <v>89</v>
      </c>
      <c r="D89" s="62">
        <f>IF(
    B89 &lt; INDEX(Assumptions!$C$3:$C$7, MATCH(C89, {"Virginia","Florida","Texas","New York","California"}, 0)),
    0,
    IF(
        B89 = INDEX(Assumptions!$C$3:$C$7, MATCH(C89, {"Virginia","Florida","Texas","New York","California"}, 0)),
        IF(C89 = "Virginia", Assumptions!$C$13, Assumptions!$C$14),
        ROUND(
            (INDEX(Assumptions!$C$15:$C$19, MATCH(C89, {"Virginia","Florida","Texas","New York","California"}, 0)) * Assumptions!$C$9 -
            SUMIF(C$2:C88, C89, D$2:D89)) /
            (1 + EXP(-0.2 * (B89 - INDEX(Assumptions!$C$3:$C$7, MATCH(C89, {"Virginia","Florida","Texas","New York","California"}, 0)) - 30))),
            0
        )
    )
)</f>
        <v>25</v>
      </c>
      <c r="E89" s="62">
        <f>IF(B89&lt;INDEX(Assumptions!$C$3:$C$7, MATCH(C89, {"Virginia","Florida","Texas","New York","California"}, 0)),
    0,
    IF(F89=0,
        0,
        F89 * Assumptions!$C$12
    )
)</f>
        <v>16.579166666666666</v>
      </c>
      <c r="F89" s="62" cm="1">
        <f t="array" ref="F89">IF(B89&lt;INDEX(Assumptions!$C$3:$C$7, MATCH(C89, {"Virginia","Florida","Texas","New York","California"}, 0)),
    0,
    IF(C89=C88,
        F88 + D89,
        IF(COUNTIF($C$2:C89, C89) = 1, D89, LOOKUP(2, 1/(C$1:C88=C89), F$1:F88) + D89)
    )
)</f>
        <v>3979</v>
      </c>
      <c r="G89" s="62" cm="1">
        <f t="array" ref="G89">IF(B89&lt;INDEX(Assumptions!$C$3:$C$7, MATCH(C89, {"Virginia","Florida","Texas","New York","California"}, 0)),
    0,
    IF(C89=C88,
        G88 + D89 - E89,
        IF(COUNTIF($C$2:C89, C89) = 1, D89, LOOKUP(2, 1/(C$1:C88=C89), G$1:G88) + D89 - E89)
    )
)</f>
        <v>3769.2374999999997</v>
      </c>
      <c r="H89" s="63">
        <f>IF(B89&lt;INDEX(Assumptions!$C$3:$C$7, MATCH(C89, {"Virginia","Florida","Texas","New York","California"}, 0)),
    0,
    (G89 / INDEX(Assumptions!$C$15:$C$19, MATCH(C89, {"Virginia","Florida","Texas","New York","California"}, 0)))
)</f>
        <v>7.538475E-2</v>
      </c>
      <c r="I89" s="43">
        <f>G89*'Unit Economics'!$B$19* INDEX(Assumptions!$C$38:$C$42, MATCH(C89, {"Virginia","Florida","Texas","New York","California"}, 0))</f>
        <v>907557.00524999993</v>
      </c>
      <c r="J89" s="43">
        <f>D89*Assumptions!$C$21*INDEX(Assumptions!$C$38:$C$42,MATCH(C89,{"Virginia","Florida","Texas","New York","California"},0))</f>
        <v>6398.75</v>
      </c>
      <c r="K89" s="43">
        <f>G89/Assumptions!$C$22*('Unit Economics'!$F$24+'Unit Economics'!$F$25+'Unit Economics'!$F$26)</f>
        <v>179731.65579044117</v>
      </c>
      <c r="L89" s="43">
        <f>D89*Assumptions!$C$29</f>
        <v>4625</v>
      </c>
      <c r="M89" s="35">
        <f>G89*Assumptions!$C$27</f>
        <v>0</v>
      </c>
      <c r="N89" s="35">
        <f>G89*Assumptions!$C$28</f>
        <v>0</v>
      </c>
      <c r="O89" s="64">
        <f>IF( COUNTIF($B$2:B89, B89) = 1, MIN( Assumptions!$C$34 + INT(SUMIF($B$2:$B89, B89, G$2:G89) / 1000) * Assumptions!$C$37, Assumptions!$C$36 ), 0 )</f>
        <v>0</v>
      </c>
      <c r="P89" s="53">
        <f t="shared" si="4"/>
        <v>1089062.4110404411</v>
      </c>
      <c r="Q89" s="52">
        <f t="shared" si="5"/>
        <v>24007618.750173479</v>
      </c>
    </row>
    <row r="90" spans="1:17">
      <c r="A90" s="2">
        <f t="shared" si="3"/>
        <v>3</v>
      </c>
      <c r="B90" s="2">
        <v>33</v>
      </c>
      <c r="C90" s="2" t="s">
        <v>92</v>
      </c>
      <c r="D90" s="62">
        <f>IF(
    B90 &lt; INDEX(Assumptions!$C$3:$C$7, MATCH(C90, {"Virginia","Florida","Texas","New York","California"}, 0)),
    0,
    IF(
        B90 = INDEX(Assumptions!$C$3:$C$7, MATCH(C90, {"Virginia","Florida","Texas","New York","California"}, 0)),
        IF(C90 = "Virginia", Assumptions!$C$13, Assumptions!$C$14),
        ROUND(
            (INDEX(Assumptions!$C$15:$C$19, MATCH(C90, {"Virginia","Florida","Texas","New York","California"}, 0)) * Assumptions!$C$9 -
            SUMIF(C$2:C89, C90, D$2:D90)) /
            (1 + EXP(-0.2 * (B90 - INDEX(Assumptions!$C$3:$C$7, MATCH(C90, {"Virginia","Florida","Texas","New York","California"}, 0)) - 30))),
            0
        )
    )
)</f>
        <v>55</v>
      </c>
      <c r="E90" s="62">
        <f>IF(B90&lt;INDEX(Assumptions!$C$3:$C$7, MATCH(C90, {"Virginia","Florida","Texas","New York","California"}, 0)),
    0,
    IF(F90=0,
        0,
        F90 * Assumptions!$C$12
    )
)</f>
        <v>1.4416666666666667</v>
      </c>
      <c r="F90" s="62" cm="1">
        <f t="array" ref="F90">IF(B90&lt;INDEX(Assumptions!$C$3:$C$7, MATCH(C90, {"Virginia","Florida","Texas","New York","California"}, 0)),
    0,
    IF(C90=C89,
        F89 + D90,
        IF(COUNTIF($C$2:C90, C90) = 1, D90, LOOKUP(2, 1/(C$1:C89=C90), F$1:F89) + D90)
    )
)</f>
        <v>346</v>
      </c>
      <c r="G90" s="62" cm="1">
        <f t="array" ref="G90">IF(B90&lt;INDEX(Assumptions!$C$3:$C$7, MATCH(C90, {"Virginia","Florida","Texas","New York","California"}, 0)),
    0,
    IF(C90=C89,
        G89 + D90 - E90,
        IF(COUNTIF($C$2:C90, C90) = 1, D90, LOOKUP(2, 1/(C$1:C89=C90), G$1:G89) + D90 - E90)
    )
)</f>
        <v>339.05416666666673</v>
      </c>
      <c r="H90" s="63">
        <f>IF(B90&lt;INDEX(Assumptions!$C$3:$C$7, MATCH(C90, {"Virginia","Florida","Texas","New York","California"}, 0)),
    0,
    (G90 / INDEX(Assumptions!$C$15:$C$19, MATCH(C90, {"Virginia","Florida","Texas","New York","California"}, 0)))
)</f>
        <v>5.650902777777779E-3</v>
      </c>
      <c r="I90" s="43">
        <f>G90*'Unit Economics'!$B$19* INDEX(Assumptions!$C$38:$C$42, MATCH(C90, {"Virginia","Florida","Texas","New York","California"}, 0))</f>
        <v>88168.459230000022</v>
      </c>
      <c r="J90" s="43">
        <f>D90*Assumptions!$C$21*INDEX(Assumptions!$C$38:$C$42,MATCH(C90,{"Virginia","Florida","Texas","New York","California"},0))</f>
        <v>15203.43</v>
      </c>
      <c r="K90" s="43">
        <f>G90/Assumptions!$C$22*('Unit Economics'!$F$24+'Unit Economics'!$F$25+'Unit Economics'!$F$26)</f>
        <v>16167.399050245103</v>
      </c>
      <c r="L90" s="43">
        <f>D90*Assumptions!$C$29</f>
        <v>10175</v>
      </c>
      <c r="M90" s="35">
        <f>G90*Assumptions!$C$27</f>
        <v>0</v>
      </c>
      <c r="N90" s="35">
        <f>G90*Assumptions!$C$28</f>
        <v>0</v>
      </c>
      <c r="O90" s="64">
        <f>IF( COUNTIF($B$2:B90, B90) = 1, MIN( Assumptions!$C$34 + INT(SUMIF($B$2:$B90, B90, G$2:G90) / 1000) * Assumptions!$C$37, Assumptions!$C$36 ), 0 )</f>
        <v>60000</v>
      </c>
      <c r="P90" s="53">
        <f t="shared" si="4"/>
        <v>49364.288280245135</v>
      </c>
      <c r="Q90" s="52">
        <f t="shared" si="5"/>
        <v>24056983.038453724</v>
      </c>
    </row>
    <row r="91" spans="1:17">
      <c r="A91" s="2">
        <f t="shared" si="3"/>
        <v>3</v>
      </c>
      <c r="B91" s="2">
        <v>33</v>
      </c>
      <c r="C91" s="2" t="s">
        <v>93</v>
      </c>
      <c r="D91" s="62">
        <f>IF(
    B91 &lt; INDEX(Assumptions!$C$3:$C$7, MATCH(C91, {"Virginia","Florida","Texas","New York","California"}, 0)),
    0,
    IF(
        B91 = INDEX(Assumptions!$C$3:$C$7, MATCH(C91, {"Virginia","Florida","Texas","New York","California"}, 0)),
        IF(C91 = "Virginia", Assumptions!$C$13, Assumptions!$C$14),
        ROUND(
            (INDEX(Assumptions!$C$15:$C$19, MATCH(C91, {"Virginia","Florida","Texas","New York","California"}, 0)) * Assumptions!$C$9 -
            SUMIF(C$2:C90, C91, D$2:D91)) /
            (1 + EXP(-0.2 * (B91 - INDEX(Assumptions!$C$3:$C$7, MATCH(C91, {"Virginia","Florida","Texas","New York","California"}, 0)) - 30))),
            0
        )
    )
)</f>
        <v>83</v>
      </c>
      <c r="E91" s="62">
        <f>IF(B91&lt;INDEX(Assumptions!$C$3:$C$7, MATCH(C91, {"Virginia","Florida","Texas","New York","California"}, 0)),
    0,
    IF(F91=0,
        0,
        F91 * Assumptions!$C$12
    )
)</f>
        <v>1.9708333333333332</v>
      </c>
      <c r="F91" s="62" cm="1">
        <f t="array" ref="F91">IF(B91&lt;INDEX(Assumptions!$C$3:$C$7, MATCH(C91, {"Virginia","Florida","Texas","New York","California"}, 0)),
    0,
    IF(C91=C90,
        F90 + D91,
        IF(COUNTIF($C$2:C91, C91) = 1, D91, LOOKUP(2, 1/(C$1:C90=C91), F$1:F90) + D91)
    )
)</f>
        <v>473</v>
      </c>
      <c r="G91" s="62" cm="1">
        <f t="array" ref="G91">IF(B91&lt;INDEX(Assumptions!$C$3:$C$7, MATCH(C91, {"Virginia","Florida","Texas","New York","California"}, 0)),
    0,
    IF(C91=C90,
        G90 + D91 - E91,
        IF(COUNTIF($C$2:C91, C91) = 1, D91, LOOKUP(2, 1/(C$1:C90=C91), G$1:G90) + D91 - E91)
    )
)</f>
        <v>464.18749999999994</v>
      </c>
      <c r="H91" s="63">
        <f>IF(B91&lt;INDEX(Assumptions!$C$3:$C$7, MATCH(C91, {"Virginia","Florida","Texas","New York","California"}, 0)),
    0,
    (G91 / INDEX(Assumptions!$C$15:$C$19, MATCH(C91, {"Virginia","Florida","Texas","New York","California"}, 0)))
)</f>
        <v>5.1576388888888887E-3</v>
      </c>
      <c r="I91" s="43">
        <f>G91*'Unit Economics'!$B$19* INDEX(Assumptions!$C$38:$C$42, MATCH(C91, {"Virginia","Florida","Texas","New York","California"}, 0))</f>
        <v>122943.772875</v>
      </c>
      <c r="J91" s="43">
        <f>D91*Assumptions!$C$21*INDEX(Assumptions!$C$38:$C$42,MATCH(C91,{"Virginia","Florida","Texas","New York","California"},0))</f>
        <v>23368.235000000001</v>
      </c>
      <c r="K91" s="43">
        <f>G91/Assumptions!$C$22*('Unit Economics'!$F$24+'Unit Economics'!$F$25+'Unit Economics'!$F$26)</f>
        <v>22134.234834558825</v>
      </c>
      <c r="L91" s="43">
        <f>D91*Assumptions!$C$29</f>
        <v>15355</v>
      </c>
      <c r="M91" s="35">
        <f>G91*Assumptions!$C$27</f>
        <v>0</v>
      </c>
      <c r="N91" s="35">
        <f>G91*Assumptions!$C$28</f>
        <v>0</v>
      </c>
      <c r="O91" s="64">
        <f>IF( COUNTIF($B$2:B91, B91) = 1, MIN( Assumptions!$C$34 + INT(SUMIF($B$2:$B91, B91, G$2:G91) / 1000) * Assumptions!$C$37, Assumptions!$C$36 ), 0 )</f>
        <v>0</v>
      </c>
      <c r="P91" s="53">
        <f t="shared" si="4"/>
        <v>153091.24270955884</v>
      </c>
      <c r="Q91" s="52">
        <f t="shared" si="5"/>
        <v>24210074.281163283</v>
      </c>
    </row>
    <row r="92" spans="1:17">
      <c r="A92" s="2">
        <f t="shared" si="3"/>
        <v>3</v>
      </c>
      <c r="B92" s="2">
        <v>33</v>
      </c>
      <c r="C92" s="2" t="s">
        <v>90</v>
      </c>
      <c r="D92" s="62">
        <f>IF(
    B92 &lt; INDEX(Assumptions!$C$3:$C$7, MATCH(C92, {"Virginia","Florida","Texas","New York","California"}, 0)),
    0,
    IF(
        B92 = INDEX(Assumptions!$C$3:$C$7, MATCH(C92, {"Virginia","Florida","Texas","New York","California"}, 0)),
        IF(C92 = "Virginia", Assumptions!$C$13, Assumptions!$C$14),
        ROUND(
            (INDEX(Assumptions!$C$15:$C$19, MATCH(C92, {"Virginia","Florida","Texas","New York","California"}, 0)) * Assumptions!$C$9 -
            SUMIF(C$2:C91, C92, D$2:D92)) /
            (1 + EXP(-0.2 * (B92 - INDEX(Assumptions!$C$3:$C$7, MATCH(C92, {"Virginia","Florida","Texas","New York","California"}, 0)) - 30))),
            0
        )
    )
)</f>
        <v>367</v>
      </c>
      <c r="E92" s="62">
        <f>IF(B92&lt;INDEX(Assumptions!$C$3:$C$7, MATCH(C92, {"Virginia","Florida","Texas","New York","California"}, 0)),
    0,
    IF(F92=0,
        0,
        F92 * Assumptions!$C$12
    )
)</f>
        <v>12.029166666666667</v>
      </c>
      <c r="F92" s="62" cm="1">
        <f t="array" ref="F92">IF(B92&lt;INDEX(Assumptions!$C$3:$C$7, MATCH(C92, {"Virginia","Florida","Texas","New York","California"}, 0)),
    0,
    IF(C92=C91,
        F91 + D92,
        IF(COUNTIF($C$2:C92, C92) = 1, D92, LOOKUP(2, 1/(C$1:C91=C92), F$1:F91) + D92)
    )
)</f>
        <v>2887</v>
      </c>
      <c r="G92" s="62" cm="1">
        <f t="array" ref="G92">IF(B92&lt;INDEX(Assumptions!$C$3:$C$7, MATCH(C92, {"Virginia","Florida","Texas","New York","California"}, 0)),
    0,
    IF(C92=C91,
        G91 + D92 - E92,
        IF(COUNTIF($C$2:C92, C92) = 1, D92, LOOKUP(2, 1/(C$1:C91=C92), G$1:G91) + D92 - E92)
    )
)</f>
        <v>2808.6750000000002</v>
      </c>
      <c r="H92" s="63">
        <f>IF(B92&lt;INDEX(Assumptions!$C$3:$C$7, MATCH(C92, {"Virginia","Florida","Texas","New York","California"}, 0)),
    0,
    (G92 / INDEX(Assumptions!$C$15:$C$19, MATCH(C92, {"Virginia","Florida","Texas","New York","California"}, 0)))
)</f>
        <v>4.0123928571428574E-2</v>
      </c>
      <c r="I92" s="43">
        <f>G92*'Unit Economics'!$B$19* INDEX(Assumptions!$C$38:$C$42, MATCH(C92, {"Virginia","Florida","Texas","New York","California"}, 0))</f>
        <v>710086.40482500009</v>
      </c>
      <c r="J92" s="43">
        <f>D92*Assumptions!$C$21*INDEX(Assumptions!$C$38:$C$42,MATCH(C92,{"Virginia","Florida","Texas","New York","California"},0))</f>
        <v>98630.332500000004</v>
      </c>
      <c r="K92" s="43">
        <f>G92/Assumptions!$C$22*('Unit Economics'!$F$24+'Unit Economics'!$F$25+'Unit Economics'!$F$26)</f>
        <v>133928.3630514706</v>
      </c>
      <c r="L92" s="43">
        <f>D92*Assumptions!$C$29</f>
        <v>67895</v>
      </c>
      <c r="M92" s="35">
        <f>G92*Assumptions!$C$27</f>
        <v>0</v>
      </c>
      <c r="N92" s="35">
        <f>G92*Assumptions!$C$28</f>
        <v>0</v>
      </c>
      <c r="O92" s="64">
        <f>IF( COUNTIF($B$2:B92, B92) = 1, MIN( Assumptions!$C$34 + INT(SUMIF($B$2:$B92, B92, G$2:G92) / 1000) * Assumptions!$C$37, Assumptions!$C$36 ), 0 )</f>
        <v>0</v>
      </c>
      <c r="P92" s="53">
        <f t="shared" si="4"/>
        <v>874750.10037647071</v>
      </c>
      <c r="Q92" s="52">
        <f t="shared" si="5"/>
        <v>25084824.381539755</v>
      </c>
    </row>
    <row r="93" spans="1:17">
      <c r="A93" s="2">
        <f t="shared" si="3"/>
        <v>3</v>
      </c>
      <c r="B93" s="2">
        <v>33</v>
      </c>
      <c r="C93" s="2" t="s">
        <v>91</v>
      </c>
      <c r="D93" s="62">
        <f>IF(
    B93 &lt; INDEX(Assumptions!$C$3:$C$7, MATCH(C93, {"Virginia","Florida","Texas","New York","California"}, 0)),
    0,
    IF(
        B93 = INDEX(Assumptions!$C$3:$C$7, MATCH(C93, {"Virginia","Florida","Texas","New York","California"}, 0)),
        IF(C93 = "Virginia", Assumptions!$C$13, Assumptions!$C$14),
        ROUND(
            (INDEX(Assumptions!$C$15:$C$19, MATCH(C93, {"Virginia","Florida","Texas","New York","California"}, 0)) * Assumptions!$C$9 -
            SUMIF(C$2:C92, C93, D$2:D93)) /
            (1 + EXP(-0.2 * (B93 - INDEX(Assumptions!$C$3:$C$7, MATCH(C93, {"Virginia","Florida","Texas","New York","California"}, 0)) - 30))),
            0
        )
    )
)</f>
        <v>421</v>
      </c>
      <c r="E93" s="62">
        <f>IF(B93&lt;INDEX(Assumptions!$C$3:$C$7, MATCH(C93, {"Virginia","Florida","Texas","New York","California"}, 0)),
    0,
    IF(F93=0,
        0,
        F93 * Assumptions!$C$12
    )
)</f>
        <v>13.720833333333333</v>
      </c>
      <c r="F93" s="62" cm="1">
        <f t="array" ref="F93">IF(B93&lt;INDEX(Assumptions!$C$3:$C$7, MATCH(C93, {"Virginia","Florida","Texas","New York","California"}, 0)),
    0,
    IF(C93=C92,
        F92 + D93,
        IF(COUNTIF($C$2:C93, C93) = 1, D93, LOOKUP(2, 1/(C$1:C92=C93), F$1:F92) + D93)
    )
)</f>
        <v>3293</v>
      </c>
      <c r="G93" s="62" cm="1">
        <f t="array" ref="G93">IF(B93&lt;INDEX(Assumptions!$C$3:$C$7, MATCH(C93, {"Virginia","Florida","Texas","New York","California"}, 0)),
    0,
    IF(C93=C92,
        G92 + D93 - E93,
        IF(COUNTIF($C$2:C93, C93) = 1, D93, LOOKUP(2, 1/(C$1:C92=C93), G$1:G92) + D93 - E93)
    )
)</f>
        <v>3204.6000000000004</v>
      </c>
      <c r="H93" s="63">
        <f>IF(B93&lt;INDEX(Assumptions!$C$3:$C$7, MATCH(C93, {"Virginia","Florida","Texas","New York","California"}, 0)),
    0,
    (G93 / INDEX(Assumptions!$C$15:$C$19, MATCH(C93, {"Virginia","Florida","Texas","New York","California"}, 0)))
)</f>
        <v>4.0057500000000003E-2</v>
      </c>
      <c r="I93" s="43">
        <f>G93*'Unit Economics'!$B$19* INDEX(Assumptions!$C$38:$C$42, MATCH(C93, {"Virginia","Florida","Texas","New York","California"}, 0))</f>
        <v>794751.69564000017</v>
      </c>
      <c r="J93" s="43">
        <f>D93*Assumptions!$C$21*INDEX(Assumptions!$C$38:$C$42,MATCH(C93,{"Virginia","Florida","Texas","New York","California"},0))</f>
        <v>110987.59849999999</v>
      </c>
      <c r="K93" s="43">
        <f>G93/Assumptions!$C$22*('Unit Economics'!$F$24+'Unit Economics'!$F$25+'Unit Economics'!$F$26)</f>
        <v>152807.58088235295</v>
      </c>
      <c r="L93" s="43">
        <f>D93*Assumptions!$C$29</f>
        <v>77885</v>
      </c>
      <c r="M93" s="35">
        <f>G93*Assumptions!$C$27</f>
        <v>0</v>
      </c>
      <c r="N93" s="35">
        <f>G93*Assumptions!$C$28</f>
        <v>0</v>
      </c>
      <c r="O93" s="64">
        <f>IF( COUNTIF($B$2:B93, B93) = 1, MIN( Assumptions!$C$34 + INT(SUMIF($B$2:$B93, B93, G$2:G93) / 1000) * Assumptions!$C$37, Assumptions!$C$36 ), 0 )</f>
        <v>0</v>
      </c>
      <c r="P93" s="53">
        <f t="shared" si="4"/>
        <v>980661.87502235314</v>
      </c>
      <c r="Q93" s="52">
        <f t="shared" si="5"/>
        <v>26065486.256562106</v>
      </c>
    </row>
    <row r="94" spans="1:17">
      <c r="A94" s="2">
        <f t="shared" si="3"/>
        <v>3</v>
      </c>
      <c r="B94" s="2">
        <v>33</v>
      </c>
      <c r="C94" s="2" t="s">
        <v>89</v>
      </c>
      <c r="D94" s="62">
        <f>IF(
    B94 &lt; INDEX(Assumptions!$C$3:$C$7, MATCH(C94, {"Virginia","Florida","Texas","New York","California"}, 0)),
    0,
    IF(
        B94 = INDEX(Assumptions!$C$3:$C$7, MATCH(C94, {"Virginia","Florida","Texas","New York","California"}, 0)),
        IF(C94 = "Virginia", Assumptions!$C$13, Assumptions!$C$14),
        ROUND(
            (INDEX(Assumptions!$C$15:$C$19, MATCH(C94, {"Virginia","Florida","Texas","New York","California"}, 0)) * Assumptions!$C$9 -
            SUMIF(C$2:C93, C94, D$2:D94)) /
            (1 + EXP(-0.2 * (B94 - INDEX(Assumptions!$C$3:$C$7, MATCH(C94, {"Virginia","Florida","Texas","New York","California"}, 0)) - 30))),
            0
        )
    )
)</f>
        <v>13</v>
      </c>
      <c r="E94" s="62">
        <f>IF(B94&lt;INDEX(Assumptions!$C$3:$C$7, MATCH(C94, {"Virginia","Florida","Texas","New York","California"}, 0)),
    0,
    IF(F94=0,
        0,
        F94 * Assumptions!$C$12
    )
)</f>
        <v>16.633333333333333</v>
      </c>
      <c r="F94" s="62" cm="1">
        <f t="array" ref="F94">IF(B94&lt;INDEX(Assumptions!$C$3:$C$7, MATCH(C94, {"Virginia","Florida","Texas","New York","California"}, 0)),
    0,
    IF(C94=C93,
        F93 + D94,
        IF(COUNTIF($C$2:C94, C94) = 1, D94, LOOKUP(2, 1/(C$1:C93=C94), F$1:F93) + D94)
    )
)</f>
        <v>3992</v>
      </c>
      <c r="G94" s="62" cm="1">
        <f t="array" ref="G94">IF(B94&lt;INDEX(Assumptions!$C$3:$C$7, MATCH(C94, {"Virginia","Florida","Texas","New York","California"}, 0)),
    0,
    IF(C94=C93,
        G93 + D94 - E94,
        IF(COUNTIF($C$2:C94, C94) = 1, D94, LOOKUP(2, 1/(C$1:C93=C94), G$1:G93) + D94 - E94)
    )
)</f>
        <v>3765.6041666666665</v>
      </c>
      <c r="H94" s="63">
        <f>IF(B94&lt;INDEX(Assumptions!$C$3:$C$7, MATCH(C94, {"Virginia","Florida","Texas","New York","California"}, 0)),
    0,
    (G94 / INDEX(Assumptions!$C$15:$C$19, MATCH(C94, {"Virginia","Florida","Texas","New York","California"}, 0)))
)</f>
        <v>7.5312083333333335E-2</v>
      </c>
      <c r="I94" s="43">
        <f>G94*'Unit Economics'!$B$19* INDEX(Assumptions!$C$38:$C$42, MATCH(C94, {"Virginia","Florida","Texas","New York","California"}, 0))</f>
        <v>906682.17125000001</v>
      </c>
      <c r="J94" s="43">
        <f>D94*Assumptions!$C$21*INDEX(Assumptions!$C$38:$C$42,MATCH(C94,{"Virginia","Florida","Texas","New York","California"},0))</f>
        <v>3327.35</v>
      </c>
      <c r="K94" s="43">
        <f>G94/Assumptions!$C$22*('Unit Economics'!$F$24+'Unit Economics'!$F$25+'Unit Economics'!$F$26)</f>
        <v>179558.40456495099</v>
      </c>
      <c r="L94" s="43">
        <f>D94*Assumptions!$C$29</f>
        <v>2405</v>
      </c>
      <c r="M94" s="35">
        <f>G94*Assumptions!$C$27</f>
        <v>0</v>
      </c>
      <c r="N94" s="35">
        <f>G94*Assumptions!$C$28</f>
        <v>0</v>
      </c>
      <c r="O94" s="64">
        <f>IF( COUNTIF($B$2:B94, B94) = 1, MIN( Assumptions!$C$34 + INT(SUMIF($B$2:$B94, B94, G$2:G94) / 1000) * Assumptions!$C$37, Assumptions!$C$36 ), 0 )</f>
        <v>0</v>
      </c>
      <c r="P94" s="53">
        <f t="shared" si="4"/>
        <v>1087162.9258149511</v>
      </c>
      <c r="Q94" s="52">
        <f t="shared" si="5"/>
        <v>27152649.182377059</v>
      </c>
    </row>
    <row r="95" spans="1:17">
      <c r="A95" s="2">
        <f t="shared" si="3"/>
        <v>3</v>
      </c>
      <c r="B95" s="2">
        <v>34</v>
      </c>
      <c r="C95" s="2" t="s">
        <v>92</v>
      </c>
      <c r="D95" s="62">
        <f>IF(
    B95 &lt; INDEX(Assumptions!$C$3:$C$7, MATCH(C95, {"Virginia","Florida","Texas","New York","California"}, 0)),
    0,
    IF(
        B95 = INDEX(Assumptions!$C$3:$C$7, MATCH(C95, {"Virginia","Florida","Texas","New York","California"}, 0)),
        IF(C95 = "Virginia", Assumptions!$C$13, Assumptions!$C$14),
        ROUND(
            (INDEX(Assumptions!$C$15:$C$19, MATCH(C95, {"Virginia","Florida","Texas","New York","California"}, 0)) * Assumptions!$C$9 -
            SUMIF(C$2:C94, C95, D$2:D95)) /
            (1 + EXP(-0.2 * (B95 - INDEX(Assumptions!$C$3:$C$7, MATCH(C95, {"Virginia","Florida","Texas","New York","California"}, 0)) - 30))),
            0
        )
    )
)</f>
        <v>66</v>
      </c>
      <c r="E95" s="62">
        <f>IF(B95&lt;INDEX(Assumptions!$C$3:$C$7, MATCH(C95, {"Virginia","Florida","Texas","New York","California"}, 0)),
    0,
    IF(F95=0,
        0,
        F95 * Assumptions!$C$12
    )
)</f>
        <v>1.7166666666666666</v>
      </c>
      <c r="F95" s="62" cm="1">
        <f t="array" ref="F95">IF(B95&lt;INDEX(Assumptions!$C$3:$C$7, MATCH(C95, {"Virginia","Florida","Texas","New York","California"}, 0)),
    0,
    IF(C95=C94,
        F94 + D95,
        IF(COUNTIF($C$2:C95, C95) = 1, D95, LOOKUP(2, 1/(C$1:C94=C95), F$1:F94) + D95)
    )
)</f>
        <v>412</v>
      </c>
      <c r="G95" s="62" cm="1">
        <f t="array" ref="G95">IF(B95&lt;INDEX(Assumptions!$C$3:$C$7, MATCH(C95, {"Virginia","Florida","Texas","New York","California"}, 0)),
    0,
    IF(C95=C94,
        G94 + D95 - E95,
        IF(COUNTIF($C$2:C95, C95) = 1, D95, LOOKUP(2, 1/(C$1:C94=C95), G$1:G94) + D95 - E95)
    )
)</f>
        <v>403.33750000000009</v>
      </c>
      <c r="H95" s="63">
        <f>IF(B95&lt;INDEX(Assumptions!$C$3:$C$7, MATCH(C95, {"Virginia","Florida","Texas","New York","California"}, 0)),
    0,
    (G95 / INDEX(Assumptions!$C$15:$C$19, MATCH(C95, {"Virginia","Florida","Texas","New York","California"}, 0)))
)</f>
        <v>6.7222916666666681E-3</v>
      </c>
      <c r="I95" s="43">
        <f>G95*'Unit Economics'!$B$19* INDEX(Assumptions!$C$38:$C$42, MATCH(C95, {"Virginia","Florida","Texas","New York","California"}, 0))</f>
        <v>104884.85151000004</v>
      </c>
      <c r="J95" s="43">
        <f>D95*Assumptions!$C$21*INDEX(Assumptions!$C$38:$C$42,MATCH(C95,{"Virginia","Florida","Texas","New York","California"},0))</f>
        <v>18244.116000000002</v>
      </c>
      <c r="K95" s="43">
        <f>G95/Assumptions!$C$22*('Unit Economics'!$F$24+'Unit Economics'!$F$25+'Unit Economics'!$F$26)</f>
        <v>19232.674172794123</v>
      </c>
      <c r="L95" s="43">
        <f>D95*Assumptions!$C$29</f>
        <v>12210</v>
      </c>
      <c r="M95" s="35">
        <f>G95*Assumptions!$C$27</f>
        <v>0</v>
      </c>
      <c r="N95" s="35">
        <f>G95*Assumptions!$C$28</f>
        <v>0</v>
      </c>
      <c r="O95" s="64">
        <f>IF( COUNTIF($B$2:B95, B95) = 1, MIN( Assumptions!$C$34 + INT(SUMIF($B$2:$B95, B95, G$2:G95) / 1000) * Assumptions!$C$37, Assumptions!$C$36 ), 0 )</f>
        <v>60000</v>
      </c>
      <c r="P95" s="53">
        <f t="shared" si="4"/>
        <v>70151.641682794172</v>
      </c>
      <c r="Q95" s="52">
        <f t="shared" si="5"/>
        <v>27222800.824059851</v>
      </c>
    </row>
    <row r="96" spans="1:17">
      <c r="A96" s="2">
        <f t="shared" si="3"/>
        <v>3</v>
      </c>
      <c r="B96" s="2">
        <v>34</v>
      </c>
      <c r="C96" s="2" t="s">
        <v>93</v>
      </c>
      <c r="D96" s="62">
        <f>IF(
    B96 &lt; INDEX(Assumptions!$C$3:$C$7, MATCH(C96, {"Virginia","Florida","Texas","New York","California"}, 0)),
    0,
    IF(
        B96 = INDEX(Assumptions!$C$3:$C$7, MATCH(C96, {"Virginia","Florida","Texas","New York","California"}, 0)),
        IF(C96 = "Virginia", Assumptions!$C$13, Assumptions!$C$14),
        ROUND(
            (INDEX(Assumptions!$C$15:$C$19, MATCH(C96, {"Virginia","Florida","Texas","New York","California"}, 0)) * Assumptions!$C$9 -
            SUMIF(C$2:C95, C96, D$2:D96)) /
            (1 + EXP(-0.2 * (B96 - INDEX(Assumptions!$C$3:$C$7, MATCH(C96, {"Virginia","Florida","Texas","New York","California"}, 0)) - 30))),
            0
        )
    )
)</f>
        <v>99</v>
      </c>
      <c r="E96" s="62">
        <f>IF(B96&lt;INDEX(Assumptions!$C$3:$C$7, MATCH(C96, {"Virginia","Florida","Texas","New York","California"}, 0)),
    0,
    IF(F96=0,
        0,
        F96 * Assumptions!$C$12
    )
)</f>
        <v>2.3833333333333333</v>
      </c>
      <c r="F96" s="62" cm="1">
        <f t="array" ref="F96">IF(B96&lt;INDEX(Assumptions!$C$3:$C$7, MATCH(C96, {"Virginia","Florida","Texas","New York","California"}, 0)),
    0,
    IF(C96=C95,
        F95 + D96,
        IF(COUNTIF($C$2:C96, C96) = 1, D96, LOOKUP(2, 1/(C$1:C95=C96), F$1:F95) + D96)
    )
)</f>
        <v>572</v>
      </c>
      <c r="G96" s="62" cm="1">
        <f t="array" ref="G96">IF(B96&lt;INDEX(Assumptions!$C$3:$C$7, MATCH(C96, {"Virginia","Florida","Texas","New York","California"}, 0)),
    0,
    IF(C96=C95,
        G95 + D96 - E96,
        IF(COUNTIF($C$2:C96, C96) = 1, D96, LOOKUP(2, 1/(C$1:C95=C96), G$1:G95) + D96 - E96)
    )
)</f>
        <v>560.80416666666667</v>
      </c>
      <c r="H96" s="63">
        <f>IF(B96&lt;INDEX(Assumptions!$C$3:$C$7, MATCH(C96, {"Virginia","Florida","Texas","New York","California"}, 0)),
    0,
    (G96 / INDEX(Assumptions!$C$15:$C$19, MATCH(C96, {"Virginia","Florida","Texas","New York","California"}, 0)))
)</f>
        <v>6.2311574074074075E-3</v>
      </c>
      <c r="I96" s="43">
        <f>G96*'Unit Economics'!$B$19* INDEX(Assumptions!$C$38:$C$42, MATCH(C96, {"Virginia","Florida","Texas","New York","California"}, 0))</f>
        <v>148533.46997500001</v>
      </c>
      <c r="J96" s="43">
        <f>D96*Assumptions!$C$21*INDEX(Assumptions!$C$38:$C$42,MATCH(C96,{"Virginia","Florida","Texas","New York","California"},0))</f>
        <v>27872.955000000002</v>
      </c>
      <c r="K96" s="43">
        <f>G96/Assumptions!$C$22*('Unit Economics'!$F$24+'Unit Economics'!$F$25+'Unit Economics'!$F$26)</f>
        <v>26741.286917892161</v>
      </c>
      <c r="L96" s="43">
        <f>D96*Assumptions!$C$29</f>
        <v>18315</v>
      </c>
      <c r="M96" s="35">
        <f>G96*Assumptions!$C$27</f>
        <v>0</v>
      </c>
      <c r="N96" s="35">
        <f>G96*Assumptions!$C$28</f>
        <v>0</v>
      </c>
      <c r="O96" s="64">
        <f>IF( COUNTIF($B$2:B96, B96) = 1, MIN( Assumptions!$C$34 + INT(SUMIF($B$2:$B96, B96, G$2:G96) / 1000) * Assumptions!$C$37, Assumptions!$C$36 ), 0 )</f>
        <v>0</v>
      </c>
      <c r="P96" s="53">
        <f t="shared" si="4"/>
        <v>184832.7118928922</v>
      </c>
      <c r="Q96" s="52">
        <f t="shared" si="5"/>
        <v>27407633.535952743</v>
      </c>
    </row>
    <row r="97" spans="1:17">
      <c r="A97" s="2">
        <f t="shared" si="3"/>
        <v>3</v>
      </c>
      <c r="B97" s="2">
        <v>34</v>
      </c>
      <c r="C97" s="2" t="s">
        <v>90</v>
      </c>
      <c r="D97" s="62">
        <f>IF(
    B97 &lt; INDEX(Assumptions!$C$3:$C$7, MATCH(C97, {"Virginia","Florida","Texas","New York","California"}, 0)),
    0,
    IF(
        B97 = INDEX(Assumptions!$C$3:$C$7, MATCH(C97, {"Virginia","Florida","Texas","New York","California"}, 0)),
        IF(C97 = "Virginia", Assumptions!$C$13, Assumptions!$C$14),
        ROUND(
            (INDEX(Assumptions!$C$15:$C$19, MATCH(C97, {"Virginia","Florida","Texas","New York","California"}, 0)) * Assumptions!$C$9 -
            SUMIF(C$2:C96, C97, D$2:D97)) /
            (1 + EXP(-0.2 * (B97 - INDEX(Assumptions!$C$3:$C$7, MATCH(C97, {"Virginia","Florida","Texas","New York","California"}, 0)) - 30))),
            0
        )
    )
)</f>
        <v>385</v>
      </c>
      <c r="E97" s="62">
        <f>IF(B97&lt;INDEX(Assumptions!$C$3:$C$7, MATCH(C97, {"Virginia","Florida","Texas","New York","California"}, 0)),
    0,
    IF(F97=0,
        0,
        F97 * Assumptions!$C$12
    )
)</f>
        <v>13.633333333333333</v>
      </c>
      <c r="F97" s="62" cm="1">
        <f t="array" ref="F97">IF(B97&lt;INDEX(Assumptions!$C$3:$C$7, MATCH(C97, {"Virginia","Florida","Texas","New York","California"}, 0)),
    0,
    IF(C97=C96,
        F96 + D97,
        IF(COUNTIF($C$2:C97, C97) = 1, D97, LOOKUP(2, 1/(C$1:C96=C97), F$1:F96) + D97)
    )
)</f>
        <v>3272</v>
      </c>
      <c r="G97" s="62" cm="1">
        <f t="array" ref="G97">IF(B97&lt;INDEX(Assumptions!$C$3:$C$7, MATCH(C97, {"Virginia","Florida","Texas","New York","California"}, 0)),
    0,
    IF(C97=C96,
        G96 + D97 - E97,
        IF(COUNTIF($C$2:C97, C97) = 1, D97, LOOKUP(2, 1/(C$1:C96=C97), G$1:G96) + D97 - E97)
    )
)</f>
        <v>3180.041666666667</v>
      </c>
      <c r="H97" s="63">
        <f>IF(B97&lt;INDEX(Assumptions!$C$3:$C$7, MATCH(C97, {"Virginia","Florida","Texas","New York","California"}, 0)),
    0,
    (G97 / INDEX(Assumptions!$C$15:$C$19, MATCH(C97, {"Virginia","Florida","Texas","New York","California"}, 0)))
)</f>
        <v>4.5429166666666673E-2</v>
      </c>
      <c r="I97" s="43">
        <f>G97*'Unit Economics'!$B$19* INDEX(Assumptions!$C$38:$C$42, MATCH(C97, {"Virginia","Florida","Texas","New York","California"}, 0))</f>
        <v>803974.95412500016</v>
      </c>
      <c r="J97" s="43">
        <f>D97*Assumptions!$C$21*INDEX(Assumptions!$C$38:$C$42,MATCH(C97,{"Virginia","Florida","Texas","New York","California"},0))</f>
        <v>103467.78750000001</v>
      </c>
      <c r="K97" s="43">
        <f>G97/Assumptions!$C$22*('Unit Economics'!$F$24+'Unit Economics'!$F$25+'Unit Economics'!$F$26)</f>
        <v>151636.54564950985</v>
      </c>
      <c r="L97" s="43">
        <f>D97*Assumptions!$C$29</f>
        <v>71225</v>
      </c>
      <c r="M97" s="35">
        <f>G97*Assumptions!$C$27</f>
        <v>0</v>
      </c>
      <c r="N97" s="35">
        <f>G97*Assumptions!$C$28</f>
        <v>0</v>
      </c>
      <c r="O97" s="64">
        <f>IF( COUNTIF($B$2:B97, B97) = 1, MIN( Assumptions!$C$34 + INT(SUMIF($B$2:$B97, B97, G$2:G97) / 1000) * Assumptions!$C$37, Assumptions!$C$36 ), 0 )</f>
        <v>0</v>
      </c>
      <c r="P97" s="53">
        <f t="shared" si="4"/>
        <v>987854.2872745099</v>
      </c>
      <c r="Q97" s="52">
        <f t="shared" si="5"/>
        <v>28395487.823227253</v>
      </c>
    </row>
    <row r="98" spans="1:17">
      <c r="A98" s="2">
        <f t="shared" si="3"/>
        <v>3</v>
      </c>
      <c r="B98" s="2">
        <v>34</v>
      </c>
      <c r="C98" s="2" t="s">
        <v>91</v>
      </c>
      <c r="D98" s="62">
        <f>IF(
    B98 &lt; INDEX(Assumptions!$C$3:$C$7, MATCH(C98, {"Virginia","Florida","Texas","New York","California"}, 0)),
    0,
    IF(
        B98 = INDEX(Assumptions!$C$3:$C$7, MATCH(C98, {"Virginia","Florida","Texas","New York","California"}, 0)),
        IF(C98 = "Virginia", Assumptions!$C$13, Assumptions!$C$14),
        ROUND(
            (INDEX(Assumptions!$C$15:$C$19, MATCH(C98, {"Virginia","Florida","Texas","New York","California"}, 0)) * Assumptions!$C$9 -
            SUMIF(C$2:C97, C98, D$2:D98)) /
            (1 + EXP(-0.2 * (B98 - INDEX(Assumptions!$C$3:$C$7, MATCH(C98, {"Virginia","Florida","Texas","New York","California"}, 0)) - 30))),
            0
        )
    )
)</f>
        <v>441</v>
      </c>
      <c r="E98" s="62">
        <f>IF(B98&lt;INDEX(Assumptions!$C$3:$C$7, MATCH(C98, {"Virginia","Florida","Texas","New York","California"}, 0)),
    0,
    IF(F98=0,
        0,
        F98 * Assumptions!$C$12
    )
)</f>
        <v>15.558333333333334</v>
      </c>
      <c r="F98" s="62" cm="1">
        <f t="array" ref="F98">IF(B98&lt;INDEX(Assumptions!$C$3:$C$7, MATCH(C98, {"Virginia","Florida","Texas","New York","California"}, 0)),
    0,
    IF(C98=C97,
        F97 + D98,
        IF(COUNTIF($C$2:C98, C98) = 1, D98, LOOKUP(2, 1/(C$1:C97=C98), F$1:F97) + D98)
    )
)</f>
        <v>3734</v>
      </c>
      <c r="G98" s="62" cm="1">
        <f t="array" ref="G98">IF(B98&lt;INDEX(Assumptions!$C$3:$C$7, MATCH(C98, {"Virginia","Florida","Texas","New York","California"}, 0)),
    0,
    IF(C98=C97,
        G97 + D98 - E98,
        IF(COUNTIF($C$2:C98, C98) = 1, D98, LOOKUP(2, 1/(C$1:C97=C98), G$1:G97) + D98 - E98)
    )
)</f>
        <v>3630.041666666667</v>
      </c>
      <c r="H98" s="63">
        <f>IF(B98&lt;INDEX(Assumptions!$C$3:$C$7, MATCH(C98, {"Virginia","Florida","Texas","New York","California"}, 0)),
    0,
    (G98 / INDEX(Assumptions!$C$15:$C$19, MATCH(C98, {"Virginia","Florida","Texas","New York","California"}, 0)))
)</f>
        <v>4.5375520833333335E-2</v>
      </c>
      <c r="I98" s="43">
        <f>G98*'Unit Economics'!$B$19* INDEX(Assumptions!$C$38:$C$42, MATCH(C98, {"Virginia","Florida","Texas","New York","California"}, 0))</f>
        <v>900262.67547500017</v>
      </c>
      <c r="J98" s="43">
        <f>D98*Assumptions!$C$21*INDEX(Assumptions!$C$38:$C$42,MATCH(C98,{"Virginia","Florida","Texas","New York","California"},0))</f>
        <v>116260.1685</v>
      </c>
      <c r="K98" s="43">
        <f>G98/Assumptions!$C$22*('Unit Economics'!$F$24+'Unit Economics'!$F$25+'Unit Economics'!$F$26)</f>
        <v>173094.26623774512</v>
      </c>
      <c r="L98" s="43">
        <f>D98*Assumptions!$C$29</f>
        <v>81585</v>
      </c>
      <c r="M98" s="35">
        <f>G98*Assumptions!$C$27</f>
        <v>0</v>
      </c>
      <c r="N98" s="35">
        <f>G98*Assumptions!$C$28</f>
        <v>0</v>
      </c>
      <c r="O98" s="64">
        <f>IF( COUNTIF($B$2:B98, B98) = 1, MIN( Assumptions!$C$34 + INT(SUMIF($B$2:$B98, B98, G$2:G98) / 1000) * Assumptions!$C$37, Assumptions!$C$36 ), 0 )</f>
        <v>0</v>
      </c>
      <c r="P98" s="53">
        <f t="shared" si="4"/>
        <v>1108032.1102127454</v>
      </c>
      <c r="Q98" s="52">
        <f t="shared" si="5"/>
        <v>29503519.93344</v>
      </c>
    </row>
    <row r="99" spans="1:17">
      <c r="A99" s="2">
        <f t="shared" si="3"/>
        <v>3</v>
      </c>
      <c r="B99" s="2">
        <v>34</v>
      </c>
      <c r="C99" s="2" t="s">
        <v>89</v>
      </c>
      <c r="D99" s="62">
        <f>IF(
    B99 &lt; INDEX(Assumptions!$C$3:$C$7, MATCH(C99, {"Virginia","Florida","Texas","New York","California"}, 0)),
    0,
    IF(
        B99 = INDEX(Assumptions!$C$3:$C$7, MATCH(C99, {"Virginia","Florida","Texas","New York","California"}, 0)),
        IF(C99 = "Virginia", Assumptions!$C$13, Assumptions!$C$14),
        ROUND(
            (INDEX(Assumptions!$C$15:$C$19, MATCH(C99, {"Virginia","Florida","Texas","New York","California"}, 0)) * Assumptions!$C$9 -
            SUMIF(C$2:C98, C99, D$2:D99)) /
            (1 + EXP(-0.2 * (B99 - INDEX(Assumptions!$C$3:$C$7, MATCH(C99, {"Virginia","Florida","Texas","New York","California"}, 0)) - 30))),
            0
        )
    )
)</f>
        <v>5</v>
      </c>
      <c r="E99" s="62">
        <f>IF(B99&lt;INDEX(Assumptions!$C$3:$C$7, MATCH(C99, {"Virginia","Florida","Texas","New York","California"}, 0)),
    0,
    IF(F99=0,
        0,
        F99 * Assumptions!$C$12
    )
)</f>
        <v>16.654166666666665</v>
      </c>
      <c r="F99" s="62" cm="1">
        <f t="array" ref="F99">IF(B99&lt;INDEX(Assumptions!$C$3:$C$7, MATCH(C99, {"Virginia","Florida","Texas","New York","California"}, 0)),
    0,
    IF(C99=C98,
        F98 + D99,
        IF(COUNTIF($C$2:C99, C99) = 1, D99, LOOKUP(2, 1/(C$1:C98=C99), F$1:F98) + D99)
    )
)</f>
        <v>3997</v>
      </c>
      <c r="G99" s="62" cm="1">
        <f t="array" ref="G99">IF(B99&lt;INDEX(Assumptions!$C$3:$C$7, MATCH(C99, {"Virginia","Florida","Texas","New York","California"}, 0)),
    0,
    IF(C99=C98,
        G98 + D99 - E99,
        IF(COUNTIF($C$2:C99, C99) = 1, D99, LOOKUP(2, 1/(C$1:C98=C99), G$1:G98) + D99 - E99)
    )
)</f>
        <v>3753.95</v>
      </c>
      <c r="H99" s="63">
        <f>IF(B99&lt;INDEX(Assumptions!$C$3:$C$7, MATCH(C99, {"Virginia","Florida","Texas","New York","California"}, 0)),
    0,
    (G99 / INDEX(Assumptions!$C$15:$C$19, MATCH(C99, {"Virginia","Florida","Texas","New York","California"}, 0)))
)</f>
        <v>7.5078999999999993E-2</v>
      </c>
      <c r="I99" s="43">
        <f>G99*'Unit Economics'!$B$19* INDEX(Assumptions!$C$38:$C$42, MATCH(C99, {"Virginia","Florida","Texas","New York","California"}, 0))</f>
        <v>903876.08100000001</v>
      </c>
      <c r="J99" s="43">
        <f>D99*Assumptions!$C$21*INDEX(Assumptions!$C$38:$C$42,MATCH(C99,{"Virginia","Florida","Texas","New York","California"},0))</f>
        <v>1279.75</v>
      </c>
      <c r="K99" s="43">
        <f>G99/Assumptions!$C$22*('Unit Economics'!$F$24+'Unit Economics'!$F$25+'Unit Economics'!$F$26)</f>
        <v>179002.6893382353</v>
      </c>
      <c r="L99" s="43">
        <f>D99*Assumptions!$C$29</f>
        <v>925</v>
      </c>
      <c r="M99" s="35">
        <f>G99*Assumptions!$C$27</f>
        <v>0</v>
      </c>
      <c r="N99" s="35">
        <f>G99*Assumptions!$C$28</f>
        <v>0</v>
      </c>
      <c r="O99" s="64">
        <f>IF( COUNTIF($B$2:B99, B99) = 1, MIN( Assumptions!$C$34 + INT(SUMIF($B$2:$B99, B99, G$2:G99) / 1000) * Assumptions!$C$37, Assumptions!$C$36 ), 0 )</f>
        <v>0</v>
      </c>
      <c r="P99" s="53">
        <f t="shared" si="4"/>
        <v>1083233.5203382354</v>
      </c>
      <c r="Q99" s="52">
        <f t="shared" si="5"/>
        <v>30586753.453778237</v>
      </c>
    </row>
    <row r="100" spans="1:17">
      <c r="A100" s="2">
        <f t="shared" si="3"/>
        <v>3</v>
      </c>
      <c r="B100" s="2">
        <v>35</v>
      </c>
      <c r="C100" s="2" t="s">
        <v>92</v>
      </c>
      <c r="D100" s="62">
        <f>IF(
    B100 &lt; INDEX(Assumptions!$C$3:$C$7, MATCH(C100, {"Virginia","Florida","Texas","New York","California"}, 0)),
    0,
    IF(
        B100 = INDEX(Assumptions!$C$3:$C$7, MATCH(C100, {"Virginia","Florida","Texas","New York","California"}, 0)),
        IF(C100 = "Virginia", Assumptions!$C$13, Assumptions!$C$14),
        ROUND(
            (INDEX(Assumptions!$C$15:$C$19, MATCH(C100, {"Virginia","Florida","Texas","New York","California"}, 0)) * Assumptions!$C$9 -
            SUMIF(C$2:C99, C100, D$2:D100)) /
            (1 + EXP(-0.2 * (B100 - INDEX(Assumptions!$C$3:$C$7, MATCH(C100, {"Virginia","Florida","Texas","New York","California"}, 0)) - 30))),
            0
        )
    )
)</f>
        <v>79</v>
      </c>
      <c r="E100" s="62">
        <f>IF(B100&lt;INDEX(Assumptions!$C$3:$C$7, MATCH(C100, {"Virginia","Florida","Texas","New York","California"}, 0)),
    0,
    IF(F100=0,
        0,
        F100 * Assumptions!$C$12
    )
)</f>
        <v>2.0458333333333334</v>
      </c>
      <c r="F100" s="62" cm="1">
        <f t="array" ref="F100">IF(B100&lt;INDEX(Assumptions!$C$3:$C$7, MATCH(C100, {"Virginia","Florida","Texas","New York","California"}, 0)),
    0,
    IF(C100=C99,
        F99 + D100,
        IF(COUNTIF($C$2:C100, C100) = 1, D100, LOOKUP(2, 1/(C$1:C99=C100), F$1:F99) + D100)
    )
)</f>
        <v>491</v>
      </c>
      <c r="G100" s="62" cm="1">
        <f t="array" ref="G100">IF(B100&lt;INDEX(Assumptions!$C$3:$C$7, MATCH(C100, {"Virginia","Florida","Texas","New York","California"}, 0)),
    0,
    IF(C100=C99,
        G99 + D100 - E100,
        IF(COUNTIF($C$2:C100, C100) = 1, D100, LOOKUP(2, 1/(C$1:C99=C100), G$1:G99) + D100 - E100)
    )
)</f>
        <v>480.29166666666674</v>
      </c>
      <c r="H100" s="63">
        <f>IF(B100&lt;INDEX(Assumptions!$C$3:$C$7, MATCH(C100, {"Virginia","Florida","Texas","New York","California"}, 0)),
    0,
    (G100 / INDEX(Assumptions!$C$15:$C$19, MATCH(C100, {"Virginia","Florida","Texas","New York","California"}, 0)))
)</f>
        <v>8.0048611111111119E-3</v>
      </c>
      <c r="I100" s="43">
        <f>G100*'Unit Economics'!$B$19* INDEX(Assumptions!$C$38:$C$42, MATCH(C100, {"Virginia","Florida","Texas","New York","California"}, 0))</f>
        <v>124896.19770000003</v>
      </c>
      <c r="J100" s="43">
        <f>D100*Assumptions!$C$21*INDEX(Assumptions!$C$38:$C$42,MATCH(C100,{"Virginia","Florida","Texas","New York","California"},0))</f>
        <v>21837.654000000002</v>
      </c>
      <c r="K100" s="43">
        <f>G100/Assumptions!$C$22*('Unit Economics'!$F$24+'Unit Economics'!$F$25+'Unit Economics'!$F$26)</f>
        <v>22902.143075980399</v>
      </c>
      <c r="L100" s="43">
        <f>D100*Assumptions!$C$29</f>
        <v>14615</v>
      </c>
      <c r="M100" s="35">
        <f>G100*Assumptions!$C$27</f>
        <v>0</v>
      </c>
      <c r="N100" s="35">
        <f>G100*Assumptions!$C$28</f>
        <v>0</v>
      </c>
      <c r="O100" s="64">
        <f>IF( COUNTIF($B$2:B100, B100) = 1, MIN( Assumptions!$C$34 + INT(SUMIF($B$2:$B100, B100, G$2:G100) / 1000) * Assumptions!$C$37, Assumptions!$C$36 ), 0 )</f>
        <v>60000</v>
      </c>
      <c r="P100" s="53">
        <f t="shared" si="4"/>
        <v>95020.99477598042</v>
      </c>
      <c r="Q100" s="52">
        <f t="shared" si="5"/>
        <v>30681774.448554218</v>
      </c>
    </row>
    <row r="101" spans="1:17">
      <c r="A101" s="2">
        <f t="shared" si="3"/>
        <v>3</v>
      </c>
      <c r="B101" s="2">
        <v>35</v>
      </c>
      <c r="C101" s="2" t="s">
        <v>93</v>
      </c>
      <c r="D101" s="62">
        <f>IF(
    B101 &lt; INDEX(Assumptions!$C$3:$C$7, MATCH(C101, {"Virginia","Florida","Texas","New York","California"}, 0)),
    0,
    IF(
        B101 = INDEX(Assumptions!$C$3:$C$7, MATCH(C101, {"Virginia","Florida","Texas","New York","California"}, 0)),
        IF(C101 = "Virginia", Assumptions!$C$13, Assumptions!$C$14),
        ROUND(
            (INDEX(Assumptions!$C$15:$C$19, MATCH(C101, {"Virginia","Florida","Texas","New York","California"}, 0)) * Assumptions!$C$9 -
            SUMIF(C$2:C100, C101, D$2:D101)) /
            (1 + EXP(-0.2 * (B101 - INDEX(Assumptions!$C$3:$C$7, MATCH(C101, {"Virginia","Florida","Texas","New York","California"}, 0)) - 30))),
            0
        )
    )
)</f>
        <v>119</v>
      </c>
      <c r="E101" s="62">
        <f>IF(B101&lt;INDEX(Assumptions!$C$3:$C$7, MATCH(C101, {"Virginia","Florida","Texas","New York","California"}, 0)),
    0,
    IF(F101=0,
        0,
        F101 * Assumptions!$C$12
    )
)</f>
        <v>2.8791666666666664</v>
      </c>
      <c r="F101" s="62" cm="1">
        <f t="array" ref="F101">IF(B101&lt;INDEX(Assumptions!$C$3:$C$7, MATCH(C101, {"Virginia","Florida","Texas","New York","California"}, 0)),
    0,
    IF(C101=C100,
        F100 + D101,
        IF(COUNTIF($C$2:C101, C101) = 1, D101, LOOKUP(2, 1/(C$1:C100=C101), F$1:F100) + D101)
    )
)</f>
        <v>691</v>
      </c>
      <c r="G101" s="62" cm="1">
        <f t="array" ref="G101">IF(B101&lt;INDEX(Assumptions!$C$3:$C$7, MATCH(C101, {"Virginia","Florida","Texas","New York","California"}, 0)),
    0,
    IF(C101=C100,
        G100 + D101 - E101,
        IF(COUNTIF($C$2:C101, C101) = 1, D101, LOOKUP(2, 1/(C$1:C100=C101), G$1:G100) + D101 - E101)
    )
)</f>
        <v>676.92499999999995</v>
      </c>
      <c r="H101" s="63">
        <f>IF(B101&lt;INDEX(Assumptions!$C$3:$C$7, MATCH(C101, {"Virginia","Florida","Texas","New York","California"}, 0)),
    0,
    (G101 / INDEX(Assumptions!$C$15:$C$19, MATCH(C101, {"Virginia","Florida","Texas","New York","California"}, 0)))
)</f>
        <v>7.5213888888888882E-3</v>
      </c>
      <c r="I101" s="43">
        <f>G101*'Unit Economics'!$B$19* INDEX(Assumptions!$C$38:$C$42, MATCH(C101, {"Virginia","Florida","Texas","New York","California"}, 0))</f>
        <v>179289.00164999999</v>
      </c>
      <c r="J101" s="43">
        <f>D101*Assumptions!$C$21*INDEX(Assumptions!$C$38:$C$42,MATCH(C101,{"Virginia","Florida","Texas","New York","California"},0))</f>
        <v>33503.855000000003</v>
      </c>
      <c r="K101" s="43">
        <f>G101/Assumptions!$C$22*('Unit Economics'!$F$24+'Unit Economics'!$F$25+'Unit Economics'!$F$26)</f>
        <v>32278.372242647059</v>
      </c>
      <c r="L101" s="43">
        <f>D101*Assumptions!$C$29</f>
        <v>22015</v>
      </c>
      <c r="M101" s="35">
        <f>G101*Assumptions!$C$27</f>
        <v>0</v>
      </c>
      <c r="N101" s="35">
        <f>G101*Assumptions!$C$28</f>
        <v>0</v>
      </c>
      <c r="O101" s="64">
        <f>IF( COUNTIF($B$2:B101, B101) = 1, MIN( Assumptions!$C$34 + INT(SUMIF($B$2:$B101, B101, G$2:G101) / 1000) * Assumptions!$C$37, Assumptions!$C$36 ), 0 )</f>
        <v>0</v>
      </c>
      <c r="P101" s="53">
        <f t="shared" si="4"/>
        <v>223056.22889264705</v>
      </c>
      <c r="Q101" s="52">
        <f t="shared" si="5"/>
        <v>30904830.677446865</v>
      </c>
    </row>
    <row r="102" spans="1:17">
      <c r="A102" s="2">
        <f t="shared" si="3"/>
        <v>3</v>
      </c>
      <c r="B102" s="2">
        <v>35</v>
      </c>
      <c r="C102" s="2" t="s">
        <v>90</v>
      </c>
      <c r="D102" s="62">
        <f>IF(
    B102 &lt; INDEX(Assumptions!$C$3:$C$7, MATCH(C102, {"Virginia","Florida","Texas","New York","California"}, 0)),
    0,
    IF(
        B102 = INDEX(Assumptions!$C$3:$C$7, MATCH(C102, {"Virginia","Florida","Texas","New York","California"}, 0)),
        IF(C102 = "Virginia", Assumptions!$C$13, Assumptions!$C$14),
        ROUND(
            (INDEX(Assumptions!$C$15:$C$19, MATCH(C102, {"Virginia","Florida","Texas","New York","California"}, 0)) * Assumptions!$C$9 -
            SUMIF(C$2:C101, C102, D$2:D102)) /
            (1 + EXP(-0.2 * (B102 - INDEX(Assumptions!$C$3:$C$7, MATCH(C102, {"Virginia","Florida","Texas","New York","California"}, 0)) - 30))),
            0
        )
    )
)</f>
        <v>391</v>
      </c>
      <c r="E102" s="62">
        <f>IF(B102&lt;INDEX(Assumptions!$C$3:$C$7, MATCH(C102, {"Virginia","Florida","Texas","New York","California"}, 0)),
    0,
    IF(F102=0,
        0,
        F102 * Assumptions!$C$12
    )
)</f>
        <v>15.262499999999999</v>
      </c>
      <c r="F102" s="62" cm="1">
        <f t="array" ref="F102">IF(B102&lt;INDEX(Assumptions!$C$3:$C$7, MATCH(C102, {"Virginia","Florida","Texas","New York","California"}, 0)),
    0,
    IF(C102=C101,
        F101 + D102,
        IF(COUNTIF($C$2:C102, C102) = 1, D102, LOOKUP(2, 1/(C$1:C101=C102), F$1:F101) + D102)
    )
)</f>
        <v>3663</v>
      </c>
      <c r="G102" s="62" cm="1">
        <f t="array" ref="G102">IF(B102&lt;INDEX(Assumptions!$C$3:$C$7, MATCH(C102, {"Virginia","Florida","Texas","New York","California"}, 0)),
    0,
    IF(C102=C101,
        G101 + D102 - E102,
        IF(COUNTIF($C$2:C102, C102) = 1, D102, LOOKUP(2, 1/(C$1:C101=C102), G$1:G101) + D102 - E102)
    )
)</f>
        <v>3555.7791666666672</v>
      </c>
      <c r="H102" s="63">
        <f>IF(B102&lt;INDEX(Assumptions!$C$3:$C$7, MATCH(C102, {"Virginia","Florida","Texas","New York","California"}, 0)),
    0,
    (G102 / INDEX(Assumptions!$C$15:$C$19, MATCH(C102, {"Virginia","Florida","Texas","New York","California"}, 0)))
)</f>
        <v>5.0796845238095245E-2</v>
      </c>
      <c r="I102" s="43">
        <f>G102*'Unit Economics'!$B$19* INDEX(Assumptions!$C$38:$C$42, MATCH(C102, {"Virginia","Florida","Texas","New York","California"}, 0))</f>
        <v>898968.53313750017</v>
      </c>
      <c r="J102" s="43">
        <f>D102*Assumptions!$C$21*INDEX(Assumptions!$C$38:$C$42,MATCH(C102,{"Virginia","Florida","Texas","New York","California"},0))</f>
        <v>105080.27250000001</v>
      </c>
      <c r="K102" s="43">
        <f>G102/Assumptions!$C$22*('Unit Economics'!$F$24+'Unit Economics'!$F$25+'Unit Economics'!$F$26)</f>
        <v>169553.1462928922</v>
      </c>
      <c r="L102" s="43">
        <f>D102*Assumptions!$C$29</f>
        <v>72335</v>
      </c>
      <c r="M102" s="35">
        <f>G102*Assumptions!$C$27</f>
        <v>0</v>
      </c>
      <c r="N102" s="35">
        <f>G102*Assumptions!$C$28</f>
        <v>0</v>
      </c>
      <c r="O102" s="64">
        <f>IF( COUNTIF($B$2:B102, B102) = 1, MIN( Assumptions!$C$34 + INT(SUMIF($B$2:$B102, B102, G$2:G102) / 1000) * Assumptions!$C$37, Assumptions!$C$36 ), 0 )</f>
        <v>0</v>
      </c>
      <c r="P102" s="53">
        <f t="shared" si="4"/>
        <v>1101266.9519303923</v>
      </c>
      <c r="Q102" s="52">
        <f t="shared" si="5"/>
        <v>32006097.629377257</v>
      </c>
    </row>
    <row r="103" spans="1:17">
      <c r="A103" s="2">
        <f t="shared" si="3"/>
        <v>3</v>
      </c>
      <c r="B103" s="2">
        <v>35</v>
      </c>
      <c r="C103" s="2" t="s">
        <v>91</v>
      </c>
      <c r="D103" s="62">
        <f>IF(
    B103 &lt; INDEX(Assumptions!$C$3:$C$7, MATCH(C103, {"Virginia","Florida","Texas","New York","California"}, 0)),
    0,
    IF(
        B103 = INDEX(Assumptions!$C$3:$C$7, MATCH(C103, {"Virginia","Florida","Texas","New York","California"}, 0)),
        IF(C103 = "Virginia", Assumptions!$C$13, Assumptions!$C$14),
        ROUND(
            (INDEX(Assumptions!$C$15:$C$19, MATCH(C103, {"Virginia","Florida","Texas","New York","California"}, 0)) * Assumptions!$C$9 -
            SUMIF(C$2:C102, C103, D$2:D103)) /
            (1 + EXP(-0.2 * (B103 - INDEX(Assumptions!$C$3:$C$7, MATCH(C103, {"Virginia","Florida","Texas","New York","California"}, 0)) - 30))),
            0
        )
    )
)</f>
        <v>448</v>
      </c>
      <c r="E103" s="62">
        <f>IF(B103&lt;INDEX(Assumptions!$C$3:$C$7, MATCH(C103, {"Virginia","Florida","Texas","New York","California"}, 0)),
    0,
    IF(F103=0,
        0,
        F103 * Assumptions!$C$12
    )
)</f>
        <v>17.425000000000001</v>
      </c>
      <c r="F103" s="62" cm="1">
        <f t="array" ref="F103">IF(B103&lt;INDEX(Assumptions!$C$3:$C$7, MATCH(C103, {"Virginia","Florida","Texas","New York","California"}, 0)),
    0,
    IF(C103=C102,
        F102 + D103,
        IF(COUNTIF($C$2:C103, C103) = 1, D103, LOOKUP(2, 1/(C$1:C102=C103), F$1:F102) + D103)
    )
)</f>
        <v>4182</v>
      </c>
      <c r="G103" s="62" cm="1">
        <f t="array" ref="G103">IF(B103&lt;INDEX(Assumptions!$C$3:$C$7, MATCH(C103, {"Virginia","Florida","Texas","New York","California"}, 0)),
    0,
    IF(C103=C102,
        G102 + D103 - E103,
        IF(COUNTIF($C$2:C103, C103) = 1, D103, LOOKUP(2, 1/(C$1:C102=C103), G$1:G102) + D103 - E103)
    )
)</f>
        <v>4060.6166666666668</v>
      </c>
      <c r="H103" s="63">
        <f>IF(B103&lt;INDEX(Assumptions!$C$3:$C$7, MATCH(C103, {"Virginia","Florida","Texas","New York","California"}, 0)),
    0,
    (G103 / INDEX(Assumptions!$C$15:$C$19, MATCH(C103, {"Virginia","Florida","Texas","New York","California"}, 0)))
)</f>
        <v>5.0757708333333332E-2</v>
      </c>
      <c r="I103" s="43">
        <f>G103*'Unit Economics'!$B$19* INDEX(Assumptions!$C$38:$C$42, MATCH(C103, {"Virginia","Florida","Texas","New York","California"}, 0))</f>
        <v>1007046.7394300001</v>
      </c>
      <c r="J103" s="43">
        <f>D103*Assumptions!$C$21*INDEX(Assumptions!$C$38:$C$42,MATCH(C103,{"Virginia","Florida","Texas","New York","California"},0))</f>
        <v>118105.568</v>
      </c>
      <c r="K103" s="43">
        <f>G103/Assumptions!$C$22*('Unit Economics'!$F$24+'Unit Economics'!$F$25+'Unit Economics'!$F$26)</f>
        <v>193625.72855392157</v>
      </c>
      <c r="L103" s="43">
        <f>D103*Assumptions!$C$29</f>
        <v>82880</v>
      </c>
      <c r="M103" s="35">
        <f>G103*Assumptions!$C$27</f>
        <v>0</v>
      </c>
      <c r="N103" s="35">
        <f>G103*Assumptions!$C$28</f>
        <v>0</v>
      </c>
      <c r="O103" s="64">
        <f>IF( COUNTIF($B$2:B103, B103) = 1, MIN( Assumptions!$C$34 + INT(SUMIF($B$2:$B103, B103, G$2:G103) / 1000) * Assumptions!$C$37, Assumptions!$C$36 ), 0 )</f>
        <v>0</v>
      </c>
      <c r="P103" s="53">
        <f t="shared" si="4"/>
        <v>1235898.0359839215</v>
      </c>
      <c r="Q103" s="52">
        <f t="shared" si="5"/>
        <v>33241995.665361177</v>
      </c>
    </row>
    <row r="104" spans="1:17">
      <c r="A104" s="2">
        <f t="shared" si="3"/>
        <v>3</v>
      </c>
      <c r="B104" s="2">
        <v>35</v>
      </c>
      <c r="C104" s="2" t="s">
        <v>89</v>
      </c>
      <c r="D104" s="62">
        <f>IF(
    B104 &lt; INDEX(Assumptions!$C$3:$C$7, MATCH(C104, {"Virginia","Florida","Texas","New York","California"}, 0)),
    0,
    IF(
        B104 = INDEX(Assumptions!$C$3:$C$7, MATCH(C104, {"Virginia","Florida","Texas","New York","California"}, 0)),
        IF(C104 = "Virginia", Assumptions!$C$13, Assumptions!$C$14),
        ROUND(
            (INDEX(Assumptions!$C$15:$C$19, MATCH(C104, {"Virginia","Florida","Texas","New York","California"}, 0)) * Assumptions!$C$9 -
            SUMIF(C$2:C103, C104, D$2:D104)) /
            (1 + EXP(-0.2 * (B104 - INDEX(Assumptions!$C$3:$C$7, MATCH(C104, {"Virginia","Florida","Texas","New York","California"}, 0)) - 30))),
            0
        )
    )
)</f>
        <v>2</v>
      </c>
      <c r="E104" s="62">
        <f>IF(B104&lt;INDEX(Assumptions!$C$3:$C$7, MATCH(C104, {"Virginia","Florida","Texas","New York","California"}, 0)),
    0,
    IF(F104=0,
        0,
        F104 * Assumptions!$C$12
    )
)</f>
        <v>16.662500000000001</v>
      </c>
      <c r="F104" s="62" cm="1">
        <f t="array" ref="F104">IF(B104&lt;INDEX(Assumptions!$C$3:$C$7, MATCH(C104, {"Virginia","Florida","Texas","New York","California"}, 0)),
    0,
    IF(C104=C103,
        F103 + D104,
        IF(COUNTIF($C$2:C104, C104) = 1, D104, LOOKUP(2, 1/(C$1:C103=C104), F$1:F103) + D104)
    )
)</f>
        <v>3999</v>
      </c>
      <c r="G104" s="62" cm="1">
        <f t="array" ref="G104">IF(B104&lt;INDEX(Assumptions!$C$3:$C$7, MATCH(C104, {"Virginia","Florida","Texas","New York","California"}, 0)),
    0,
    IF(C104=C103,
        G103 + D104 - E104,
        IF(COUNTIF($C$2:C104, C104) = 1, D104, LOOKUP(2, 1/(C$1:C103=C104), G$1:G103) + D104 - E104)
    )
)</f>
        <v>3739.2874999999999</v>
      </c>
      <c r="H104" s="63">
        <f>IF(B104&lt;INDEX(Assumptions!$C$3:$C$7, MATCH(C104, {"Virginia","Florida","Texas","New York","California"}, 0)),
    0,
    (G104 / INDEX(Assumptions!$C$15:$C$19, MATCH(C104, {"Virginia","Florida","Texas","New York","California"}, 0)))
)</f>
        <v>7.4785749999999998E-2</v>
      </c>
      <c r="I104" s="43">
        <f>G104*'Unit Economics'!$B$19* INDEX(Assumptions!$C$38:$C$42, MATCH(C104, {"Virginia","Florida","Texas","New York","California"}, 0))</f>
        <v>900345.64425000001</v>
      </c>
      <c r="J104" s="43">
        <f>D104*Assumptions!$C$21*INDEX(Assumptions!$C$38:$C$42,MATCH(C104,{"Virginia","Florida","Texas","New York","California"},0))</f>
        <v>511.9</v>
      </c>
      <c r="K104" s="43">
        <f>G104/Assumptions!$C$22*('Unit Economics'!$F$24+'Unit Economics'!$F$25+'Unit Economics'!$F$26)</f>
        <v>178303.5252757353</v>
      </c>
      <c r="L104" s="43">
        <f>D104*Assumptions!$C$29</f>
        <v>370</v>
      </c>
      <c r="M104" s="35">
        <f>G104*Assumptions!$C$27</f>
        <v>0</v>
      </c>
      <c r="N104" s="35">
        <f>G104*Assumptions!$C$28</f>
        <v>0</v>
      </c>
      <c r="O104" s="64">
        <f>IF( COUNTIF($B$2:B104, B104) = 1, MIN( Assumptions!$C$34 + INT(SUMIF($B$2:$B104, B104, G$2:G104) / 1000) * Assumptions!$C$37, Assumptions!$C$36 ), 0 )</f>
        <v>0</v>
      </c>
      <c r="P104" s="53">
        <f t="shared" si="4"/>
        <v>1078791.0695257355</v>
      </c>
      <c r="Q104" s="52">
        <f t="shared" si="5"/>
        <v>34320786.734886914</v>
      </c>
    </row>
    <row r="105" spans="1:17">
      <c r="A105" s="2">
        <f t="shared" si="3"/>
        <v>3</v>
      </c>
      <c r="B105" s="2">
        <v>36</v>
      </c>
      <c r="C105" s="2" t="s">
        <v>92</v>
      </c>
      <c r="D105" s="62">
        <f>IF(
    B105 &lt; INDEX(Assumptions!$C$3:$C$7, MATCH(C105, {"Virginia","Florida","Texas","New York","California"}, 0)),
    0,
    IF(
        B105 = INDEX(Assumptions!$C$3:$C$7, MATCH(C105, {"Virginia","Florida","Texas","New York","California"}, 0)),
        IF(C105 = "Virginia", Assumptions!$C$13, Assumptions!$C$14),
        ROUND(
            (INDEX(Assumptions!$C$15:$C$19, MATCH(C105, {"Virginia","Florida","Texas","New York","California"}, 0)) * Assumptions!$C$9 -
            SUMIF(C$2:C104, C105, D$2:D105)) /
            (1 + EXP(-0.2 * (B105 - INDEX(Assumptions!$C$3:$C$7, MATCH(C105, {"Virginia","Florida","Texas","New York","California"}, 0)) - 30))),
            0
        )
    )
)</f>
        <v>94</v>
      </c>
      <c r="E105" s="62">
        <f>IF(B105&lt;INDEX(Assumptions!$C$3:$C$7, MATCH(C105, {"Virginia","Florida","Texas","New York","California"}, 0)),
    0,
    IF(F105=0,
        0,
        F105 * Assumptions!$C$12
    )
)</f>
        <v>2.4375</v>
      </c>
      <c r="F105" s="62" cm="1">
        <f t="array" ref="F105">IF(B105&lt;INDEX(Assumptions!$C$3:$C$7, MATCH(C105, {"Virginia","Florida","Texas","New York","California"}, 0)),
    0,
    IF(C105=C104,
        F104 + D105,
        IF(COUNTIF($C$2:C105, C105) = 1, D105, LOOKUP(2, 1/(C$1:C104=C105), F$1:F104) + D105)
    )
)</f>
        <v>585</v>
      </c>
      <c r="G105" s="62" cm="1">
        <f t="array" ref="G105">IF(B105&lt;INDEX(Assumptions!$C$3:$C$7, MATCH(C105, {"Virginia","Florida","Texas","New York","California"}, 0)),
    0,
    IF(C105=C104,
        G104 + D105 - E105,
        IF(COUNTIF($C$2:C105, C105) = 1, D105, LOOKUP(2, 1/(C$1:C104=C105), G$1:G104) + D105 - E105)
    )
)</f>
        <v>571.85416666666674</v>
      </c>
      <c r="H105" s="63">
        <f>IF(B105&lt;INDEX(Assumptions!$C$3:$C$7, MATCH(C105, {"Virginia","Florida","Texas","New York","California"}, 0)),
    0,
    (G105 / INDEX(Assumptions!$C$15:$C$19, MATCH(C105, {"Virginia","Florida","Texas","New York","California"}, 0)))
)</f>
        <v>9.5309027777777788E-3</v>
      </c>
      <c r="I105" s="43">
        <f>G105*'Unit Economics'!$B$19* INDEX(Assumptions!$C$38:$C$42, MATCH(C105, {"Virginia","Florida","Texas","New York","California"}, 0))</f>
        <v>148706.32995000001</v>
      </c>
      <c r="J105" s="43">
        <f>D105*Assumptions!$C$21*INDEX(Assumptions!$C$38:$C$42,MATCH(C105,{"Virginia","Florida","Texas","New York","California"},0))</f>
        <v>25984.044000000002</v>
      </c>
      <c r="K105" s="43">
        <f>G105/Assumptions!$C$22*('Unit Economics'!$F$24+'Unit Economics'!$F$25+'Unit Economics'!$F$26)</f>
        <v>27268.193167892161</v>
      </c>
      <c r="L105" s="43">
        <f>D105*Assumptions!$C$29</f>
        <v>17390</v>
      </c>
      <c r="M105" s="35">
        <f>G105*Assumptions!$C$27</f>
        <v>0</v>
      </c>
      <c r="N105" s="35">
        <f>G105*Assumptions!$C$28</f>
        <v>0</v>
      </c>
      <c r="O105" s="64">
        <f>IF( COUNTIF($B$2:B105, B105) = 1, MIN( Assumptions!$C$34 + INT(SUMIF($B$2:$B105, B105, G$2:G105) / 1000) * Assumptions!$C$37, Assumptions!$C$36 ), 0 )</f>
        <v>60000</v>
      </c>
      <c r="P105" s="53">
        <f t="shared" si="4"/>
        <v>124568.56711789218</v>
      </c>
      <c r="Q105" s="52">
        <f t="shared" si="5"/>
        <v>34445355.302004807</v>
      </c>
    </row>
    <row r="106" spans="1:17">
      <c r="A106" s="2">
        <f t="shared" si="3"/>
        <v>3</v>
      </c>
      <c r="B106" s="2">
        <v>36</v>
      </c>
      <c r="C106" s="2" t="s">
        <v>93</v>
      </c>
      <c r="D106" s="62">
        <f>IF(
    B106 &lt; INDEX(Assumptions!$C$3:$C$7, MATCH(C106, {"Virginia","Florida","Texas","New York","California"}, 0)),
    0,
    IF(
        B106 = INDEX(Assumptions!$C$3:$C$7, MATCH(C106, {"Virginia","Florida","Texas","New York","California"}, 0)),
        IF(C106 = "Virginia", Assumptions!$C$13, Assumptions!$C$14),
        ROUND(
            (INDEX(Assumptions!$C$15:$C$19, MATCH(C106, {"Virginia","Florida","Texas","New York","California"}, 0)) * Assumptions!$C$9 -
            SUMIF(C$2:C105, C106, D$2:D106)) /
            (1 + EXP(-0.2 * (B106 - INDEX(Assumptions!$C$3:$C$7, MATCH(C106, {"Virginia","Florida","Texas","New York","California"}, 0)) - 30))),
            0
        )
    )
)</f>
        <v>142</v>
      </c>
      <c r="E106" s="62">
        <f>IF(B106&lt;INDEX(Assumptions!$C$3:$C$7, MATCH(C106, {"Virginia","Florida","Texas","New York","California"}, 0)),
    0,
    IF(F106=0,
        0,
        F106 * Assumptions!$C$12
    )
)</f>
        <v>3.4708333333333332</v>
      </c>
      <c r="F106" s="62" cm="1">
        <f t="array" ref="F106">IF(B106&lt;INDEX(Assumptions!$C$3:$C$7, MATCH(C106, {"Virginia","Florida","Texas","New York","California"}, 0)),
    0,
    IF(C106=C105,
        F105 + D106,
        IF(COUNTIF($C$2:C106, C106) = 1, D106, LOOKUP(2, 1/(C$1:C105=C106), F$1:F105) + D106)
    )
)</f>
        <v>833</v>
      </c>
      <c r="G106" s="62" cm="1">
        <f t="array" ref="G106">IF(B106&lt;INDEX(Assumptions!$C$3:$C$7, MATCH(C106, {"Virginia","Florida","Texas","New York","California"}, 0)),
    0,
    IF(C106=C105,
        G105 + D106 - E106,
        IF(COUNTIF($C$2:C106, C106) = 1, D106, LOOKUP(2, 1/(C$1:C105=C106), G$1:G105) + D106 - E106)
    )
)</f>
        <v>815.45416666666665</v>
      </c>
      <c r="H106" s="63">
        <f>IF(B106&lt;INDEX(Assumptions!$C$3:$C$7, MATCH(C106, {"Virginia","Florida","Texas","New York","California"}, 0)),
    0,
    (G106 / INDEX(Assumptions!$C$15:$C$19, MATCH(C106, {"Virginia","Florida","Texas","New York","California"}, 0)))
)</f>
        <v>9.0606018518518509E-3</v>
      </c>
      <c r="I106" s="43">
        <f>G106*'Unit Economics'!$B$19* INDEX(Assumptions!$C$38:$C$42, MATCH(C106, {"Virginia","Florida","Texas","New York","California"}, 0))</f>
        <v>215979.559675</v>
      </c>
      <c r="J106" s="43">
        <f>D106*Assumptions!$C$21*INDEX(Assumptions!$C$38:$C$42,MATCH(C106,{"Virginia","Florida","Texas","New York","California"},0))</f>
        <v>39979.390000000007</v>
      </c>
      <c r="K106" s="43">
        <f>G106/Assumptions!$C$22*('Unit Economics'!$F$24+'Unit Economics'!$F$25+'Unit Economics'!$F$26)</f>
        <v>38883.972579656867</v>
      </c>
      <c r="L106" s="43">
        <f>D106*Assumptions!$C$29</f>
        <v>26270</v>
      </c>
      <c r="M106" s="35">
        <f>G106*Assumptions!$C$27</f>
        <v>0</v>
      </c>
      <c r="N106" s="35">
        <f>G106*Assumptions!$C$28</f>
        <v>0</v>
      </c>
      <c r="O106" s="64">
        <f>IF( COUNTIF($B$2:B106, B106) = 1, MIN( Assumptions!$C$34 + INT(SUMIF($B$2:$B106, B106, G$2:G106) / 1000) * Assumptions!$C$37, Assumptions!$C$36 ), 0 )</f>
        <v>0</v>
      </c>
      <c r="P106" s="53">
        <f t="shared" si="4"/>
        <v>268572.92225465691</v>
      </c>
      <c r="Q106" s="52">
        <f t="shared" si="5"/>
        <v>34713928.224259466</v>
      </c>
    </row>
    <row r="107" spans="1:17">
      <c r="A107" s="2">
        <f t="shared" si="3"/>
        <v>3</v>
      </c>
      <c r="B107" s="2">
        <v>36</v>
      </c>
      <c r="C107" s="2" t="s">
        <v>90</v>
      </c>
      <c r="D107" s="62">
        <f>IF(
    B107 &lt; INDEX(Assumptions!$C$3:$C$7, MATCH(C107, {"Virginia","Florida","Texas","New York","California"}, 0)),
    0,
    IF(
        B107 = INDEX(Assumptions!$C$3:$C$7, MATCH(C107, {"Virginia","Florida","Texas","New York","California"}, 0)),
        IF(C107 = "Virginia", Assumptions!$C$13, Assumptions!$C$14),
        ROUND(
            (INDEX(Assumptions!$C$15:$C$19, MATCH(C107, {"Virginia","Florida","Texas","New York","California"}, 0)) * Assumptions!$C$9 -
            SUMIF(C$2:C106, C107, D$2:D107)) /
            (1 + EXP(-0.2 * (B107 - INDEX(Assumptions!$C$3:$C$7, MATCH(C107, {"Virginia","Florida","Texas","New York","California"}, 0)) - 30))),
            0
        )
    )
)</f>
        <v>383</v>
      </c>
      <c r="E107" s="62">
        <f>IF(B107&lt;INDEX(Assumptions!$C$3:$C$7, MATCH(C107, {"Virginia","Florida","Texas","New York","California"}, 0)),
    0,
    IF(F107=0,
        0,
        F107 * Assumptions!$C$12
    )
)</f>
        <v>16.858333333333334</v>
      </c>
      <c r="F107" s="62" cm="1">
        <f t="array" ref="F107">IF(B107&lt;INDEX(Assumptions!$C$3:$C$7, MATCH(C107, {"Virginia","Florida","Texas","New York","California"}, 0)),
    0,
    IF(C107=C106,
        F106 + D107,
        IF(COUNTIF($C$2:C107, C107) = 1, D107, LOOKUP(2, 1/(C$1:C106=C107), F$1:F106) + D107)
    )
)</f>
        <v>4046</v>
      </c>
      <c r="G107" s="62" cm="1">
        <f t="array" ref="G107">IF(B107&lt;INDEX(Assumptions!$C$3:$C$7, MATCH(C107, {"Virginia","Florida","Texas","New York","California"}, 0)),
    0,
    IF(C107=C106,
        G106 + D107 - E107,
        IF(COUNTIF($C$2:C107, C107) = 1, D107, LOOKUP(2, 1/(C$1:C106=C107), G$1:G106) + D107 - E107)
    )
)</f>
        <v>3921.920833333334</v>
      </c>
      <c r="H107" s="63">
        <f>IF(B107&lt;INDEX(Assumptions!$C$3:$C$7, MATCH(C107, {"Virginia","Florida","Texas","New York","California"}, 0)),
    0,
    (G107 / INDEX(Assumptions!$C$15:$C$19, MATCH(C107, {"Virginia","Florida","Texas","New York","California"}, 0)))
)</f>
        <v>5.6027440476190488E-2</v>
      </c>
      <c r="I107" s="43">
        <f>G107*'Unit Economics'!$B$19* INDEX(Assumptions!$C$38:$C$42, MATCH(C107, {"Virginia","Florida","Texas","New York","California"}, 0))</f>
        <v>991536.10316250019</v>
      </c>
      <c r="J107" s="43">
        <f>D107*Assumptions!$C$21*INDEX(Assumptions!$C$38:$C$42,MATCH(C107,{"Virginia","Florida","Texas","New York","California"},0))</f>
        <v>102930.2925</v>
      </c>
      <c r="K107" s="43">
        <f>G107/Assumptions!$C$22*('Unit Economics'!$F$24+'Unit Economics'!$F$25+'Unit Economics'!$F$26)</f>
        <v>187012.18091299024</v>
      </c>
      <c r="L107" s="43">
        <f>D107*Assumptions!$C$29</f>
        <v>70855</v>
      </c>
      <c r="M107" s="35">
        <f>G107*Assumptions!$C$27</f>
        <v>0</v>
      </c>
      <c r="N107" s="35">
        <f>G107*Assumptions!$C$28</f>
        <v>0</v>
      </c>
      <c r="O107" s="64">
        <f>IF( COUNTIF($B$2:B107, B107) = 1, MIN( Assumptions!$C$34 + INT(SUMIF($B$2:$B107, B107, G$2:G107) / 1000) * Assumptions!$C$37, Assumptions!$C$36 ), 0 )</f>
        <v>0</v>
      </c>
      <c r="P107" s="53">
        <f t="shared" si="4"/>
        <v>1210623.5765754906</v>
      </c>
      <c r="Q107" s="52">
        <f t="shared" si="5"/>
        <v>35924551.800834954</v>
      </c>
    </row>
    <row r="108" spans="1:17">
      <c r="A108" s="2">
        <f t="shared" si="3"/>
        <v>3</v>
      </c>
      <c r="B108" s="2">
        <v>36</v>
      </c>
      <c r="C108" s="2" t="s">
        <v>91</v>
      </c>
      <c r="D108" s="62">
        <f>IF(
    B108 &lt; INDEX(Assumptions!$C$3:$C$7, MATCH(C108, {"Virginia","Florida","Texas","New York","California"}, 0)),
    0,
    IF(
        B108 = INDEX(Assumptions!$C$3:$C$7, MATCH(C108, {"Virginia","Florida","Texas","New York","California"}, 0)),
        IF(C108 = "Virginia", Assumptions!$C$13, Assumptions!$C$14),
        ROUND(
            (INDEX(Assumptions!$C$15:$C$19, MATCH(C108, {"Virginia","Florida","Texas","New York","California"}, 0)) * Assumptions!$C$9 -
            SUMIF(C$2:C107, C108, D$2:D108)) /
            (1 + EXP(-0.2 * (B108 - INDEX(Assumptions!$C$3:$C$7, MATCH(C108, {"Virginia","Florida","Texas","New York","California"}, 0)) - 30))),
            0
        )
    )
)</f>
        <v>439</v>
      </c>
      <c r="E108" s="62">
        <f>IF(B108&lt;INDEX(Assumptions!$C$3:$C$7, MATCH(C108, {"Virginia","Florida","Texas","New York","California"}, 0)),
    0,
    IF(F108=0,
        0,
        F108 * Assumptions!$C$12
    )
)</f>
        <v>19.254166666666666</v>
      </c>
      <c r="F108" s="62" cm="1">
        <f t="array" ref="F108">IF(B108&lt;INDEX(Assumptions!$C$3:$C$7, MATCH(C108, {"Virginia","Florida","Texas","New York","California"}, 0)),
    0,
    IF(C108=C107,
        F107 + D108,
        IF(COUNTIF($C$2:C108, C108) = 1, D108, LOOKUP(2, 1/(C$1:C107=C108), F$1:F107) + D108)
    )
)</f>
        <v>4621</v>
      </c>
      <c r="G108" s="62" cm="1">
        <f t="array" ref="G108">IF(B108&lt;INDEX(Assumptions!$C$3:$C$7, MATCH(C108, {"Virginia","Florida","Texas","New York","California"}, 0)),
    0,
    IF(C108=C107,
        G107 + D108 - E108,
        IF(COUNTIF($C$2:C108, C108) = 1, D108, LOOKUP(2, 1/(C$1:C107=C108), G$1:G107) + D108 - E108)
    )
)</f>
        <v>4480.3625000000002</v>
      </c>
      <c r="H108" s="63">
        <f>IF(B108&lt;INDEX(Assumptions!$C$3:$C$7, MATCH(C108, {"Virginia","Florida","Texas","New York","California"}, 0)),
    0,
    (G108 / INDEX(Assumptions!$C$15:$C$19, MATCH(C108, {"Virginia","Florida","Texas","New York","California"}, 0)))
)</f>
        <v>5.6004531250000003E-2</v>
      </c>
      <c r="I108" s="43">
        <f>G108*'Unit Economics'!$B$19* INDEX(Assumptions!$C$38:$C$42, MATCH(C108, {"Virginia","Florida","Texas","New York","California"}, 0))</f>
        <v>1111145.1332325002</v>
      </c>
      <c r="J108" s="43">
        <f>D108*Assumptions!$C$21*INDEX(Assumptions!$C$38:$C$42,MATCH(C108,{"Virginia","Florida","Texas","New York","California"},0))</f>
        <v>115732.91149999999</v>
      </c>
      <c r="K108" s="43">
        <f>G108/Assumptions!$C$22*('Unit Economics'!$F$24+'Unit Economics'!$F$25+'Unit Economics'!$F$26)</f>
        <v>213640.81479779416</v>
      </c>
      <c r="L108" s="43">
        <f>D108*Assumptions!$C$29</f>
        <v>81215</v>
      </c>
      <c r="M108" s="35">
        <f>G108*Assumptions!$C$27</f>
        <v>0</v>
      </c>
      <c r="N108" s="35">
        <f>G108*Assumptions!$C$28</f>
        <v>0</v>
      </c>
      <c r="O108" s="64">
        <f>IF( COUNTIF($B$2:B108, B108) = 1, MIN( Assumptions!$C$34 + INT(SUMIF($B$2:$B108, B108, G$2:G108) / 1000) * Assumptions!$C$37, Assumptions!$C$36 ), 0 )</f>
        <v>0</v>
      </c>
      <c r="P108" s="53">
        <f t="shared" si="4"/>
        <v>1359303.8595302943</v>
      </c>
      <c r="Q108" s="52">
        <f t="shared" si="5"/>
        <v>37283855.660365246</v>
      </c>
    </row>
    <row r="109" spans="1:17">
      <c r="A109" s="2">
        <f t="shared" si="3"/>
        <v>3</v>
      </c>
      <c r="B109" s="2">
        <v>36</v>
      </c>
      <c r="C109" s="2" t="s">
        <v>89</v>
      </c>
      <c r="D109" s="62">
        <f>IF(
    B109 &lt; INDEX(Assumptions!$C$3:$C$7, MATCH(C109, {"Virginia","Florida","Texas","New York","California"}, 0)),
    0,
    IF(
        B109 = INDEX(Assumptions!$C$3:$C$7, MATCH(C109, {"Virginia","Florida","Texas","New York","California"}, 0)),
        IF(C109 = "Virginia", Assumptions!$C$13, Assumptions!$C$14),
        ROUND(
            (INDEX(Assumptions!$C$15:$C$19, MATCH(C109, {"Virginia","Florida","Texas","New York","California"}, 0)) * Assumptions!$C$9 -
            SUMIF(C$2:C108, C109, D$2:D109)) /
            (1 + EXP(-0.2 * (B109 - INDEX(Assumptions!$C$3:$C$7, MATCH(C109, {"Virginia","Florida","Texas","New York","California"}, 0)) - 30))),
            0
        )
    )
)</f>
        <v>1</v>
      </c>
      <c r="E109" s="62">
        <f>IF(B109&lt;INDEX(Assumptions!$C$3:$C$7, MATCH(C109, {"Virginia","Florida","Texas","New York","California"}, 0)),
    0,
    IF(F109=0,
        0,
        F109 * Assumptions!$C$12
    )
)</f>
        <v>16.666666666666668</v>
      </c>
      <c r="F109" s="62" cm="1">
        <f t="array" ref="F109">IF(B109&lt;INDEX(Assumptions!$C$3:$C$7, MATCH(C109, {"Virginia","Florida","Texas","New York","California"}, 0)),
    0,
    IF(C109=C108,
        F108 + D109,
        IF(COUNTIF($C$2:C109, C109) = 1, D109, LOOKUP(2, 1/(C$1:C108=C109), F$1:F108) + D109)
    )
)</f>
        <v>4000</v>
      </c>
      <c r="G109" s="62" cm="1">
        <f t="array" ref="G109">IF(B109&lt;INDEX(Assumptions!$C$3:$C$7, MATCH(C109, {"Virginia","Florida","Texas","New York","California"}, 0)),
    0,
    IF(C109=C108,
        G108 + D109 - E109,
        IF(COUNTIF($C$2:C109, C109) = 1, D109, LOOKUP(2, 1/(C$1:C108=C109), G$1:G108) + D109 - E109)
    )
)</f>
        <v>3723.6208333333334</v>
      </c>
      <c r="H109" s="63">
        <f>IF(B109&lt;INDEX(Assumptions!$C$3:$C$7, MATCH(C109, {"Virginia","Florida","Texas","New York","California"}, 0)),
    0,
    (G109 / INDEX(Assumptions!$C$15:$C$19, MATCH(C109, {"Virginia","Florida","Texas","New York","California"}, 0)))
)</f>
        <v>7.4472416666666666E-2</v>
      </c>
      <c r="I109" s="43">
        <f>G109*'Unit Economics'!$B$19* INDEX(Assumptions!$C$38:$C$42, MATCH(C109, {"Virginia","Florida","Texas","New York","California"}, 0))</f>
        <v>896573.42425000004</v>
      </c>
      <c r="J109" s="43">
        <f>D109*Assumptions!$C$21*INDEX(Assumptions!$C$38:$C$42,MATCH(C109,{"Virginia","Florida","Texas","New York","California"},0))</f>
        <v>255.95</v>
      </c>
      <c r="K109" s="43">
        <f>G109/Assumptions!$C$22*('Unit Economics'!$F$24+'Unit Economics'!$F$25+'Unit Economics'!$F$26)</f>
        <v>177556.47870710786</v>
      </c>
      <c r="L109" s="43">
        <f>D109*Assumptions!$C$29</f>
        <v>185</v>
      </c>
      <c r="M109" s="35">
        <f>G109*Assumptions!$C$27</f>
        <v>0</v>
      </c>
      <c r="N109" s="35">
        <f>G109*Assumptions!$C$28</f>
        <v>0</v>
      </c>
      <c r="O109" s="64">
        <f>IF( COUNTIF($B$2:B109, B109) = 1, MIN( Assumptions!$C$34 + INT(SUMIF($B$2:$B109, B109, G$2:G109) / 1000) * Assumptions!$C$37, Assumptions!$C$36 ), 0 )</f>
        <v>0</v>
      </c>
      <c r="P109" s="53">
        <f t="shared" si="4"/>
        <v>1074200.8529571078</v>
      </c>
      <c r="Q109" s="52">
        <f t="shared" si="5"/>
        <v>38358056.513322353</v>
      </c>
    </row>
    <row r="110" spans="1:17">
      <c r="A110" s="2">
        <f t="shared" si="3"/>
        <v>4</v>
      </c>
      <c r="B110" s="2">
        <v>37</v>
      </c>
      <c r="C110" s="2" t="s">
        <v>92</v>
      </c>
      <c r="D110" s="62">
        <f>IF(
    B110 &lt; INDEX(Assumptions!$C$3:$C$7, MATCH(C110, {"Virginia","Florida","Texas","New York","California"}, 0)),
    0,
    IF(
        B110 = INDEX(Assumptions!$C$3:$C$7, MATCH(C110, {"Virginia","Florida","Texas","New York","California"}, 0)),
        IF(C110 = "Virginia", Assumptions!$C$13, Assumptions!$C$14),
        ROUND(
            (INDEX(Assumptions!$C$15:$C$19, MATCH(C110, {"Virginia","Florida","Texas","New York","California"}, 0)) * Assumptions!$C$9 -
            SUMIF(C$2:C109, C110, D$2:D110)) /
            (1 + EXP(-0.2 * (B110 - INDEX(Assumptions!$C$3:$C$7, MATCH(C110, {"Virginia","Florida","Texas","New York","California"}, 0)) - 30))),
            0
        )
    )
)</f>
        <v>112</v>
      </c>
      <c r="E110" s="62">
        <f>IF(B110&lt;INDEX(Assumptions!$C$3:$C$7, MATCH(C110, {"Virginia","Florida","Texas","New York","California"}, 0)),
    0,
    IF(F110=0,
        0,
        F110 * Assumptions!$C$12
    )
)</f>
        <v>2.9041666666666668</v>
      </c>
      <c r="F110" s="62" cm="1">
        <f t="array" ref="F110">IF(B110&lt;INDEX(Assumptions!$C$3:$C$7, MATCH(C110, {"Virginia","Florida","Texas","New York","California"}, 0)),
    0,
    IF(C110=C109,
        F109 + D110,
        IF(COUNTIF($C$2:C110, C110) = 1, D110, LOOKUP(2, 1/(C$1:C109=C110), F$1:F109) + D110)
    )
)</f>
        <v>697</v>
      </c>
      <c r="G110" s="62" cm="1">
        <f t="array" ref="G110">IF(B110&lt;INDEX(Assumptions!$C$3:$C$7, MATCH(C110, {"Virginia","Florida","Texas","New York","California"}, 0)),
    0,
    IF(C110=C109,
        G109 + D110 - E110,
        IF(COUNTIF($C$2:C110, C110) = 1, D110, LOOKUP(2, 1/(C$1:C109=C110), G$1:G109) + D110 - E110)
    )
)</f>
        <v>680.95</v>
      </c>
      <c r="H110" s="63">
        <f>IF(B110&lt;INDEX(Assumptions!$C$3:$C$7, MATCH(C110, {"Virginia","Florida","Texas","New York","California"}, 0)),
    0,
    (G110 / INDEX(Assumptions!$C$15:$C$19, MATCH(C110, {"Virginia","Florida","Texas","New York","California"}, 0)))
)</f>
        <v>1.1349166666666667E-2</v>
      </c>
      <c r="I110" s="43">
        <f>G110*'Unit Economics'!$B$19* INDEX(Assumptions!$C$38:$C$42, MATCH(C110, {"Virginia","Florida","Texas","New York","California"}, 0))</f>
        <v>177075.87228000001</v>
      </c>
      <c r="J110" s="43">
        <f>D110*Assumptions!$C$21*INDEX(Assumptions!$C$38:$C$42,MATCH(C110,{"Virginia","Florida","Texas","New York","California"},0))</f>
        <v>30959.712</v>
      </c>
      <c r="K110" s="43">
        <f>G110/Assumptions!$C$22*('Unit Economics'!$F$24+'Unit Economics'!$F$25+'Unit Economics'!$F$26)</f>
        <v>32470.299632352948</v>
      </c>
      <c r="L110" s="43">
        <f>D110*Assumptions!$C$29</f>
        <v>20720</v>
      </c>
      <c r="M110" s="35">
        <f>G110*Assumptions!$C$27</f>
        <v>0</v>
      </c>
      <c r="N110" s="35">
        <f>G110*Assumptions!$C$28</f>
        <v>0</v>
      </c>
      <c r="O110" s="64">
        <f>IF( COUNTIF($B$2:B110, B110) = 1, MIN( Assumptions!$C$34 + INT(SUMIF($B$2:$B110, B110, G$2:G110) / 1000) * Assumptions!$C$37, Assumptions!$C$36 ), 0 )</f>
        <v>60000</v>
      </c>
      <c r="P110" s="53">
        <f t="shared" si="4"/>
        <v>159785.88391235296</v>
      </c>
      <c r="Q110" s="52">
        <f t="shared" si="5"/>
        <v>38517842.397234708</v>
      </c>
    </row>
    <row r="111" spans="1:17">
      <c r="A111" s="2">
        <f t="shared" si="3"/>
        <v>4</v>
      </c>
      <c r="B111" s="2">
        <v>37</v>
      </c>
      <c r="C111" s="2" t="s">
        <v>93</v>
      </c>
      <c r="D111" s="62">
        <f>IF(
    B111 &lt; INDEX(Assumptions!$C$3:$C$7, MATCH(C111, {"Virginia","Florida","Texas","New York","California"}, 0)),
    0,
    IF(
        B111 = INDEX(Assumptions!$C$3:$C$7, MATCH(C111, {"Virginia","Florida","Texas","New York","California"}, 0)),
        IF(C111 = "Virginia", Assumptions!$C$13, Assumptions!$C$14),
        ROUND(
            (INDEX(Assumptions!$C$15:$C$19, MATCH(C111, {"Virginia","Florida","Texas","New York","California"}, 0)) * Assumptions!$C$9 -
            SUMIF(C$2:C110, C111, D$2:D111)) /
            (1 + EXP(-0.2 * (B111 - INDEX(Assumptions!$C$3:$C$7, MATCH(C111, {"Virginia","Florida","Texas","New York","California"}, 0)) - 30))),
            0
        )
    )
)</f>
        <v>169</v>
      </c>
      <c r="E111" s="62">
        <f>IF(B111&lt;INDEX(Assumptions!$C$3:$C$7, MATCH(C111, {"Virginia","Florida","Texas","New York","California"}, 0)),
    0,
    IF(F111=0,
        0,
        F111 * Assumptions!$C$12
    )
)</f>
        <v>4.1749999999999998</v>
      </c>
      <c r="F111" s="62" cm="1">
        <f t="array" ref="F111">IF(B111&lt;INDEX(Assumptions!$C$3:$C$7, MATCH(C111, {"Virginia","Florida","Texas","New York","California"}, 0)),
    0,
    IF(C111=C110,
        F110 + D111,
        IF(COUNTIF($C$2:C111, C111) = 1, D111, LOOKUP(2, 1/(C$1:C110=C111), F$1:F110) + D111)
    )
)</f>
        <v>1002</v>
      </c>
      <c r="G111" s="62" cm="1">
        <f t="array" ref="G111">IF(B111&lt;INDEX(Assumptions!$C$3:$C$7, MATCH(C111, {"Virginia","Florida","Texas","New York","California"}, 0)),
    0,
    IF(C111=C110,
        G110 + D111 - E111,
        IF(COUNTIF($C$2:C111, C111) = 1, D111, LOOKUP(2, 1/(C$1:C110=C111), G$1:G110) + D111 - E111)
    )
)</f>
        <v>980.2791666666667</v>
      </c>
      <c r="H111" s="63">
        <f>IF(B111&lt;INDEX(Assumptions!$C$3:$C$7, MATCH(C111, {"Virginia","Florida","Texas","New York","California"}, 0)),
    0,
    (G111 / INDEX(Assumptions!$C$15:$C$19, MATCH(C111, {"Virginia","Florida","Texas","New York","California"}, 0)))
)</f>
        <v>1.089199074074074E-2</v>
      </c>
      <c r="I111" s="43">
        <f>G111*'Unit Economics'!$B$19* INDEX(Assumptions!$C$38:$C$42, MATCH(C111, {"Virginia","Florida","Texas","New York","California"}, 0))</f>
        <v>259634.77952500002</v>
      </c>
      <c r="J111" s="43">
        <f>D111*Assumptions!$C$21*INDEX(Assumptions!$C$38:$C$42,MATCH(C111,{"Virginia","Florida","Texas","New York","California"},0))</f>
        <v>47581.104999999996</v>
      </c>
      <c r="K111" s="43">
        <f>G111/Assumptions!$C$22*('Unit Economics'!$F$24+'Unit Economics'!$F$25+'Unit Economics'!$F$26)</f>
        <v>46743.458792892168</v>
      </c>
      <c r="L111" s="43">
        <f>D111*Assumptions!$C$29</f>
        <v>31265</v>
      </c>
      <c r="M111" s="35">
        <f>G111*Assumptions!$C$27</f>
        <v>0</v>
      </c>
      <c r="N111" s="35">
        <f>G111*Assumptions!$C$28</f>
        <v>0</v>
      </c>
      <c r="O111" s="64">
        <f>IF( COUNTIF($B$2:B111, B111) = 1, MIN( Assumptions!$C$34 + INT(SUMIF($B$2:$B111, B111, G$2:G111) / 1000) * Assumptions!$C$37, Assumptions!$C$36 ), 0 )</f>
        <v>0</v>
      </c>
      <c r="P111" s="53">
        <f t="shared" si="4"/>
        <v>322694.34331789217</v>
      </c>
      <c r="Q111" s="52">
        <f t="shared" si="5"/>
        <v>38840536.740552597</v>
      </c>
    </row>
    <row r="112" spans="1:17">
      <c r="A112" s="2">
        <f t="shared" si="3"/>
        <v>4</v>
      </c>
      <c r="B112" s="2">
        <v>37</v>
      </c>
      <c r="C112" s="2" t="s">
        <v>90</v>
      </c>
      <c r="D112" s="62">
        <f>IF(
    B112 &lt; INDEX(Assumptions!$C$3:$C$7, MATCH(C112, {"Virginia","Florida","Texas","New York","California"}, 0)),
    0,
    IF(
        B112 = INDEX(Assumptions!$C$3:$C$7, MATCH(C112, {"Virginia","Florida","Texas","New York","California"}, 0)),
        IF(C112 = "Virginia", Assumptions!$C$13, Assumptions!$C$14),
        ROUND(
            (INDEX(Assumptions!$C$15:$C$19, MATCH(C112, {"Virginia","Florida","Texas","New York","California"}, 0)) * Assumptions!$C$9 -
            SUMIF(C$2:C111, C112, D$2:D112)) /
            (1 + EXP(-0.2 * (B112 - INDEX(Assumptions!$C$3:$C$7, MATCH(C112, {"Virginia","Florida","Texas","New York","California"}, 0)) - 30))),
            0
        )
    )
)</f>
        <v>360</v>
      </c>
      <c r="E112" s="62">
        <f>IF(B112&lt;INDEX(Assumptions!$C$3:$C$7, MATCH(C112, {"Virginia","Florida","Texas","New York","California"}, 0)),
    0,
    IF(F112=0,
        0,
        F112 * Assumptions!$C$12
    )
)</f>
        <v>18.358333333333334</v>
      </c>
      <c r="F112" s="62" cm="1">
        <f t="array" ref="F112">IF(B112&lt;INDEX(Assumptions!$C$3:$C$7, MATCH(C112, {"Virginia","Florida","Texas","New York","California"}, 0)),
    0,
    IF(C112=C111,
        F111 + D112,
        IF(COUNTIF($C$2:C112, C112) = 1, D112, LOOKUP(2, 1/(C$1:C111=C112), F$1:F111) + D112)
    )
)</f>
        <v>4406</v>
      </c>
      <c r="G112" s="62" cm="1">
        <f t="array" ref="G112">IF(B112&lt;INDEX(Assumptions!$C$3:$C$7, MATCH(C112, {"Virginia","Florida","Texas","New York","California"}, 0)),
    0,
    IF(C112=C111,
        G111 + D112 - E112,
        IF(COUNTIF($C$2:C112, C112) = 1, D112, LOOKUP(2, 1/(C$1:C111=C112), G$1:G111) + D112 - E112)
    )
)</f>
        <v>4263.5625</v>
      </c>
      <c r="H112" s="63">
        <f>IF(B112&lt;INDEX(Assumptions!$C$3:$C$7, MATCH(C112, {"Virginia","Florida","Texas","New York","California"}, 0)),
    0,
    (G112 / INDEX(Assumptions!$C$15:$C$19, MATCH(C112, {"Virginia","Florida","Texas","New York","California"}, 0)))
)</f>
        <v>6.0908035714285713E-2</v>
      </c>
      <c r="I112" s="43">
        <f>G112*'Unit Economics'!$B$19* INDEX(Assumptions!$C$38:$C$42, MATCH(C112, {"Virginia","Florida","Texas","New York","California"}, 0))</f>
        <v>1077909.6076875001</v>
      </c>
      <c r="J112" s="43">
        <f>D112*Assumptions!$C$21*INDEX(Assumptions!$C$38:$C$42,MATCH(C112,{"Virginia","Florida","Texas","New York","California"},0))</f>
        <v>96749.1</v>
      </c>
      <c r="K112" s="43">
        <f>G112/Assumptions!$C$22*('Unit Economics'!$F$24+'Unit Economics'!$F$25+'Unit Economics'!$F$26)</f>
        <v>203302.96185661765</v>
      </c>
      <c r="L112" s="43">
        <f>D112*Assumptions!$C$29</f>
        <v>66600</v>
      </c>
      <c r="M112" s="35">
        <f>G112*Assumptions!$C$27</f>
        <v>0</v>
      </c>
      <c r="N112" s="35">
        <f>G112*Assumptions!$C$28</f>
        <v>0</v>
      </c>
      <c r="O112" s="64">
        <f>IF( COUNTIF($B$2:B112, B112) = 1, MIN( Assumptions!$C$34 + INT(SUMIF($B$2:$B112, B112, G$2:G112) / 1000) * Assumptions!$C$37, Assumptions!$C$36 ), 0 )</f>
        <v>0</v>
      </c>
      <c r="P112" s="53">
        <f t="shared" si="4"/>
        <v>1311361.6695441178</v>
      </c>
      <c r="Q112" s="52">
        <f t="shared" si="5"/>
        <v>40151898.410096712</v>
      </c>
    </row>
    <row r="113" spans="1:17">
      <c r="A113" s="2">
        <f t="shared" si="3"/>
        <v>4</v>
      </c>
      <c r="B113" s="2">
        <v>37</v>
      </c>
      <c r="C113" s="2" t="s">
        <v>91</v>
      </c>
      <c r="D113" s="62">
        <f>IF(
    B113 &lt; INDEX(Assumptions!$C$3:$C$7, MATCH(C113, {"Virginia","Florida","Texas","New York","California"}, 0)),
    0,
    IF(
        B113 = INDEX(Assumptions!$C$3:$C$7, MATCH(C113, {"Virginia","Florida","Texas","New York","California"}, 0)),
        IF(C113 = "Virginia", Assumptions!$C$13, Assumptions!$C$14),
        ROUND(
            (INDEX(Assumptions!$C$15:$C$19, MATCH(C113, {"Virginia","Florida","Texas","New York","California"}, 0)) * Assumptions!$C$9 -
            SUMIF(C$2:C112, C113, D$2:D113)) /
            (1 + EXP(-0.2 * (B113 - INDEX(Assumptions!$C$3:$C$7, MATCH(C113, {"Virginia","Florida","Texas","New York","California"}, 0)) - 30))),
            0
        )
    )
)</f>
        <v>412</v>
      </c>
      <c r="E113" s="62">
        <f>IF(B113&lt;INDEX(Assumptions!$C$3:$C$7, MATCH(C113, {"Virginia","Florida","Texas","New York","California"}, 0)),
    0,
    IF(F113=0,
        0,
        F113 * Assumptions!$C$12
    )
)</f>
        <v>20.970833333333331</v>
      </c>
      <c r="F113" s="62" cm="1">
        <f t="array" ref="F113">IF(B113&lt;INDEX(Assumptions!$C$3:$C$7, MATCH(C113, {"Virginia","Florida","Texas","New York","California"}, 0)),
    0,
    IF(C113=C112,
        F112 + D113,
        IF(COUNTIF($C$2:C113, C113) = 1, D113, LOOKUP(2, 1/(C$1:C112=C113), F$1:F112) + D113)
    )
)</f>
        <v>5033</v>
      </c>
      <c r="G113" s="62" cm="1">
        <f t="array" ref="G113">IF(B113&lt;INDEX(Assumptions!$C$3:$C$7, MATCH(C113, {"Virginia","Florida","Texas","New York","California"}, 0)),
    0,
    IF(C113=C112,
        G112 + D113 - E113,
        IF(COUNTIF($C$2:C113, C113) = 1, D113, LOOKUP(2, 1/(C$1:C112=C113), G$1:G112) + D113 - E113)
    )
)</f>
        <v>4871.3916666666664</v>
      </c>
      <c r="H113" s="63">
        <f>IF(B113&lt;INDEX(Assumptions!$C$3:$C$7, MATCH(C113, {"Virginia","Florida","Texas","New York","California"}, 0)),
    0,
    (G113 / INDEX(Assumptions!$C$15:$C$19, MATCH(C113, {"Virginia","Florida","Texas","New York","California"}, 0)))
)</f>
        <v>6.0892395833333328E-2</v>
      </c>
      <c r="I113" s="43">
        <f>G113*'Unit Economics'!$B$19* INDEX(Assumptions!$C$38:$C$42, MATCH(C113, {"Virginia","Florida","Texas","New York","California"}, 0))</f>
        <v>1208121.696065</v>
      </c>
      <c r="J113" s="43">
        <f>D113*Assumptions!$C$21*INDEX(Assumptions!$C$38:$C$42,MATCH(C113,{"Virginia","Florida","Texas","New York","California"},0))</f>
        <v>108614.942</v>
      </c>
      <c r="K113" s="43">
        <f>G113/Assumptions!$C$22*('Unit Economics'!$F$24+'Unit Economics'!$F$25+'Unit Economics'!$F$26)</f>
        <v>232286.58057598039</v>
      </c>
      <c r="L113" s="43">
        <f>D113*Assumptions!$C$29</f>
        <v>76220</v>
      </c>
      <c r="M113" s="35">
        <f>G113*Assumptions!$C$27</f>
        <v>0</v>
      </c>
      <c r="N113" s="35">
        <f>G113*Assumptions!$C$28</f>
        <v>0</v>
      </c>
      <c r="O113" s="64">
        <f>IF( COUNTIF($B$2:B113, B113) = 1, MIN( Assumptions!$C$34 + INT(SUMIF($B$2:$B113, B113, G$2:G113) / 1000) * Assumptions!$C$37, Assumptions!$C$36 ), 0 )</f>
        <v>0</v>
      </c>
      <c r="P113" s="53">
        <f t="shared" si="4"/>
        <v>1472803.2186409805</v>
      </c>
      <c r="Q113" s="52">
        <f t="shared" si="5"/>
        <v>41624701.628737696</v>
      </c>
    </row>
    <row r="114" spans="1:17">
      <c r="A114" s="2">
        <f t="shared" si="3"/>
        <v>4</v>
      </c>
      <c r="B114" s="2">
        <v>37</v>
      </c>
      <c r="C114" s="2" t="s">
        <v>89</v>
      </c>
      <c r="D114" s="62">
        <f>IF(
    B114 &lt; INDEX(Assumptions!$C$3:$C$7, MATCH(C114, {"Virginia","Florida","Texas","New York","California"}, 0)),
    0,
    IF(
        B114 = INDEX(Assumptions!$C$3:$C$7, MATCH(C114, {"Virginia","Florida","Texas","New York","California"}, 0)),
        IF(C114 = "Virginia", Assumptions!$C$13, Assumptions!$C$14),
        ROUND(
            (INDEX(Assumptions!$C$15:$C$19, MATCH(C114, {"Virginia","Florida","Texas","New York","California"}, 0)) * Assumptions!$C$9 -
            SUMIF(C$2:C113, C114, D$2:D114)) /
            (1 + EXP(-0.2 * (B114 - INDEX(Assumptions!$C$3:$C$7, MATCH(C114, {"Virginia","Florida","Texas","New York","California"}, 0)) - 30))),
            0
        )
    )
)</f>
        <v>0</v>
      </c>
      <c r="E114" s="62">
        <f>IF(B114&lt;INDEX(Assumptions!$C$3:$C$7, MATCH(C114, {"Virginia","Florida","Texas","New York","California"}, 0)),
    0,
    IF(F114=0,
        0,
        F114 * Assumptions!$C$12
    )
)</f>
        <v>16.666666666666668</v>
      </c>
      <c r="F114" s="62" cm="1">
        <f t="array" ref="F114">IF(B114&lt;INDEX(Assumptions!$C$3:$C$7, MATCH(C114, {"Virginia","Florida","Texas","New York","California"}, 0)),
    0,
    IF(C114=C113,
        F113 + D114,
        IF(COUNTIF($C$2:C114, C114) = 1, D114, LOOKUP(2, 1/(C$1:C113=C114), F$1:F113) + D114)
    )
)</f>
        <v>4000</v>
      </c>
      <c r="G114" s="62" cm="1">
        <f t="array" ref="G114">IF(B114&lt;INDEX(Assumptions!$C$3:$C$7, MATCH(C114, {"Virginia","Florida","Texas","New York","California"}, 0)),
    0,
    IF(C114=C113,
        G113 + D114 - E114,
        IF(COUNTIF($C$2:C114, C114) = 1, D114, LOOKUP(2, 1/(C$1:C113=C114), G$1:G113) + D114 - E114)
    )
)</f>
        <v>3706.9541666666669</v>
      </c>
      <c r="H114" s="63">
        <f>IF(B114&lt;INDEX(Assumptions!$C$3:$C$7, MATCH(C114, {"Virginia","Florida","Texas","New York","California"}, 0)),
    0,
    (G114 / INDEX(Assumptions!$C$15:$C$19, MATCH(C114, {"Virginia","Florida","Texas","New York","California"}, 0)))
)</f>
        <v>7.4139083333333342E-2</v>
      </c>
      <c r="I114" s="43">
        <f>G114*'Unit Economics'!$B$19* INDEX(Assumptions!$C$38:$C$42, MATCH(C114, {"Virginia","Florida","Texas","New York","California"}, 0))</f>
        <v>892560.42425000004</v>
      </c>
      <c r="J114" s="43">
        <f>D114*Assumptions!$C$21*INDEX(Assumptions!$C$38:$C$42,MATCH(C114,{"Virginia","Florida","Texas","New York","California"},0))</f>
        <v>0</v>
      </c>
      <c r="K114" s="43">
        <f>G114/Assumptions!$C$22*('Unit Economics'!$F$24+'Unit Economics'!$F$25+'Unit Economics'!$F$26)</f>
        <v>176761.74831495102</v>
      </c>
      <c r="L114" s="43">
        <f>D114*Assumptions!$C$29</f>
        <v>0</v>
      </c>
      <c r="M114" s="35">
        <f>G114*Assumptions!$C$27</f>
        <v>0</v>
      </c>
      <c r="N114" s="35">
        <f>G114*Assumptions!$C$28</f>
        <v>0</v>
      </c>
      <c r="O114" s="64">
        <f>IF( COUNTIF($B$2:B114, B114) = 1, MIN( Assumptions!$C$34 + INT(SUMIF($B$2:$B114, B114, G$2:G114) / 1000) * Assumptions!$C$37, Assumptions!$C$36 ), 0 )</f>
        <v>0</v>
      </c>
      <c r="P114" s="53">
        <f t="shared" si="4"/>
        <v>1069322.172564951</v>
      </c>
      <c r="Q114" s="52">
        <f t="shared" si="5"/>
        <v>42694023.801302649</v>
      </c>
    </row>
    <row r="115" spans="1:17">
      <c r="A115" s="2">
        <f t="shared" si="3"/>
        <v>4</v>
      </c>
      <c r="B115" s="2">
        <v>38</v>
      </c>
      <c r="C115" s="2" t="s">
        <v>92</v>
      </c>
      <c r="D115" s="62">
        <f>IF(
    B115 &lt; INDEX(Assumptions!$C$3:$C$7, MATCH(C115, {"Virginia","Florida","Texas","New York","California"}, 0)),
    0,
    IF(
        B115 = INDEX(Assumptions!$C$3:$C$7, MATCH(C115, {"Virginia","Florida","Texas","New York","California"}, 0)),
        IF(C115 = "Virginia", Assumptions!$C$13, Assumptions!$C$14),
        ROUND(
            (INDEX(Assumptions!$C$15:$C$19, MATCH(C115, {"Virginia","Florida","Texas","New York","California"}, 0)) * Assumptions!$C$9 -
            SUMIF(C$2:C114, C115, D$2:D115)) /
            (1 + EXP(-0.2 * (B115 - INDEX(Assumptions!$C$3:$C$7, MATCH(C115, {"Virginia","Florida","Texas","New York","California"}, 0)) - 30))),
            0
        )
    )
)</f>
        <v>133</v>
      </c>
      <c r="E115" s="62">
        <f>IF(B115&lt;INDEX(Assumptions!$C$3:$C$7, MATCH(C115, {"Virginia","Florida","Texas","New York","California"}, 0)),
    0,
    IF(F115=0,
        0,
        F115 * Assumptions!$C$12
    )
)</f>
        <v>3.4583333333333335</v>
      </c>
      <c r="F115" s="62" cm="1">
        <f t="array" ref="F115">IF(B115&lt;INDEX(Assumptions!$C$3:$C$7, MATCH(C115, {"Virginia","Florida","Texas","New York","California"}, 0)),
    0,
    IF(C115=C114,
        F114 + D115,
        IF(COUNTIF($C$2:C115, C115) = 1, D115, LOOKUP(2, 1/(C$1:C114=C115), F$1:F114) + D115)
    )
)</f>
        <v>830</v>
      </c>
      <c r="G115" s="62" cm="1">
        <f t="array" ref="G115">IF(B115&lt;INDEX(Assumptions!$C$3:$C$7, MATCH(C115, {"Virginia","Florida","Texas","New York","California"}, 0)),
    0,
    IF(C115=C114,
        G114 + D115 - E115,
        IF(COUNTIF($C$2:C115, C115) = 1, D115, LOOKUP(2, 1/(C$1:C114=C115), G$1:G114) + D115 - E115)
    )
)</f>
        <v>810.49166666666667</v>
      </c>
      <c r="H115" s="63">
        <f>IF(B115&lt;INDEX(Assumptions!$C$3:$C$7, MATCH(C115, {"Virginia","Florida","Texas","New York","California"}, 0)),
    0,
    (G115 / INDEX(Assumptions!$C$15:$C$19, MATCH(C115, {"Virginia","Florida","Texas","New York","California"}, 0)))
)</f>
        <v>1.3508194444444444E-2</v>
      </c>
      <c r="I115" s="43">
        <f>G115*'Unit Economics'!$B$19* INDEX(Assumptions!$C$38:$C$42, MATCH(C115, {"Virginia","Florida","Texas","New York","California"}, 0))</f>
        <v>210762.19818000004</v>
      </c>
      <c r="J115" s="43">
        <f>D115*Assumptions!$C$21*INDEX(Assumptions!$C$38:$C$42,MATCH(C115,{"Virginia","Florida","Texas","New York","California"},0))</f>
        <v>36764.658000000003</v>
      </c>
      <c r="K115" s="43">
        <f>G115/Assumptions!$C$22*('Unit Economics'!$F$24+'Unit Economics'!$F$25+'Unit Economics'!$F$26)</f>
        <v>38647.341605392161</v>
      </c>
      <c r="L115" s="43">
        <f>D115*Assumptions!$C$29</f>
        <v>24605</v>
      </c>
      <c r="M115" s="35">
        <f>G115*Assumptions!$C$27</f>
        <v>0</v>
      </c>
      <c r="N115" s="35">
        <f>G115*Assumptions!$C$28</f>
        <v>0</v>
      </c>
      <c r="O115" s="64">
        <f>IF( COUNTIF($B$2:B115, B115) = 1, MIN( Assumptions!$C$34 + INT(SUMIF($B$2:$B115, B115, G$2:G115) / 1000) * Assumptions!$C$37, Assumptions!$C$36 ), 0 )</f>
        <v>60000</v>
      </c>
      <c r="P115" s="53">
        <f t="shared" si="4"/>
        <v>201569.19778539217</v>
      </c>
      <c r="Q115" s="52">
        <f t="shared" si="5"/>
        <v>42895592.999088041</v>
      </c>
    </row>
    <row r="116" spans="1:17">
      <c r="A116" s="2">
        <f t="shared" si="3"/>
        <v>4</v>
      </c>
      <c r="B116" s="2">
        <v>38</v>
      </c>
      <c r="C116" s="2" t="s">
        <v>93</v>
      </c>
      <c r="D116" s="62">
        <f>IF(
    B116 &lt; INDEX(Assumptions!$C$3:$C$7, MATCH(C116, {"Virginia","Florida","Texas","New York","California"}, 0)),
    0,
    IF(
        B116 = INDEX(Assumptions!$C$3:$C$7, MATCH(C116, {"Virginia","Florida","Texas","New York","California"}, 0)),
        IF(C116 = "Virginia", Assumptions!$C$13, Assumptions!$C$14),
        ROUND(
            (INDEX(Assumptions!$C$15:$C$19, MATCH(C116, {"Virginia","Florida","Texas","New York","California"}, 0)) * Assumptions!$C$9 -
            SUMIF(C$2:C115, C116, D$2:D116)) /
            (1 + EXP(-0.2 * (B116 - INDEX(Assumptions!$C$3:$C$7, MATCH(C116, {"Virginia","Florida","Texas","New York","California"}, 0)) - 30))),
            0
        )
    )
)</f>
        <v>200</v>
      </c>
      <c r="E116" s="62">
        <f>IF(B116&lt;INDEX(Assumptions!$C$3:$C$7, MATCH(C116, {"Virginia","Florida","Texas","New York","California"}, 0)),
    0,
    IF(F116=0,
        0,
        F116 * Assumptions!$C$12
    )
)</f>
        <v>5.0083333333333329</v>
      </c>
      <c r="F116" s="62" cm="1">
        <f t="array" ref="F116">IF(B116&lt;INDEX(Assumptions!$C$3:$C$7, MATCH(C116, {"Virginia","Florida","Texas","New York","California"}, 0)),
    0,
    IF(C116=C115,
        F115 + D116,
        IF(COUNTIF($C$2:C116, C116) = 1, D116, LOOKUP(2, 1/(C$1:C115=C116), F$1:F115) + D116)
    )
)</f>
        <v>1202</v>
      </c>
      <c r="G116" s="62" cm="1">
        <f t="array" ref="G116">IF(B116&lt;INDEX(Assumptions!$C$3:$C$7, MATCH(C116, {"Virginia","Florida","Texas","New York","California"}, 0)),
    0,
    IF(C116=C115,
        G115 + D116 - E116,
        IF(COUNTIF($C$2:C116, C116) = 1, D116, LOOKUP(2, 1/(C$1:C115=C116), G$1:G115) + D116 - E116)
    )
)</f>
        <v>1175.2708333333333</v>
      </c>
      <c r="H116" s="63">
        <f>IF(B116&lt;INDEX(Assumptions!$C$3:$C$7, MATCH(C116, {"Virginia","Florida","Texas","New York","California"}, 0)),
    0,
    (G116 / INDEX(Assumptions!$C$15:$C$19, MATCH(C116, {"Virginia","Florida","Texas","New York","California"}, 0)))
)</f>
        <v>1.3058564814814815E-2</v>
      </c>
      <c r="I116" s="43">
        <f>G116*'Unit Economics'!$B$19* INDEX(Assumptions!$C$38:$C$42, MATCH(C116, {"Virginia","Florida","Texas","New York","California"}, 0))</f>
        <v>311279.88237500004</v>
      </c>
      <c r="J116" s="43">
        <f>D116*Assumptions!$C$21*INDEX(Assumptions!$C$38:$C$42,MATCH(C116,{"Virginia","Florida","Texas","New York","California"},0))</f>
        <v>56309.000000000007</v>
      </c>
      <c r="K116" s="43">
        <f>G116/Assumptions!$C$22*('Unit Economics'!$F$24+'Unit Economics'!$F$25+'Unit Economics'!$F$26)</f>
        <v>56041.407015931371</v>
      </c>
      <c r="L116" s="43">
        <f>D116*Assumptions!$C$29</f>
        <v>37000</v>
      </c>
      <c r="M116" s="35">
        <f>G116*Assumptions!$C$27</f>
        <v>0</v>
      </c>
      <c r="N116" s="35">
        <f>G116*Assumptions!$C$28</f>
        <v>0</v>
      </c>
      <c r="O116" s="64">
        <f>IF( COUNTIF($B$2:B116, B116) = 1, MIN( Assumptions!$C$34 + INT(SUMIF($B$2:$B116, B116, G$2:G116) / 1000) * Assumptions!$C$37, Assumptions!$C$36 ), 0 )</f>
        <v>0</v>
      </c>
      <c r="P116" s="53">
        <f t="shared" si="4"/>
        <v>386630.28939093143</v>
      </c>
      <c r="Q116" s="52">
        <f t="shared" si="5"/>
        <v>43282223.288478971</v>
      </c>
    </row>
    <row r="117" spans="1:17">
      <c r="A117" s="2">
        <f t="shared" si="3"/>
        <v>4</v>
      </c>
      <c r="B117" s="2">
        <v>38</v>
      </c>
      <c r="C117" s="2" t="s">
        <v>90</v>
      </c>
      <c r="D117" s="62">
        <f>IF(
    B117 &lt; INDEX(Assumptions!$C$3:$C$7, MATCH(C117, {"Virginia","Florida","Texas","New York","California"}, 0)),
    0,
    IF(
        B117 = INDEX(Assumptions!$C$3:$C$7, MATCH(C117, {"Virginia","Florida","Texas","New York","California"}, 0)),
        IF(C117 = "Virginia", Assumptions!$C$13, Assumptions!$C$14),
        ROUND(
            (INDEX(Assumptions!$C$15:$C$19, MATCH(C117, {"Virginia","Florida","Texas","New York","California"}, 0)) * Assumptions!$C$9 -
            SUMIF(C$2:C116, C117, D$2:D117)) /
            (1 + EXP(-0.2 * (B117 - INDEX(Assumptions!$C$3:$C$7, MATCH(C117, {"Virginia","Florida","Texas","New York","California"}, 0)) - 30))),
            0
        )
    )
)</f>
        <v>321</v>
      </c>
      <c r="E117" s="62">
        <f>IF(B117&lt;INDEX(Assumptions!$C$3:$C$7, MATCH(C117, {"Virginia","Florida","Texas","New York","California"}, 0)),
    0,
    IF(F117=0,
        0,
        F117 * Assumptions!$C$12
    )
)</f>
        <v>19.695833333333333</v>
      </c>
      <c r="F117" s="62" cm="1">
        <f t="array" ref="F117">IF(B117&lt;INDEX(Assumptions!$C$3:$C$7, MATCH(C117, {"Virginia","Florida","Texas","New York","California"}, 0)),
    0,
    IF(C117=C116,
        F116 + D117,
        IF(COUNTIF($C$2:C117, C117) = 1, D117, LOOKUP(2, 1/(C$1:C116=C117), F$1:F116) + D117)
    )
)</f>
        <v>4727</v>
      </c>
      <c r="G117" s="62" cm="1">
        <f t="array" ref="G117">IF(B117&lt;INDEX(Assumptions!$C$3:$C$7, MATCH(C117, {"Virginia","Florida","Texas","New York","California"}, 0)),
    0,
    IF(C117=C116,
        G116 + D117 - E117,
        IF(COUNTIF($C$2:C117, C117) = 1, D117, LOOKUP(2, 1/(C$1:C116=C117), G$1:G116) + D117 - E117)
    )
)</f>
        <v>4564.8666666666668</v>
      </c>
      <c r="H117" s="63">
        <f>IF(B117&lt;INDEX(Assumptions!$C$3:$C$7, MATCH(C117, {"Virginia","Florida","Texas","New York","California"}, 0)),
    0,
    (G117 / INDEX(Assumptions!$C$15:$C$19, MATCH(C117, {"Virginia","Florida","Texas","New York","California"}, 0)))
)</f>
        <v>6.5212380952380952E-2</v>
      </c>
      <c r="I117" s="43">
        <f>G117*'Unit Economics'!$B$19* INDEX(Assumptions!$C$38:$C$42, MATCH(C117, {"Virginia","Florida","Texas","New York","California"}, 0))</f>
        <v>1154085.0258000002</v>
      </c>
      <c r="J117" s="43">
        <f>D117*Assumptions!$C$21*INDEX(Assumptions!$C$38:$C$42,MATCH(C117,{"Virginia","Florida","Texas","New York","California"},0))</f>
        <v>86267.947499999995</v>
      </c>
      <c r="K117" s="43">
        <f>G117/Assumptions!$C$22*('Unit Economics'!$F$24+'Unit Economics'!$F$25+'Unit Economics'!$F$26)</f>
        <v>217670.29656862747</v>
      </c>
      <c r="L117" s="43">
        <f>D117*Assumptions!$C$29</f>
        <v>59385</v>
      </c>
      <c r="M117" s="35">
        <f>G117*Assumptions!$C$27</f>
        <v>0</v>
      </c>
      <c r="N117" s="35">
        <f>G117*Assumptions!$C$28</f>
        <v>0</v>
      </c>
      <c r="O117" s="64">
        <f>IF( COUNTIF($B$2:B117, B117) = 1, MIN( Assumptions!$C$34 + INT(SUMIF($B$2:$B117, B117, G$2:G117) / 1000) * Assumptions!$C$37, Assumptions!$C$36 ), 0 )</f>
        <v>0</v>
      </c>
      <c r="P117" s="53">
        <f t="shared" si="4"/>
        <v>1398638.2698686277</v>
      </c>
      <c r="Q117" s="52">
        <f t="shared" si="5"/>
        <v>44680861.558347598</v>
      </c>
    </row>
    <row r="118" spans="1:17">
      <c r="A118" s="2">
        <f t="shared" si="3"/>
        <v>4</v>
      </c>
      <c r="B118" s="2">
        <v>38</v>
      </c>
      <c r="C118" s="2" t="s">
        <v>91</v>
      </c>
      <c r="D118" s="62">
        <f>IF(
    B118 &lt; INDEX(Assumptions!$C$3:$C$7, MATCH(C118, {"Virginia","Florida","Texas","New York","California"}, 0)),
    0,
    IF(
        B118 = INDEX(Assumptions!$C$3:$C$7, MATCH(C118, {"Virginia","Florida","Texas","New York","California"}, 0)),
        IF(C118 = "Virginia", Assumptions!$C$13, Assumptions!$C$14),
        ROUND(
            (INDEX(Assumptions!$C$15:$C$19, MATCH(C118, {"Virginia","Florida","Texas","New York","California"}, 0)) * Assumptions!$C$9 -
            SUMIF(C$2:C117, C118, D$2:D118)) /
            (1 + EXP(-0.2 * (B118 - INDEX(Assumptions!$C$3:$C$7, MATCH(C118, {"Virginia","Florida","Texas","New York","California"}, 0)) - 30))),
            0
        )
    )
)</f>
        <v>368</v>
      </c>
      <c r="E118" s="62">
        <f>IF(B118&lt;INDEX(Assumptions!$C$3:$C$7, MATCH(C118, {"Virginia","Florida","Texas","New York","California"}, 0)),
    0,
    IF(F118=0,
        0,
        F118 * Assumptions!$C$12
    )
)</f>
        <v>22.504166666666666</v>
      </c>
      <c r="F118" s="62" cm="1">
        <f t="array" ref="F118">IF(B118&lt;INDEX(Assumptions!$C$3:$C$7, MATCH(C118, {"Virginia","Florida","Texas","New York","California"}, 0)),
    0,
    IF(C118=C117,
        F117 + D118,
        IF(COUNTIF($C$2:C118, C118) = 1, D118, LOOKUP(2, 1/(C$1:C117=C118), F$1:F117) + D118)
    )
)</f>
        <v>5401</v>
      </c>
      <c r="G118" s="62" cm="1">
        <f t="array" ref="G118">IF(B118&lt;INDEX(Assumptions!$C$3:$C$7, MATCH(C118, {"Virginia","Florida","Texas","New York","California"}, 0)),
    0,
    IF(C118=C117,
        G117 + D118 - E118,
        IF(COUNTIF($C$2:C118, C118) = 1, D118, LOOKUP(2, 1/(C$1:C117=C118), G$1:G117) + D118 - E118)
    )
)</f>
        <v>5216.8874999999998</v>
      </c>
      <c r="H118" s="63">
        <f>IF(B118&lt;INDEX(Assumptions!$C$3:$C$7, MATCH(C118, {"Virginia","Florida","Texas","New York","California"}, 0)),
    0,
    (G118 / INDEX(Assumptions!$C$15:$C$19, MATCH(C118, {"Virginia","Florida","Texas","New York","California"}, 0)))
)</f>
        <v>6.5211093750000004E-2</v>
      </c>
      <c r="I118" s="43">
        <f>G118*'Unit Economics'!$B$19* INDEX(Assumptions!$C$38:$C$42, MATCH(C118, {"Virginia","Florida","Texas","New York","California"}, 0))</f>
        <v>1293805.8374175001</v>
      </c>
      <c r="J118" s="43">
        <f>D118*Assumptions!$C$21*INDEX(Assumptions!$C$38:$C$42,MATCH(C118,{"Virginia","Florida","Texas","New York","California"},0))</f>
        <v>97015.288</v>
      </c>
      <c r="K118" s="43">
        <f>G118/Assumptions!$C$22*('Unit Economics'!$F$24+'Unit Economics'!$F$25+'Unit Economics'!$F$26)</f>
        <v>248761.14292279413</v>
      </c>
      <c r="L118" s="43">
        <f>D118*Assumptions!$C$29</f>
        <v>68080</v>
      </c>
      <c r="M118" s="35">
        <f>G118*Assumptions!$C$27</f>
        <v>0</v>
      </c>
      <c r="N118" s="35">
        <f>G118*Assumptions!$C$28</f>
        <v>0</v>
      </c>
      <c r="O118" s="64">
        <f>IF( COUNTIF($B$2:B118, B118) = 1, MIN( Assumptions!$C$34 + INT(SUMIF($B$2:$B118, B118, G$2:G118) / 1000) * Assumptions!$C$37, Assumptions!$C$36 ), 0 )</f>
        <v>0</v>
      </c>
      <c r="P118" s="53">
        <f t="shared" si="4"/>
        <v>1571502.2683402942</v>
      </c>
      <c r="Q118" s="52">
        <f t="shared" si="5"/>
        <v>46252363.826687895</v>
      </c>
    </row>
    <row r="119" spans="1:17">
      <c r="A119" s="2">
        <f t="shared" si="3"/>
        <v>4</v>
      </c>
      <c r="B119" s="2">
        <v>38</v>
      </c>
      <c r="C119" s="2" t="s">
        <v>89</v>
      </c>
      <c r="D119" s="62">
        <f>IF(
    B119 &lt; INDEX(Assumptions!$C$3:$C$7, MATCH(C119, {"Virginia","Florida","Texas","New York","California"}, 0)),
    0,
    IF(
        B119 = INDEX(Assumptions!$C$3:$C$7, MATCH(C119, {"Virginia","Florida","Texas","New York","California"}, 0)),
        IF(C119 = "Virginia", Assumptions!$C$13, Assumptions!$C$14),
        ROUND(
            (INDEX(Assumptions!$C$15:$C$19, MATCH(C119, {"Virginia","Florida","Texas","New York","California"}, 0)) * Assumptions!$C$9 -
            SUMIF(C$2:C118, C119, D$2:D119)) /
            (1 + EXP(-0.2 * (B119 - INDEX(Assumptions!$C$3:$C$7, MATCH(C119, {"Virginia","Florida","Texas","New York","California"}, 0)) - 30))),
            0
        )
    )
)</f>
        <v>0</v>
      </c>
      <c r="E119" s="62">
        <f>IF(B119&lt;INDEX(Assumptions!$C$3:$C$7, MATCH(C119, {"Virginia","Florida","Texas","New York","California"}, 0)),
    0,
    IF(F119=0,
        0,
        F119 * Assumptions!$C$12
    )
)</f>
        <v>16.666666666666668</v>
      </c>
      <c r="F119" s="62" cm="1">
        <f t="array" ref="F119">IF(B119&lt;INDEX(Assumptions!$C$3:$C$7, MATCH(C119, {"Virginia","Florida","Texas","New York","California"}, 0)),
    0,
    IF(C119=C118,
        F118 + D119,
        IF(COUNTIF($C$2:C119, C119) = 1, D119, LOOKUP(2, 1/(C$1:C118=C119), F$1:F118) + D119)
    )
)</f>
        <v>4000</v>
      </c>
      <c r="G119" s="62" cm="1">
        <f t="array" ref="G119">IF(B119&lt;INDEX(Assumptions!$C$3:$C$7, MATCH(C119, {"Virginia","Florida","Texas","New York","California"}, 0)),
    0,
    IF(C119=C118,
        G118 + D119 - E119,
        IF(COUNTIF($C$2:C119, C119) = 1, D119, LOOKUP(2, 1/(C$1:C118=C119), G$1:G118) + D119 - E119)
    )
)</f>
        <v>3690.2875000000004</v>
      </c>
      <c r="H119" s="63">
        <f>IF(B119&lt;INDEX(Assumptions!$C$3:$C$7, MATCH(C119, {"Virginia","Florida","Texas","New York","California"}, 0)),
    0,
    (G119 / INDEX(Assumptions!$C$15:$C$19, MATCH(C119, {"Virginia","Florida","Texas","New York","California"}, 0)))
)</f>
        <v>7.3805750000000003E-2</v>
      </c>
      <c r="I119" s="43">
        <f>G119*'Unit Economics'!$B$19* INDEX(Assumptions!$C$38:$C$42, MATCH(C119, {"Virginia","Florida","Texas","New York","California"}, 0))</f>
        <v>888547.42425000004</v>
      </c>
      <c r="J119" s="43">
        <f>D119*Assumptions!$C$21*INDEX(Assumptions!$C$38:$C$42,MATCH(C119,{"Virginia","Florida","Texas","New York","California"},0))</f>
        <v>0</v>
      </c>
      <c r="K119" s="43">
        <f>G119/Assumptions!$C$22*('Unit Economics'!$F$24+'Unit Economics'!$F$25+'Unit Economics'!$F$26)</f>
        <v>175967.01792279416</v>
      </c>
      <c r="L119" s="43">
        <f>D119*Assumptions!$C$29</f>
        <v>0</v>
      </c>
      <c r="M119" s="35">
        <f>G119*Assumptions!$C$27</f>
        <v>0</v>
      </c>
      <c r="N119" s="35">
        <f>G119*Assumptions!$C$28</f>
        <v>0</v>
      </c>
      <c r="O119" s="64">
        <f>IF( COUNTIF($B$2:B119, B119) = 1, MIN( Assumptions!$C$34 + INT(SUMIF($B$2:$B119, B119, G$2:G119) / 1000) * Assumptions!$C$37, Assumptions!$C$36 ), 0 )</f>
        <v>0</v>
      </c>
      <c r="P119" s="53">
        <f t="shared" si="4"/>
        <v>1064514.4421727941</v>
      </c>
      <c r="Q119" s="52">
        <f t="shared" si="5"/>
        <v>47316878.26886069</v>
      </c>
    </row>
    <row r="120" spans="1:17">
      <c r="A120" s="2">
        <f t="shared" si="3"/>
        <v>4</v>
      </c>
      <c r="B120" s="2">
        <v>39</v>
      </c>
      <c r="C120" s="2" t="s">
        <v>92</v>
      </c>
      <c r="D120" s="62">
        <f>IF(
    B120 &lt; INDEX(Assumptions!$C$3:$C$7, MATCH(C120, {"Virginia","Florida","Texas","New York","California"}, 0)),
    0,
    IF(
        B120 = INDEX(Assumptions!$C$3:$C$7, MATCH(C120, {"Virginia","Florida","Texas","New York","California"}, 0)),
        IF(C120 = "Virginia", Assumptions!$C$13, Assumptions!$C$14),
        ROUND(
            (INDEX(Assumptions!$C$15:$C$19, MATCH(C120, {"Virginia","Florida","Texas","New York","California"}, 0)) * Assumptions!$C$9 -
            SUMIF(C$2:C119, C120, D$2:D120)) /
            (1 + EXP(-0.2 * (B120 - INDEX(Assumptions!$C$3:$C$7, MATCH(C120, {"Virginia","Florida","Texas","New York","California"}, 0)) - 30))),
            0
        )
    )
)</f>
        <v>155</v>
      </c>
      <c r="E120" s="62">
        <f>IF(B120&lt;INDEX(Assumptions!$C$3:$C$7, MATCH(C120, {"Virginia","Florida","Texas","New York","California"}, 0)),
    0,
    IF(F120=0,
        0,
        F120 * Assumptions!$C$12
    )
)</f>
        <v>4.104166666666667</v>
      </c>
      <c r="F120" s="62" cm="1">
        <f t="array" ref="F120">IF(B120&lt;INDEX(Assumptions!$C$3:$C$7, MATCH(C120, {"Virginia","Florida","Texas","New York","California"}, 0)),
    0,
    IF(C120=C119,
        F119 + D120,
        IF(COUNTIF($C$2:C120, C120) = 1, D120, LOOKUP(2, 1/(C$1:C119=C120), F$1:F119) + D120)
    )
)</f>
        <v>985</v>
      </c>
      <c r="G120" s="62" cm="1">
        <f t="array" ref="G120">IF(B120&lt;INDEX(Assumptions!$C$3:$C$7, MATCH(C120, {"Virginia","Florida","Texas","New York","California"}, 0)),
    0,
    IF(C120=C119,
        G119 + D120 - E120,
        IF(COUNTIF($C$2:C120, C120) = 1, D120, LOOKUP(2, 1/(C$1:C119=C120), G$1:G119) + D120 - E120)
    )
)</f>
        <v>961.38750000000005</v>
      </c>
      <c r="H120" s="63">
        <f>IF(B120&lt;INDEX(Assumptions!$C$3:$C$7, MATCH(C120, {"Virginia","Florida","Texas","New York","California"}, 0)),
    0,
    (G120 / INDEX(Assumptions!$C$15:$C$19, MATCH(C120, {"Virginia","Florida","Texas","New York","California"}, 0)))
)</f>
        <v>1.6023124999999999E-2</v>
      </c>
      <c r="I120" s="43">
        <f>G120*'Unit Economics'!$B$19* INDEX(Assumptions!$C$38:$C$42, MATCH(C120, {"Virginia","Florida","Texas","New York","California"}, 0))</f>
        <v>250001.51283000005</v>
      </c>
      <c r="J120" s="43">
        <f>D120*Assumptions!$C$21*INDEX(Assumptions!$C$38:$C$42,MATCH(C120,{"Virginia","Florida","Texas","New York","California"},0))</f>
        <v>42846.030000000006</v>
      </c>
      <c r="K120" s="43">
        <f>G120/Assumptions!$C$22*('Unit Economics'!$F$24+'Unit Economics'!$F$25+'Unit Economics'!$F$26)</f>
        <v>45842.631893382357</v>
      </c>
      <c r="L120" s="43">
        <f>D120*Assumptions!$C$29</f>
        <v>28675</v>
      </c>
      <c r="M120" s="35">
        <f>G120*Assumptions!$C$27</f>
        <v>0</v>
      </c>
      <c r="N120" s="35">
        <f>G120*Assumptions!$C$28</f>
        <v>0</v>
      </c>
      <c r="O120" s="64">
        <f>IF( COUNTIF($B$2:B120, B120) = 1, MIN( Assumptions!$C$34 + INT(SUMIF($B$2:$B120, B120, G$2:G120) / 1000) * Assumptions!$C$37, Assumptions!$C$36 ), 0 )</f>
        <v>60000</v>
      </c>
      <c r="P120" s="53">
        <f t="shared" si="4"/>
        <v>250015.1747233824</v>
      </c>
      <c r="Q120" s="52">
        <f t="shared" si="5"/>
        <v>47566893.44358407</v>
      </c>
    </row>
    <row r="121" spans="1:17">
      <c r="A121" s="2">
        <f t="shared" si="3"/>
        <v>4</v>
      </c>
      <c r="B121" s="2">
        <v>39</v>
      </c>
      <c r="C121" s="2" t="s">
        <v>93</v>
      </c>
      <c r="D121" s="62">
        <f>IF(
    B121 &lt; INDEX(Assumptions!$C$3:$C$7, MATCH(C121, {"Virginia","Florida","Texas","New York","California"}, 0)),
    0,
    IF(
        B121 = INDEX(Assumptions!$C$3:$C$7, MATCH(C121, {"Virginia","Florida","Texas","New York","California"}, 0)),
        IF(C121 = "Virginia", Assumptions!$C$13, Assumptions!$C$14),
        ROUND(
            (INDEX(Assumptions!$C$15:$C$19, MATCH(C121, {"Virginia","Florida","Texas","New York","California"}, 0)) * Assumptions!$C$9 -
            SUMIF(C$2:C120, C121, D$2:D121)) /
            (1 + EXP(-0.2 * (B121 - INDEX(Assumptions!$C$3:$C$7, MATCH(C121, {"Virginia","Florida","Texas","New York","California"}, 0)) - 30))),
            0
        )
    )
)</f>
        <v>235</v>
      </c>
      <c r="E121" s="62">
        <f>IF(B121&lt;INDEX(Assumptions!$C$3:$C$7, MATCH(C121, {"Virginia","Florida","Texas","New York","California"}, 0)),
    0,
    IF(F121=0,
        0,
        F121 * Assumptions!$C$12
    )
)</f>
        <v>5.9874999999999998</v>
      </c>
      <c r="F121" s="62" cm="1">
        <f t="array" ref="F121">IF(B121&lt;INDEX(Assumptions!$C$3:$C$7, MATCH(C121, {"Virginia","Florida","Texas","New York","California"}, 0)),
    0,
    IF(C121=C120,
        F120 + D121,
        IF(COUNTIF($C$2:C121, C121) = 1, D121, LOOKUP(2, 1/(C$1:C120=C121), F$1:F120) + D121)
    )
)</f>
        <v>1437</v>
      </c>
      <c r="G121" s="62" cm="1">
        <f t="array" ref="G121">IF(B121&lt;INDEX(Assumptions!$C$3:$C$7, MATCH(C121, {"Virginia","Florida","Texas","New York","California"}, 0)),
    0,
    IF(C121=C120,
        G120 + D121 - E121,
        IF(COUNTIF($C$2:C121, C121) = 1, D121, LOOKUP(2, 1/(C$1:C120=C121), G$1:G120) + D121 - E121)
    )
)</f>
        <v>1404.2833333333333</v>
      </c>
      <c r="H121" s="63">
        <f>IF(B121&lt;INDEX(Assumptions!$C$3:$C$7, MATCH(C121, {"Virginia","Florida","Texas","New York","California"}, 0)),
    0,
    (G121 / INDEX(Assumptions!$C$15:$C$19, MATCH(C121, {"Virginia","Florida","Texas","New York","California"}, 0)))
)</f>
        <v>1.5603148148148147E-2</v>
      </c>
      <c r="I121" s="43">
        <f>G121*'Unit Economics'!$B$19* INDEX(Assumptions!$C$38:$C$42, MATCH(C121, {"Virginia","Florida","Texas","New York","California"}, 0))</f>
        <v>371935.67510000005</v>
      </c>
      <c r="J121" s="43">
        <f>D121*Assumptions!$C$21*INDEX(Assumptions!$C$38:$C$42,MATCH(C121,{"Virginia","Florida","Texas","New York","California"},0))</f>
        <v>66163.075000000012</v>
      </c>
      <c r="K121" s="43">
        <f>G121/Assumptions!$C$22*('Unit Economics'!$F$24+'Unit Economics'!$F$25+'Unit Economics'!$F$26)</f>
        <v>66961.598651960783</v>
      </c>
      <c r="L121" s="43">
        <f>D121*Assumptions!$C$29</f>
        <v>43475</v>
      </c>
      <c r="M121" s="35">
        <f>G121*Assumptions!$C$27</f>
        <v>0</v>
      </c>
      <c r="N121" s="35">
        <f>G121*Assumptions!$C$28</f>
        <v>0</v>
      </c>
      <c r="O121" s="64">
        <f>IF( COUNTIF($B$2:B121, B121) = 1, MIN( Assumptions!$C$34 + INT(SUMIF($B$2:$B121, B121, G$2:G121) / 1000) * Assumptions!$C$37, Assumptions!$C$36 ), 0 )</f>
        <v>0</v>
      </c>
      <c r="P121" s="53">
        <f t="shared" si="4"/>
        <v>461585.34875196085</v>
      </c>
      <c r="Q121" s="52">
        <f t="shared" si="5"/>
        <v>48028478.792336032</v>
      </c>
    </row>
    <row r="122" spans="1:17">
      <c r="A122" s="2">
        <f t="shared" si="3"/>
        <v>4</v>
      </c>
      <c r="B122" s="2">
        <v>39</v>
      </c>
      <c r="C122" s="2" t="s">
        <v>90</v>
      </c>
      <c r="D122" s="62">
        <f>IF(
    B122 &lt; INDEX(Assumptions!$C$3:$C$7, MATCH(C122, {"Virginia","Florida","Texas","New York","California"}, 0)),
    0,
    IF(
        B122 = INDEX(Assumptions!$C$3:$C$7, MATCH(C122, {"Virginia","Florida","Texas","New York","California"}, 0)),
        IF(C122 = "Virginia", Assumptions!$C$13, Assumptions!$C$14),
        ROUND(
            (INDEX(Assumptions!$C$15:$C$19, MATCH(C122, {"Virginia","Florida","Texas","New York","California"}, 0)) * Assumptions!$C$9 -
            SUMIF(C$2:C121, C122, D$2:D122)) /
            (1 + EXP(-0.2 * (B122 - INDEX(Assumptions!$C$3:$C$7, MATCH(C122, {"Virginia","Florida","Texas","New York","California"}, 0)) - 30))),
            0
        )
    )
)</f>
        <v>271</v>
      </c>
      <c r="E122" s="62">
        <f>IF(B122&lt;INDEX(Assumptions!$C$3:$C$7, MATCH(C122, {"Virginia","Florida","Texas","New York","California"}, 0)),
    0,
    IF(F122=0,
        0,
        F122 * Assumptions!$C$12
    )
)</f>
        <v>20.824999999999999</v>
      </c>
      <c r="F122" s="62" cm="1">
        <f t="array" ref="F122">IF(B122&lt;INDEX(Assumptions!$C$3:$C$7, MATCH(C122, {"Virginia","Florida","Texas","New York","California"}, 0)),
    0,
    IF(C122=C121,
        F121 + D122,
        IF(COUNTIF($C$2:C122, C122) = 1, D122, LOOKUP(2, 1/(C$1:C121=C122), F$1:F121) + D122)
    )
)</f>
        <v>4998</v>
      </c>
      <c r="G122" s="62" cm="1">
        <f t="array" ref="G122">IF(B122&lt;INDEX(Assumptions!$C$3:$C$7, MATCH(C122, {"Virginia","Florida","Texas","New York","California"}, 0)),
    0,
    IF(C122=C121,
        G121 + D122 - E122,
        IF(COUNTIF($C$2:C122, C122) = 1, D122, LOOKUP(2, 1/(C$1:C121=C122), G$1:G121) + D122 - E122)
    )
)</f>
        <v>4815.041666666667</v>
      </c>
      <c r="H122" s="63">
        <f>IF(B122&lt;INDEX(Assumptions!$C$3:$C$7, MATCH(C122, {"Virginia","Florida","Texas","New York","California"}, 0)),
    0,
    (G122 / INDEX(Assumptions!$C$15:$C$19, MATCH(C122, {"Virginia","Florida","Texas","New York","California"}, 0)))
)</f>
        <v>6.8786309523809527E-2</v>
      </c>
      <c r="I122" s="43">
        <f>G122*'Unit Economics'!$B$19* INDEX(Assumptions!$C$38:$C$42, MATCH(C122, {"Virginia","Florida","Texas","New York","California"}, 0))</f>
        <v>1217334.0191250001</v>
      </c>
      <c r="J122" s="43">
        <f>D122*Assumptions!$C$21*INDEX(Assumptions!$C$38:$C$42,MATCH(C122,{"Virginia","Florida","Texas","New York","California"},0))</f>
        <v>72830.572499999995</v>
      </c>
      <c r="K122" s="43">
        <f>G122/Assumptions!$C$22*('Unit Economics'!$F$24+'Unit Economics'!$F$25+'Unit Economics'!$F$26)</f>
        <v>229599.59712009807</v>
      </c>
      <c r="L122" s="43">
        <f>D122*Assumptions!$C$29</f>
        <v>50135</v>
      </c>
      <c r="M122" s="35">
        <f>G122*Assumptions!$C$27</f>
        <v>0</v>
      </c>
      <c r="N122" s="35">
        <f>G122*Assumptions!$C$28</f>
        <v>0</v>
      </c>
      <c r="O122" s="64">
        <f>IF( COUNTIF($B$2:B122, B122) = 1, MIN( Assumptions!$C$34 + INT(SUMIF($B$2:$B122, B122, G$2:G122) / 1000) * Assumptions!$C$37, Assumptions!$C$36 ), 0 )</f>
        <v>0</v>
      </c>
      <c r="P122" s="53">
        <f t="shared" si="4"/>
        <v>1469629.1887450982</v>
      </c>
      <c r="Q122" s="52">
        <f t="shared" si="5"/>
        <v>49498107.981081128</v>
      </c>
    </row>
    <row r="123" spans="1:17">
      <c r="A123" s="2">
        <f t="shared" si="3"/>
        <v>4</v>
      </c>
      <c r="B123" s="2">
        <v>39</v>
      </c>
      <c r="C123" s="2" t="s">
        <v>91</v>
      </c>
      <c r="D123" s="62">
        <f>IF(
    B123 &lt; INDEX(Assumptions!$C$3:$C$7, MATCH(C123, {"Virginia","Florida","Texas","New York","California"}, 0)),
    0,
    IF(
        B123 = INDEX(Assumptions!$C$3:$C$7, MATCH(C123, {"Virginia","Florida","Texas","New York","California"}, 0)),
        IF(C123 = "Virginia", Assumptions!$C$13, Assumptions!$C$14),
        ROUND(
            (INDEX(Assumptions!$C$15:$C$19, MATCH(C123, {"Virginia","Florida","Texas","New York","California"}, 0)) * Assumptions!$C$9 -
            SUMIF(C$2:C122, C123, D$2:D123)) /
            (1 + EXP(-0.2 * (B123 - INDEX(Assumptions!$C$3:$C$7, MATCH(C123, {"Virginia","Florida","Texas","New York","California"}, 0)) - 30))),
            0
        )
    )
)</f>
        <v>310</v>
      </c>
      <c r="E123" s="62">
        <f>IF(B123&lt;INDEX(Assumptions!$C$3:$C$7, MATCH(C123, {"Virginia","Florida","Texas","New York","California"}, 0)),
    0,
    IF(F123=0,
        0,
        F123 * Assumptions!$C$12
    )
)</f>
        <v>23.795833333333334</v>
      </c>
      <c r="F123" s="62" cm="1">
        <f t="array" ref="F123">IF(B123&lt;INDEX(Assumptions!$C$3:$C$7, MATCH(C123, {"Virginia","Florida","Texas","New York","California"}, 0)),
    0,
    IF(C123=C122,
        F122 + D123,
        IF(COUNTIF($C$2:C123, C123) = 1, D123, LOOKUP(2, 1/(C$1:C122=C123), F$1:F122) + D123)
    )
)</f>
        <v>5711</v>
      </c>
      <c r="G123" s="62" cm="1">
        <f t="array" ref="G123">IF(B123&lt;INDEX(Assumptions!$C$3:$C$7, MATCH(C123, {"Virginia","Florida","Texas","New York","California"}, 0)),
    0,
    IF(C123=C122,
        G122 + D123 - E123,
        IF(COUNTIF($C$2:C123, C123) = 1, D123, LOOKUP(2, 1/(C$1:C122=C123), G$1:G122) + D123 - E123)
    )
)</f>
        <v>5503.0916666666662</v>
      </c>
      <c r="H123" s="63">
        <f>IF(B123&lt;INDEX(Assumptions!$C$3:$C$7, MATCH(C123, {"Virginia","Florida","Texas","New York","California"}, 0)),
    0,
    (G123 / INDEX(Assumptions!$C$15:$C$19, MATCH(C123, {"Virginia","Florida","Texas","New York","California"}, 0)))
)</f>
        <v>6.8788645833333328E-2</v>
      </c>
      <c r="I123" s="43">
        <f>G123*'Unit Economics'!$B$19* INDEX(Assumptions!$C$38:$C$42, MATCH(C123, {"Virginia","Florida","Texas","New York","California"}, 0))</f>
        <v>1364785.4438449999</v>
      </c>
      <c r="J123" s="43">
        <f>D123*Assumptions!$C$21*INDEX(Assumptions!$C$38:$C$42,MATCH(C123,{"Virginia","Florida","Texas","New York","California"},0))</f>
        <v>81724.835000000006</v>
      </c>
      <c r="K123" s="43">
        <f>G123/Assumptions!$C$22*('Unit Economics'!$F$24+'Unit Economics'!$F$25+'Unit Economics'!$F$26)</f>
        <v>262408.45189950982</v>
      </c>
      <c r="L123" s="43">
        <f>D123*Assumptions!$C$29</f>
        <v>57350</v>
      </c>
      <c r="M123" s="35">
        <f>G123*Assumptions!$C$27</f>
        <v>0</v>
      </c>
      <c r="N123" s="35">
        <f>G123*Assumptions!$C$28</f>
        <v>0</v>
      </c>
      <c r="O123" s="64">
        <f>IF( COUNTIF($B$2:B123, B123) = 1, MIN( Assumptions!$C$34 + INT(SUMIF($B$2:$B123, B123, G$2:G123) / 1000) * Assumptions!$C$37, Assumptions!$C$36 ), 0 )</f>
        <v>0</v>
      </c>
      <c r="P123" s="53">
        <f t="shared" si="4"/>
        <v>1651568.7307445097</v>
      </c>
      <c r="Q123" s="52">
        <f t="shared" si="5"/>
        <v>51149676.711825639</v>
      </c>
    </row>
    <row r="124" spans="1:17">
      <c r="A124" s="2">
        <f t="shared" si="3"/>
        <v>4</v>
      </c>
      <c r="B124" s="2">
        <v>39</v>
      </c>
      <c r="C124" s="2" t="s">
        <v>89</v>
      </c>
      <c r="D124" s="62">
        <f>IF(
    B124 &lt; INDEX(Assumptions!$C$3:$C$7, MATCH(C124, {"Virginia","Florida","Texas","New York","California"}, 0)),
    0,
    IF(
        B124 = INDEX(Assumptions!$C$3:$C$7, MATCH(C124, {"Virginia","Florida","Texas","New York","California"}, 0)),
        IF(C124 = "Virginia", Assumptions!$C$13, Assumptions!$C$14),
        ROUND(
            (INDEX(Assumptions!$C$15:$C$19, MATCH(C124, {"Virginia","Florida","Texas","New York","California"}, 0)) * Assumptions!$C$9 -
            SUMIF(C$2:C123, C124, D$2:D124)) /
            (1 + EXP(-0.2 * (B124 - INDEX(Assumptions!$C$3:$C$7, MATCH(C124, {"Virginia","Florida","Texas","New York","California"}, 0)) - 30))),
            0
        )
    )
)</f>
        <v>0</v>
      </c>
      <c r="E124" s="62">
        <f>IF(B124&lt;INDEX(Assumptions!$C$3:$C$7, MATCH(C124, {"Virginia","Florida","Texas","New York","California"}, 0)),
    0,
    IF(F124=0,
        0,
        F124 * Assumptions!$C$12
    )
)</f>
        <v>16.666666666666668</v>
      </c>
      <c r="F124" s="62" cm="1">
        <f t="array" ref="F124">IF(B124&lt;INDEX(Assumptions!$C$3:$C$7, MATCH(C124, {"Virginia","Florida","Texas","New York","California"}, 0)),
    0,
    IF(C124=C123,
        F123 + D124,
        IF(COUNTIF($C$2:C124, C124) = 1, D124, LOOKUP(2, 1/(C$1:C123=C124), F$1:F123) + D124)
    )
)</f>
        <v>4000</v>
      </c>
      <c r="G124" s="62" cm="1">
        <f t="array" ref="G124">IF(B124&lt;INDEX(Assumptions!$C$3:$C$7, MATCH(C124, {"Virginia","Florida","Texas","New York","California"}, 0)),
    0,
    IF(C124=C123,
        G123 + D124 - E124,
        IF(COUNTIF($C$2:C124, C124) = 1, D124, LOOKUP(2, 1/(C$1:C123=C124), G$1:G123) + D124 - E124)
    )
)</f>
        <v>3673.6208333333338</v>
      </c>
      <c r="H124" s="63">
        <f>IF(B124&lt;INDEX(Assumptions!$C$3:$C$7, MATCH(C124, {"Virginia","Florida","Texas","New York","California"}, 0)),
    0,
    (G124 / INDEX(Assumptions!$C$15:$C$19, MATCH(C124, {"Virginia","Florida","Texas","New York","California"}, 0)))
)</f>
        <v>7.3472416666666679E-2</v>
      </c>
      <c r="I124" s="43">
        <f>G124*'Unit Economics'!$B$19* INDEX(Assumptions!$C$38:$C$42, MATCH(C124, {"Virginia","Florida","Texas","New York","California"}, 0))</f>
        <v>884534.42425000016</v>
      </c>
      <c r="J124" s="43">
        <f>D124*Assumptions!$C$21*INDEX(Assumptions!$C$38:$C$42,MATCH(C124,{"Virginia","Florida","Texas","New York","California"},0))</f>
        <v>0</v>
      </c>
      <c r="K124" s="43">
        <f>G124/Assumptions!$C$22*('Unit Economics'!$F$24+'Unit Economics'!$F$25+'Unit Economics'!$F$26)</f>
        <v>175172.28753063729</v>
      </c>
      <c r="L124" s="43">
        <f>D124*Assumptions!$C$29</f>
        <v>0</v>
      </c>
      <c r="M124" s="35">
        <f>G124*Assumptions!$C$27</f>
        <v>0</v>
      </c>
      <c r="N124" s="35">
        <f>G124*Assumptions!$C$28</f>
        <v>0</v>
      </c>
      <c r="O124" s="64">
        <f>IF( COUNTIF($B$2:B124, B124) = 1, MIN( Assumptions!$C$34 + INT(SUMIF($B$2:$B124, B124, G$2:G124) / 1000) * Assumptions!$C$37, Assumptions!$C$36 ), 0 )</f>
        <v>0</v>
      </c>
      <c r="P124" s="53">
        <f t="shared" si="4"/>
        <v>1059706.7117806375</v>
      </c>
      <c r="Q124" s="52">
        <f t="shared" si="5"/>
        <v>52209383.423606277</v>
      </c>
    </row>
    <row r="125" spans="1:17">
      <c r="A125" s="2">
        <f t="shared" si="3"/>
        <v>4</v>
      </c>
      <c r="B125" s="2">
        <v>40</v>
      </c>
      <c r="C125" s="2" t="s">
        <v>92</v>
      </c>
      <c r="D125" s="62">
        <f>IF(
    B125 &lt; INDEX(Assumptions!$C$3:$C$7, MATCH(C125, {"Virginia","Florida","Texas","New York","California"}, 0)),
    0,
    IF(
        B125 = INDEX(Assumptions!$C$3:$C$7, MATCH(C125, {"Virginia","Florida","Texas","New York","California"}, 0)),
        IF(C125 = "Virginia", Assumptions!$C$13, Assumptions!$C$14),
        ROUND(
            (INDEX(Assumptions!$C$15:$C$19, MATCH(C125, {"Virginia","Florida","Texas","New York","California"}, 0)) * Assumptions!$C$9 -
            SUMIF(C$2:C124, C125, D$2:D125)) /
            (1 + EXP(-0.2 * (B125 - INDEX(Assumptions!$C$3:$C$7, MATCH(C125, {"Virginia","Florida","Texas","New York","California"}, 0)) - 30))),
            0
        )
    )
)</f>
        <v>181</v>
      </c>
      <c r="E125" s="62">
        <f>IF(B125&lt;INDEX(Assumptions!$C$3:$C$7, MATCH(C125, {"Virginia","Florida","Texas","New York","California"}, 0)),
    0,
    IF(F125=0,
        0,
        F125 * Assumptions!$C$12
    )
)</f>
        <v>4.8583333333333334</v>
      </c>
      <c r="F125" s="62" cm="1">
        <f t="array" ref="F125">IF(B125&lt;INDEX(Assumptions!$C$3:$C$7, MATCH(C125, {"Virginia","Florida","Texas","New York","California"}, 0)),
    0,
    IF(C125=C124,
        F124 + D125,
        IF(COUNTIF($C$2:C125, C125) = 1, D125, LOOKUP(2, 1/(C$1:C124=C125), F$1:F124) + D125)
    )
)</f>
        <v>1166</v>
      </c>
      <c r="G125" s="62" cm="1">
        <f t="array" ref="G125">IF(B125&lt;INDEX(Assumptions!$C$3:$C$7, MATCH(C125, {"Virginia","Florida","Texas","New York","California"}, 0)),
    0,
    IF(C125=C124,
        G124 + D125 - E125,
        IF(COUNTIF($C$2:C125, C125) = 1, D125, LOOKUP(2, 1/(C$1:C124=C125), G$1:G124) + D125 - E125)
    )
)</f>
        <v>1137.5291666666667</v>
      </c>
      <c r="H125" s="63">
        <f>IF(B125&lt;INDEX(Assumptions!$C$3:$C$7, MATCH(C125, {"Virginia","Florida","Texas","New York","California"}, 0)),
    0,
    (G125 / INDEX(Assumptions!$C$15:$C$19, MATCH(C125, {"Virginia","Florida","Texas","New York","California"}, 0)))
)</f>
        <v>1.8958819444444445E-2</v>
      </c>
      <c r="I125" s="43">
        <f>G125*'Unit Economics'!$B$19* INDEX(Assumptions!$C$38:$C$42, MATCH(C125, {"Virginia","Florida","Texas","New York","California"}, 0))</f>
        <v>295805.81457000005</v>
      </c>
      <c r="J125" s="43">
        <f>D125*Assumptions!$C$21*INDEX(Assumptions!$C$38:$C$42,MATCH(C125,{"Virginia","Florida","Texas","New York","California"},0))</f>
        <v>50033.106</v>
      </c>
      <c r="K125" s="43">
        <f>G125/Assumptions!$C$22*('Unit Economics'!$F$24+'Unit Economics'!$F$25+'Unit Economics'!$F$26)</f>
        <v>54241.740042892168</v>
      </c>
      <c r="L125" s="43">
        <f>D125*Assumptions!$C$29</f>
        <v>33485</v>
      </c>
      <c r="M125" s="35">
        <f>G125*Assumptions!$C$27</f>
        <v>0</v>
      </c>
      <c r="N125" s="35">
        <f>G125*Assumptions!$C$28</f>
        <v>0</v>
      </c>
      <c r="O125" s="64">
        <f>IF( COUNTIF($B$2:B125, B125) = 1, MIN( Assumptions!$C$34 + INT(SUMIF($B$2:$B125, B125, G$2:G125) / 1000) * Assumptions!$C$37, Assumptions!$C$36 ), 0 )</f>
        <v>70000</v>
      </c>
      <c r="P125" s="53">
        <f t="shared" si="4"/>
        <v>296595.66061289224</v>
      </c>
      <c r="Q125" s="52">
        <f t="shared" si="5"/>
        <v>52505979.084219165</v>
      </c>
    </row>
    <row r="126" spans="1:17">
      <c r="A126" s="2">
        <f t="shared" si="3"/>
        <v>4</v>
      </c>
      <c r="B126" s="2">
        <v>40</v>
      </c>
      <c r="C126" s="2" t="s">
        <v>93</v>
      </c>
      <c r="D126" s="62">
        <f>IF(
    B126 &lt; INDEX(Assumptions!$C$3:$C$7, MATCH(C126, {"Virginia","Florida","Texas","New York","California"}, 0)),
    0,
    IF(
        B126 = INDEX(Assumptions!$C$3:$C$7, MATCH(C126, {"Virginia","Florida","Texas","New York","California"}, 0)),
        IF(C126 = "Virginia", Assumptions!$C$13, Assumptions!$C$14),
        ROUND(
            (INDEX(Assumptions!$C$15:$C$19, MATCH(C126, {"Virginia","Florida","Texas","New York","California"}, 0)) * Assumptions!$C$9 -
            SUMIF(C$2:C125, C126, D$2:D126)) /
            (1 + EXP(-0.2 * (B126 - INDEX(Assumptions!$C$3:$C$7, MATCH(C126, {"Virginia","Florida","Texas","New York","California"}, 0)) - 30))),
            0
        )
    )
)</f>
        <v>273</v>
      </c>
      <c r="E126" s="62">
        <f>IF(B126&lt;INDEX(Assumptions!$C$3:$C$7, MATCH(C126, {"Virginia","Florida","Texas","New York","California"}, 0)),
    0,
    IF(F126=0,
        0,
        F126 * Assumptions!$C$12
    )
)</f>
        <v>7.125</v>
      </c>
      <c r="F126" s="62" cm="1">
        <f t="array" ref="F126">IF(B126&lt;INDEX(Assumptions!$C$3:$C$7, MATCH(C126, {"Virginia","Florida","Texas","New York","California"}, 0)),
    0,
    IF(C126=C125,
        F125 + D126,
        IF(COUNTIF($C$2:C126, C126) = 1, D126, LOOKUP(2, 1/(C$1:C125=C126), F$1:F125) + D126)
    )
)</f>
        <v>1710</v>
      </c>
      <c r="G126" s="62" cm="1">
        <f t="array" ref="G126">IF(B126&lt;INDEX(Assumptions!$C$3:$C$7, MATCH(C126, {"Virginia","Florida","Texas","New York","California"}, 0)),
    0,
    IF(C126=C125,
        G125 + D126 - E126,
        IF(COUNTIF($C$2:C126, C126) = 1, D126, LOOKUP(2, 1/(C$1:C125=C126), G$1:G125) + D126 - E126)
    )
)</f>
        <v>1670.1583333333333</v>
      </c>
      <c r="H126" s="63">
        <f>IF(B126&lt;INDEX(Assumptions!$C$3:$C$7, MATCH(C126, {"Virginia","Florida","Texas","New York","California"}, 0)),
    0,
    (G126 / INDEX(Assumptions!$C$15:$C$19, MATCH(C126, {"Virginia","Florida","Texas","New York","California"}, 0)))
)</f>
        <v>1.8557314814814815E-2</v>
      </c>
      <c r="I126" s="43">
        <f>G126*'Unit Economics'!$B$19* INDEX(Assumptions!$C$38:$C$42, MATCH(C126, {"Virginia","Florida","Texas","New York","California"}, 0))</f>
        <v>442354.79585000005</v>
      </c>
      <c r="J126" s="43">
        <f>D126*Assumptions!$C$21*INDEX(Assumptions!$C$38:$C$42,MATCH(C126,{"Virginia","Florida","Texas","New York","California"},0))</f>
        <v>76861.785000000003</v>
      </c>
      <c r="K126" s="43">
        <f>G126/Assumptions!$C$22*('Unit Economics'!$F$24+'Unit Economics'!$F$25+'Unit Economics'!$F$26)</f>
        <v>79639.535232843133</v>
      </c>
      <c r="L126" s="43">
        <f>D126*Assumptions!$C$29</f>
        <v>50505</v>
      </c>
      <c r="M126" s="35">
        <f>G126*Assumptions!$C$27</f>
        <v>0</v>
      </c>
      <c r="N126" s="35">
        <f>G126*Assumptions!$C$28</f>
        <v>0</v>
      </c>
      <c r="O126" s="64">
        <f>IF( COUNTIF($B$2:B126, B126) = 1, MIN( Assumptions!$C$34 + INT(SUMIF($B$2:$B126, B126, G$2:G126) / 1000) * Assumptions!$C$37, Assumptions!$C$36 ), 0 )</f>
        <v>0</v>
      </c>
      <c r="P126" s="53">
        <f t="shared" si="4"/>
        <v>548351.11608284316</v>
      </c>
      <c r="Q126" s="52">
        <f t="shared" si="5"/>
        <v>53054330.200302005</v>
      </c>
    </row>
    <row r="127" spans="1:17">
      <c r="A127" s="2">
        <f t="shared" si="3"/>
        <v>4</v>
      </c>
      <c r="B127" s="2">
        <v>40</v>
      </c>
      <c r="C127" s="2" t="s">
        <v>90</v>
      </c>
      <c r="D127" s="62">
        <f>IF(
    B127 &lt; INDEX(Assumptions!$C$3:$C$7, MATCH(C127, {"Virginia","Florida","Texas","New York","California"}, 0)),
    0,
    IF(
        B127 = INDEX(Assumptions!$C$3:$C$7, MATCH(C127, {"Virginia","Florida","Texas","New York","California"}, 0)),
        IF(C127 = "Virginia", Assumptions!$C$13, Assumptions!$C$14),
        ROUND(
            (INDEX(Assumptions!$C$15:$C$19, MATCH(C127, {"Virginia","Florida","Texas","New York","California"}, 0)) * Assumptions!$C$9 -
            SUMIF(C$2:C126, C127, D$2:D127)) /
            (1 + EXP(-0.2 * (B127 - INDEX(Assumptions!$C$3:$C$7, MATCH(C127, {"Virginia","Florida","Texas","New York","California"}, 0)) - 30))),
            0
        )
    )
)</f>
        <v>213</v>
      </c>
      <c r="E127" s="62">
        <f>IF(B127&lt;INDEX(Assumptions!$C$3:$C$7, MATCH(C127, {"Virginia","Florida","Texas","New York","California"}, 0)),
    0,
    IF(F127=0,
        0,
        F127 * Assumptions!$C$12
    )
)</f>
        <v>21.712499999999999</v>
      </c>
      <c r="F127" s="62" cm="1">
        <f t="array" ref="F127">IF(B127&lt;INDEX(Assumptions!$C$3:$C$7, MATCH(C127, {"Virginia","Florida","Texas","New York","California"}, 0)),
    0,
    IF(C127=C126,
        F126 + D127,
        IF(COUNTIF($C$2:C127, C127) = 1, D127, LOOKUP(2, 1/(C$1:C126=C127), F$1:F126) + D127)
    )
)</f>
        <v>5211</v>
      </c>
      <c r="G127" s="62" cm="1">
        <f t="array" ref="G127">IF(B127&lt;INDEX(Assumptions!$C$3:$C$7, MATCH(C127, {"Virginia","Florida","Texas","New York","California"}, 0)),
    0,
    IF(C127=C126,
        G126 + D127 - E127,
        IF(COUNTIF($C$2:C127, C127) = 1, D127, LOOKUP(2, 1/(C$1:C126=C127), G$1:G126) + D127 - E127)
    )
)</f>
        <v>5006.3291666666673</v>
      </c>
      <c r="H127" s="63">
        <f>IF(B127&lt;INDEX(Assumptions!$C$3:$C$7, MATCH(C127, {"Virginia","Florida","Texas","New York","California"}, 0)),
    0,
    (G127 / INDEX(Assumptions!$C$15:$C$19, MATCH(C127, {"Virginia","Florida","Texas","New York","California"}, 0)))
)</f>
        <v>7.1518988095238101E-2</v>
      </c>
      <c r="I127" s="43">
        <f>G127*'Unit Economics'!$B$19* INDEX(Assumptions!$C$38:$C$42, MATCH(C127, {"Virginia","Florida","Texas","New York","California"}, 0))</f>
        <v>1265695.1335875001</v>
      </c>
      <c r="J127" s="43">
        <f>D127*Assumptions!$C$21*INDEX(Assumptions!$C$38:$C$42,MATCH(C127,{"Virginia","Florida","Texas","New York","California"},0))</f>
        <v>57243.217499999999</v>
      </c>
      <c r="K127" s="43">
        <f>G127/Assumptions!$C$22*('Unit Economics'!$F$24+'Unit Economics'!$F$25+'Unit Economics'!$F$26)</f>
        <v>238720.91651348045</v>
      </c>
      <c r="L127" s="43">
        <f>D127*Assumptions!$C$29</f>
        <v>39405</v>
      </c>
      <c r="M127" s="35">
        <f>G127*Assumptions!$C$27</f>
        <v>0</v>
      </c>
      <c r="N127" s="35">
        <f>G127*Assumptions!$C$28</f>
        <v>0</v>
      </c>
      <c r="O127" s="64">
        <f>IF( COUNTIF($B$2:B127, B127) = 1, MIN( Assumptions!$C$34 + INT(SUMIF($B$2:$B127, B127, G$2:G127) / 1000) * Assumptions!$C$37, Assumptions!$C$36 ), 0 )</f>
        <v>0</v>
      </c>
      <c r="P127" s="53">
        <f t="shared" si="4"/>
        <v>1522254.2676009806</v>
      </c>
      <c r="Q127" s="52">
        <f t="shared" si="5"/>
        <v>54576584.467902988</v>
      </c>
    </row>
    <row r="128" spans="1:17">
      <c r="A128" s="2">
        <f t="shared" si="3"/>
        <v>4</v>
      </c>
      <c r="B128" s="2">
        <v>40</v>
      </c>
      <c r="C128" s="2" t="s">
        <v>91</v>
      </c>
      <c r="D128" s="62">
        <f>IF(
    B128 &lt; INDEX(Assumptions!$C$3:$C$7, MATCH(C128, {"Virginia","Florida","Texas","New York","California"}, 0)),
    0,
    IF(
        B128 = INDEX(Assumptions!$C$3:$C$7, MATCH(C128, {"Virginia","Florida","Texas","New York","California"}, 0)),
        IF(C128 = "Virginia", Assumptions!$C$13, Assumptions!$C$14),
        ROUND(
            (INDEX(Assumptions!$C$15:$C$19, MATCH(C128, {"Virginia","Florida","Texas","New York","California"}, 0)) * Assumptions!$C$9 -
            SUMIF(C$2:C127, C128, D$2:D128)) /
            (1 + EXP(-0.2 * (B128 - INDEX(Assumptions!$C$3:$C$7, MATCH(C128, {"Virginia","Florida","Texas","New York","California"}, 0)) - 30))),
            0
        )
    )
)</f>
        <v>244</v>
      </c>
      <c r="E128" s="62">
        <f>IF(B128&lt;INDEX(Assumptions!$C$3:$C$7, MATCH(C128, {"Virginia","Florida","Texas","New York","California"}, 0)),
    0,
    IF(F128=0,
        0,
        F128 * Assumptions!$C$12
    )
)</f>
        <v>24.8125</v>
      </c>
      <c r="F128" s="62" cm="1">
        <f t="array" ref="F128">IF(B128&lt;INDEX(Assumptions!$C$3:$C$7, MATCH(C128, {"Virginia","Florida","Texas","New York","California"}, 0)),
    0,
    IF(C128=C127,
        F127 + D128,
        IF(COUNTIF($C$2:C128, C128) = 1, D128, LOOKUP(2, 1/(C$1:C127=C128), F$1:F127) + D128)
    )
)</f>
        <v>5955</v>
      </c>
      <c r="G128" s="62" cm="1">
        <f t="array" ref="G128">IF(B128&lt;INDEX(Assumptions!$C$3:$C$7, MATCH(C128, {"Virginia","Florida","Texas","New York","California"}, 0)),
    0,
    IF(C128=C127,
        G127 + D128 - E128,
        IF(COUNTIF($C$2:C128, C128) = 1, D128, LOOKUP(2, 1/(C$1:C127=C128), G$1:G127) + D128 - E128)
    )
)</f>
        <v>5722.2791666666662</v>
      </c>
      <c r="H128" s="63">
        <f>IF(B128&lt;INDEX(Assumptions!$C$3:$C$7, MATCH(C128, {"Virginia","Florida","Texas","New York","California"}, 0)),
    0,
    (G128 / INDEX(Assumptions!$C$15:$C$19, MATCH(C128, {"Virginia","Florida","Texas","New York","California"}, 0)))
)</f>
        <v>7.1528489583333327E-2</v>
      </c>
      <c r="I128" s="43">
        <f>G128*'Unit Economics'!$B$19* INDEX(Assumptions!$C$38:$C$42, MATCH(C128, {"Virginia","Florida","Texas","New York","California"}, 0))</f>
        <v>1419144.6890825001</v>
      </c>
      <c r="J128" s="43">
        <f>D128*Assumptions!$C$21*INDEX(Assumptions!$C$38:$C$42,MATCH(C128,{"Virginia","Florida","Texas","New York","California"},0))</f>
        <v>64325.353999999999</v>
      </c>
      <c r="K128" s="43">
        <f>G128/Assumptions!$C$22*('Unit Economics'!$F$24+'Unit Economics'!$F$25+'Unit Economics'!$F$26)</f>
        <v>272860.14996936277</v>
      </c>
      <c r="L128" s="43">
        <f>D128*Assumptions!$C$29</f>
        <v>45140</v>
      </c>
      <c r="M128" s="35">
        <f>G128*Assumptions!$C$27</f>
        <v>0</v>
      </c>
      <c r="N128" s="35">
        <f>G128*Assumptions!$C$28</f>
        <v>0</v>
      </c>
      <c r="O128" s="64">
        <f>IF( COUNTIF($B$2:B128, B128) = 1, MIN( Assumptions!$C$34 + INT(SUMIF($B$2:$B128, B128, G$2:G128) / 1000) * Assumptions!$C$37, Assumptions!$C$36 ), 0 )</f>
        <v>0</v>
      </c>
      <c r="P128" s="53">
        <f t="shared" si="4"/>
        <v>1711190.193051863</v>
      </c>
      <c r="Q128" s="52">
        <f t="shared" si="5"/>
        <v>56287774.660954848</v>
      </c>
    </row>
    <row r="129" spans="1:17">
      <c r="A129" s="2">
        <f t="shared" si="3"/>
        <v>4</v>
      </c>
      <c r="B129" s="2">
        <v>40</v>
      </c>
      <c r="C129" s="2" t="s">
        <v>89</v>
      </c>
      <c r="D129" s="62">
        <f>IF(
    B129 &lt; INDEX(Assumptions!$C$3:$C$7, MATCH(C129, {"Virginia","Florida","Texas","New York","California"}, 0)),
    0,
    IF(
        B129 = INDEX(Assumptions!$C$3:$C$7, MATCH(C129, {"Virginia","Florida","Texas","New York","California"}, 0)),
        IF(C129 = "Virginia", Assumptions!$C$13, Assumptions!$C$14),
        ROUND(
            (INDEX(Assumptions!$C$15:$C$19, MATCH(C129, {"Virginia","Florida","Texas","New York","California"}, 0)) * Assumptions!$C$9 -
            SUMIF(C$2:C128, C129, D$2:D129)) /
            (1 + EXP(-0.2 * (B129 - INDEX(Assumptions!$C$3:$C$7, MATCH(C129, {"Virginia","Florida","Texas","New York","California"}, 0)) - 30))),
            0
        )
    )
)</f>
        <v>0</v>
      </c>
      <c r="E129" s="62">
        <f>IF(B129&lt;INDEX(Assumptions!$C$3:$C$7, MATCH(C129, {"Virginia","Florida","Texas","New York","California"}, 0)),
    0,
    IF(F129=0,
        0,
        F129 * Assumptions!$C$12
    )
)</f>
        <v>16.666666666666668</v>
      </c>
      <c r="F129" s="62" cm="1">
        <f t="array" ref="F129">IF(B129&lt;INDEX(Assumptions!$C$3:$C$7, MATCH(C129, {"Virginia","Florida","Texas","New York","California"}, 0)),
    0,
    IF(C129=C128,
        F128 + D129,
        IF(COUNTIF($C$2:C129, C129) = 1, D129, LOOKUP(2, 1/(C$1:C128=C129), F$1:F128) + D129)
    )
)</f>
        <v>4000</v>
      </c>
      <c r="G129" s="62" cm="1">
        <f t="array" ref="G129">IF(B129&lt;INDEX(Assumptions!$C$3:$C$7, MATCH(C129, {"Virginia","Florida","Texas","New York","California"}, 0)),
    0,
    IF(C129=C128,
        G128 + D129 - E129,
        IF(COUNTIF($C$2:C129, C129) = 1, D129, LOOKUP(2, 1/(C$1:C128=C129), G$1:G128) + D129 - E129)
    )
)</f>
        <v>3656.9541666666673</v>
      </c>
      <c r="H129" s="63">
        <f>IF(B129&lt;INDEX(Assumptions!$C$3:$C$7, MATCH(C129, {"Virginia","Florida","Texas","New York","California"}, 0)),
    0,
    (G129 / INDEX(Assumptions!$C$15:$C$19, MATCH(C129, {"Virginia","Florida","Texas","New York","California"}, 0)))
)</f>
        <v>7.3139083333333341E-2</v>
      </c>
      <c r="I129" s="43">
        <f>G129*'Unit Economics'!$B$19* INDEX(Assumptions!$C$38:$C$42, MATCH(C129, {"Virginia","Florida","Texas","New York","California"}, 0))</f>
        <v>880521.42425000016</v>
      </c>
      <c r="J129" s="43">
        <f>D129*Assumptions!$C$21*INDEX(Assumptions!$C$38:$C$42,MATCH(C129,{"Virginia","Florida","Texas","New York","California"},0))</f>
        <v>0</v>
      </c>
      <c r="K129" s="43">
        <f>G129/Assumptions!$C$22*('Unit Economics'!$F$24+'Unit Economics'!$F$25+'Unit Economics'!$F$26)</f>
        <v>174377.55713848045</v>
      </c>
      <c r="L129" s="43">
        <f>D129*Assumptions!$C$29</f>
        <v>0</v>
      </c>
      <c r="M129" s="35">
        <f>G129*Assumptions!$C$27</f>
        <v>0</v>
      </c>
      <c r="N129" s="35">
        <f>G129*Assumptions!$C$28</f>
        <v>0</v>
      </c>
      <c r="O129" s="64">
        <f>IF( COUNTIF($B$2:B129, B129) = 1, MIN( Assumptions!$C$34 + INT(SUMIF($B$2:$B129, B129, G$2:G129) / 1000) * Assumptions!$C$37, Assumptions!$C$36 ), 0 )</f>
        <v>0</v>
      </c>
      <c r="P129" s="53">
        <f t="shared" si="4"/>
        <v>1054898.9813884806</v>
      </c>
      <c r="Q129" s="52">
        <f t="shared" si="5"/>
        <v>57342673.642343327</v>
      </c>
    </row>
    <row r="130" spans="1:17">
      <c r="A130" s="2">
        <f t="shared" si="3"/>
        <v>4</v>
      </c>
      <c r="B130" s="2">
        <v>41</v>
      </c>
      <c r="C130" s="2" t="s">
        <v>92</v>
      </c>
      <c r="D130" s="62">
        <f>IF(
    B130 &lt; INDEX(Assumptions!$C$3:$C$7, MATCH(C130, {"Virginia","Florida","Texas","New York","California"}, 0)),
    0,
    IF(
        B130 = INDEX(Assumptions!$C$3:$C$7, MATCH(C130, {"Virginia","Florida","Texas","New York","California"}, 0)),
        IF(C130 = "Virginia", Assumptions!$C$13, Assumptions!$C$14),
        ROUND(
            (INDEX(Assumptions!$C$15:$C$19, MATCH(C130, {"Virginia","Florida","Texas","New York","California"}, 0)) * Assumptions!$C$9 -
            SUMIF(C$2:C129, C130, D$2:D130)) /
            (1 + EXP(-0.2 * (B130 - INDEX(Assumptions!$C$3:$C$7, MATCH(C130, {"Virginia","Florida","Texas","New York","California"}, 0)) - 30))),
            0
        )
    )
)</f>
        <v>208</v>
      </c>
      <c r="E130" s="62">
        <f>IF(B130&lt;INDEX(Assumptions!$C$3:$C$7, MATCH(C130, {"Virginia","Florida","Texas","New York","California"}, 0)),
    0,
    IF(F130=0,
        0,
        F130 * Assumptions!$C$12
    )
)</f>
        <v>5.7249999999999996</v>
      </c>
      <c r="F130" s="62" cm="1">
        <f t="array" ref="F130">IF(B130&lt;INDEX(Assumptions!$C$3:$C$7, MATCH(C130, {"Virginia","Florida","Texas","New York","California"}, 0)),
    0,
    IF(C130=C129,
        F129 + D130,
        IF(COUNTIF($C$2:C130, C130) = 1, D130, LOOKUP(2, 1/(C$1:C129=C130), F$1:F129) + D130)
    )
)</f>
        <v>1374</v>
      </c>
      <c r="G130" s="62" cm="1">
        <f t="array" ref="G130">IF(B130&lt;INDEX(Assumptions!$C$3:$C$7, MATCH(C130, {"Virginia","Florida","Texas","New York","California"}, 0)),
    0,
    IF(C130=C129,
        G129 + D130 - E130,
        IF(COUNTIF($C$2:C130, C130) = 1, D130, LOOKUP(2, 1/(C$1:C129=C130), G$1:G129) + D130 - E130)
    )
)</f>
        <v>1339.8041666666668</v>
      </c>
      <c r="H130" s="63">
        <f>IF(B130&lt;INDEX(Assumptions!$C$3:$C$7, MATCH(C130, {"Virginia","Florida","Texas","New York","California"}, 0)),
    0,
    (G130 / INDEX(Assumptions!$C$15:$C$19, MATCH(C130, {"Virginia","Florida","Texas","New York","California"}, 0)))
)</f>
        <v>2.2330069444444448E-2</v>
      </c>
      <c r="I130" s="43">
        <f>G130*'Unit Economics'!$B$19* INDEX(Assumptions!$C$38:$C$42, MATCH(C130, {"Virginia","Florida","Texas","New York","California"}, 0))</f>
        <v>348405.89103</v>
      </c>
      <c r="J130" s="43">
        <f>D130*Assumptions!$C$21*INDEX(Assumptions!$C$38:$C$42,MATCH(C130,{"Virginia","Florida","Texas","New York","California"},0))</f>
        <v>57496.608</v>
      </c>
      <c r="K130" s="43">
        <f>G130/Assumptions!$C$22*('Unit Economics'!$F$24+'Unit Economics'!$F$25+'Unit Economics'!$F$26)</f>
        <v>63886.98544730393</v>
      </c>
      <c r="L130" s="43">
        <f>D130*Assumptions!$C$29</f>
        <v>38480</v>
      </c>
      <c r="M130" s="35">
        <f>G130*Assumptions!$C$27</f>
        <v>0</v>
      </c>
      <c r="N130" s="35">
        <f>G130*Assumptions!$C$28</f>
        <v>0</v>
      </c>
      <c r="O130" s="64">
        <f>IF( COUNTIF($B$2:B130, B130) = 1, MIN( Assumptions!$C$34 + INT(SUMIF($B$2:$B130, B130, G$2:G130) / 1000) * Assumptions!$C$37, Assumptions!$C$36 ), 0 )</f>
        <v>70000</v>
      </c>
      <c r="P130" s="53">
        <f t="shared" si="4"/>
        <v>361309.48447730392</v>
      </c>
      <c r="Q130" s="52">
        <f t="shared" si="5"/>
        <v>57703983.126820631</v>
      </c>
    </row>
    <row r="131" spans="1:17">
      <c r="A131" s="2">
        <f t="shared" ref="A131:A194" si="6">+INT((B131-1)/12)+1</f>
        <v>4</v>
      </c>
      <c r="B131" s="2">
        <v>41</v>
      </c>
      <c r="C131" s="2" t="s">
        <v>93</v>
      </c>
      <c r="D131" s="62">
        <f>IF(
    B131 &lt; INDEX(Assumptions!$C$3:$C$7, MATCH(C131, {"Virginia","Florida","Texas","New York","California"}, 0)),
    0,
    IF(
        B131 = INDEX(Assumptions!$C$3:$C$7, MATCH(C131, {"Virginia","Florida","Texas","New York","California"}, 0)),
        IF(C131 = "Virginia", Assumptions!$C$13, Assumptions!$C$14),
        ROUND(
            (INDEX(Assumptions!$C$15:$C$19, MATCH(C131, {"Virginia","Florida","Texas","New York","California"}, 0)) * Assumptions!$C$9 -
            SUMIF(C$2:C130, C131, D$2:D131)) /
            (1 + EXP(-0.2 * (B131 - INDEX(Assumptions!$C$3:$C$7, MATCH(C131, {"Virginia","Florida","Texas","New York","California"}, 0)) - 30))),
            0
        )
    )
)</f>
        <v>315</v>
      </c>
      <c r="E131" s="62">
        <f>IF(B131&lt;INDEX(Assumptions!$C$3:$C$7, MATCH(C131, {"Virginia","Florida","Texas","New York","California"}, 0)),
    0,
    IF(F131=0,
        0,
        F131 * Assumptions!$C$12
    )
)</f>
        <v>8.4375</v>
      </c>
      <c r="F131" s="62" cm="1">
        <f t="array" ref="F131">IF(B131&lt;INDEX(Assumptions!$C$3:$C$7, MATCH(C131, {"Virginia","Florida","Texas","New York","California"}, 0)),
    0,
    IF(C131=C130,
        F130 + D131,
        IF(COUNTIF($C$2:C131, C131) = 1, D131, LOOKUP(2, 1/(C$1:C130=C131), F$1:F130) + D131)
    )
)</f>
        <v>2025</v>
      </c>
      <c r="G131" s="62" cm="1">
        <f t="array" ref="G131">IF(B131&lt;INDEX(Assumptions!$C$3:$C$7, MATCH(C131, {"Virginia","Florida","Texas","New York","California"}, 0)),
    0,
    IF(C131=C130,
        G130 + D131 - E131,
        IF(COUNTIF($C$2:C131, C131) = 1, D131, LOOKUP(2, 1/(C$1:C130=C131), G$1:G130) + D131 - E131)
    )
)</f>
        <v>1976.7208333333333</v>
      </c>
      <c r="H131" s="63">
        <f>IF(B131&lt;INDEX(Assumptions!$C$3:$C$7, MATCH(C131, {"Virginia","Florida","Texas","New York","California"}, 0)),
    0,
    (G131 / INDEX(Assumptions!$C$15:$C$19, MATCH(C131, {"Virginia","Florida","Texas","New York","California"}, 0)))
)</f>
        <v>2.1963564814814814E-2</v>
      </c>
      <c r="I131" s="43">
        <f>G131*'Unit Economics'!$B$19* INDEX(Assumptions!$C$38:$C$42, MATCH(C131, {"Virginia","Florida","Texas","New York","California"}, 0))</f>
        <v>523550.32647500001</v>
      </c>
      <c r="J131" s="43">
        <f>D131*Assumptions!$C$21*INDEX(Assumptions!$C$38:$C$42,MATCH(C131,{"Virginia","Florida","Texas","New York","California"},0))</f>
        <v>88686.675000000003</v>
      </c>
      <c r="K131" s="43">
        <f>G131/Assumptions!$C$22*('Unit Economics'!$F$24+'Unit Economics'!$F$25+'Unit Economics'!$F$26)</f>
        <v>94257.607383578434</v>
      </c>
      <c r="L131" s="43">
        <f>D131*Assumptions!$C$29</f>
        <v>58275</v>
      </c>
      <c r="M131" s="35">
        <f>G131*Assumptions!$C$27</f>
        <v>0</v>
      </c>
      <c r="N131" s="35">
        <f>G131*Assumptions!$C$28</f>
        <v>0</v>
      </c>
      <c r="O131" s="64">
        <f>IF( COUNTIF($B$2:B131, B131) = 1, MIN( Assumptions!$C$34 + INT(SUMIF($B$2:$B131, B131, G$2:G131) / 1000) * Assumptions!$C$37, Assumptions!$C$36 ), 0 )</f>
        <v>0</v>
      </c>
      <c r="P131" s="53">
        <f t="shared" ref="P131:P194" si="7">I131+J131+K131-L131-O131</f>
        <v>648219.60885857849</v>
      </c>
      <c r="Q131" s="52">
        <f t="shared" si="5"/>
        <v>58352202.735679209</v>
      </c>
    </row>
    <row r="132" spans="1:17">
      <c r="A132" s="2">
        <f t="shared" si="6"/>
        <v>4</v>
      </c>
      <c r="B132" s="2">
        <v>41</v>
      </c>
      <c r="C132" s="2" t="s">
        <v>90</v>
      </c>
      <c r="D132" s="62">
        <f>IF(
    B132 &lt; INDEX(Assumptions!$C$3:$C$7, MATCH(C132, {"Virginia","Florida","Texas","New York","California"}, 0)),
    0,
    IF(
        B132 = INDEX(Assumptions!$C$3:$C$7, MATCH(C132, {"Virginia","Florida","Texas","New York","California"}, 0)),
        IF(C132 = "Virginia", Assumptions!$C$13, Assumptions!$C$14),
        ROUND(
            (INDEX(Assumptions!$C$15:$C$19, MATCH(C132, {"Virginia","Florida","Texas","New York","California"}, 0)) * Assumptions!$C$9 -
            SUMIF(C$2:C131, C132, D$2:D132)) /
            (1 + EXP(-0.2 * (B132 - INDEX(Assumptions!$C$3:$C$7, MATCH(C132, {"Virginia","Florida","Texas","New York","California"}, 0)) - 30))),
            0
        )
    )
)</f>
        <v>156</v>
      </c>
      <c r="E132" s="62">
        <f>IF(B132&lt;INDEX(Assumptions!$C$3:$C$7, MATCH(C132, {"Virginia","Florida","Texas","New York","California"}, 0)),
    0,
    IF(F132=0,
        0,
        F132 * Assumptions!$C$12
    )
)</f>
        <v>22.362500000000001</v>
      </c>
      <c r="F132" s="62" cm="1">
        <f t="array" ref="F132">IF(B132&lt;INDEX(Assumptions!$C$3:$C$7, MATCH(C132, {"Virginia","Florida","Texas","New York","California"}, 0)),
    0,
    IF(C132=C131,
        F131 + D132,
        IF(COUNTIF($C$2:C132, C132) = 1, D132, LOOKUP(2, 1/(C$1:C131=C132), F$1:F131) + D132)
    )
)</f>
        <v>5367</v>
      </c>
      <c r="G132" s="62" cm="1">
        <f t="array" ref="G132">IF(B132&lt;INDEX(Assumptions!$C$3:$C$7, MATCH(C132, {"Virginia","Florida","Texas","New York","California"}, 0)),
    0,
    IF(C132=C131,
        G131 + D132 - E132,
        IF(COUNTIF($C$2:C132, C132) = 1, D132, LOOKUP(2, 1/(C$1:C131=C132), G$1:G131) + D132 - E132)
    )
)</f>
        <v>5139.9666666666672</v>
      </c>
      <c r="H132" s="63">
        <f>IF(B132&lt;INDEX(Assumptions!$C$3:$C$7, MATCH(C132, {"Virginia","Florida","Texas","New York","California"}, 0)),
    0,
    (G132 / INDEX(Assumptions!$C$15:$C$19, MATCH(C132, {"Virginia","Florida","Texas","New York","California"}, 0)))
)</f>
        <v>7.3428095238095251E-2</v>
      </c>
      <c r="I132" s="43">
        <f>G132*'Unit Economics'!$B$19* INDEX(Assumptions!$C$38:$C$42, MATCH(C132, {"Virginia","Florida","Texas","New York","California"}, 0))</f>
        <v>1299481.2327000003</v>
      </c>
      <c r="J132" s="43">
        <f>D132*Assumptions!$C$21*INDEX(Assumptions!$C$38:$C$42,MATCH(C132,{"Virginia","Florida","Texas","New York","California"},0))</f>
        <v>41924.61</v>
      </c>
      <c r="K132" s="43">
        <f>G132/Assumptions!$C$22*('Unit Economics'!$F$24+'Unit Economics'!$F$25+'Unit Economics'!$F$26)</f>
        <v>245093.2634803922</v>
      </c>
      <c r="L132" s="43">
        <f>D132*Assumptions!$C$29</f>
        <v>28860</v>
      </c>
      <c r="M132" s="35">
        <f>G132*Assumptions!$C$27</f>
        <v>0</v>
      </c>
      <c r="N132" s="35">
        <f>G132*Assumptions!$C$28</f>
        <v>0</v>
      </c>
      <c r="O132" s="64">
        <f>IF( COUNTIF($B$2:B132, B132) = 1, MIN( Assumptions!$C$34 + INT(SUMIF($B$2:$B132, B132, G$2:G132) / 1000) * Assumptions!$C$37, Assumptions!$C$36 ), 0 )</f>
        <v>0</v>
      </c>
      <c r="P132" s="53">
        <f t="shared" si="7"/>
        <v>1557639.1061803927</v>
      </c>
      <c r="Q132" s="52">
        <f t="shared" ref="Q132:Q195" si="8">Q131+P132</f>
        <v>59909841.841859601</v>
      </c>
    </row>
    <row r="133" spans="1:17">
      <c r="A133" s="2">
        <f t="shared" si="6"/>
        <v>4</v>
      </c>
      <c r="B133" s="2">
        <v>41</v>
      </c>
      <c r="C133" s="2" t="s">
        <v>91</v>
      </c>
      <c r="D133" s="62">
        <f>IF(
    B133 &lt; INDEX(Assumptions!$C$3:$C$7, MATCH(C133, {"Virginia","Florida","Texas","New York","California"}, 0)),
    0,
    IF(
        B133 = INDEX(Assumptions!$C$3:$C$7, MATCH(C133, {"Virginia","Florida","Texas","New York","California"}, 0)),
        IF(C133 = "Virginia", Assumptions!$C$13, Assumptions!$C$14),
        ROUND(
            (INDEX(Assumptions!$C$15:$C$19, MATCH(C133, {"Virginia","Florida","Texas","New York","California"}, 0)) * Assumptions!$C$9 -
            SUMIF(C$2:C132, C133, D$2:D133)) /
            (1 + EXP(-0.2 * (B133 - INDEX(Assumptions!$C$3:$C$7, MATCH(C133, {"Virginia","Florida","Texas","New York","California"}, 0)) - 30))),
            0
        )
    )
)</f>
        <v>179</v>
      </c>
      <c r="E133" s="62">
        <f>IF(B133&lt;INDEX(Assumptions!$C$3:$C$7, MATCH(C133, {"Virginia","Florida","Texas","New York","California"}, 0)),
    0,
    IF(F133=0,
        0,
        F133 * Assumptions!$C$12
    )
)</f>
        <v>25.558333333333334</v>
      </c>
      <c r="F133" s="62" cm="1">
        <f t="array" ref="F133">IF(B133&lt;INDEX(Assumptions!$C$3:$C$7, MATCH(C133, {"Virginia","Florida","Texas","New York","California"}, 0)),
    0,
    IF(C133=C132,
        F132 + D133,
        IF(COUNTIF($C$2:C133, C133) = 1, D133, LOOKUP(2, 1/(C$1:C132=C133), F$1:F132) + D133)
    )
)</f>
        <v>6134</v>
      </c>
      <c r="G133" s="62" cm="1">
        <f t="array" ref="G133">IF(B133&lt;INDEX(Assumptions!$C$3:$C$7, MATCH(C133, {"Virginia","Florida","Texas","New York","California"}, 0)),
    0,
    IF(C133=C132,
        G132 + D133 - E133,
        IF(COUNTIF($C$2:C133, C133) = 1, D133, LOOKUP(2, 1/(C$1:C132=C133), G$1:G132) + D133 - E133)
    )
)</f>
        <v>5875.7208333333328</v>
      </c>
      <c r="H133" s="63">
        <f>IF(B133&lt;INDEX(Assumptions!$C$3:$C$7, MATCH(C133, {"Virginia","Florida","Texas","New York","California"}, 0)),
    0,
    (G133 / INDEX(Assumptions!$C$15:$C$19, MATCH(C133, {"Virginia","Florida","Texas","New York","California"}, 0)))
)</f>
        <v>7.3446510416666666E-2</v>
      </c>
      <c r="I133" s="43">
        <f>G133*'Unit Economics'!$B$19* INDEX(Assumptions!$C$38:$C$42, MATCH(C133, {"Virginia","Florida","Texas","New York","California"}, 0))</f>
        <v>1457198.7441175</v>
      </c>
      <c r="J133" s="43">
        <f>D133*Assumptions!$C$21*INDEX(Assumptions!$C$38:$C$42,MATCH(C133,{"Virginia","Florida","Texas","New York","California"},0))</f>
        <v>47189.501499999998</v>
      </c>
      <c r="K133" s="43">
        <f>G133/Assumptions!$C$22*('Unit Economics'!$F$24+'Unit Economics'!$F$25+'Unit Economics'!$F$26)</f>
        <v>280176.83532475494</v>
      </c>
      <c r="L133" s="43">
        <f>D133*Assumptions!$C$29</f>
        <v>33115</v>
      </c>
      <c r="M133" s="35">
        <f>G133*Assumptions!$C$27</f>
        <v>0</v>
      </c>
      <c r="N133" s="35">
        <f>G133*Assumptions!$C$28</f>
        <v>0</v>
      </c>
      <c r="O133" s="64">
        <f>IF( COUNTIF($B$2:B133, B133) = 1, MIN( Assumptions!$C$34 + INT(SUMIF($B$2:$B133, B133, G$2:G133) / 1000) * Assumptions!$C$37, Assumptions!$C$36 ), 0 )</f>
        <v>0</v>
      </c>
      <c r="P133" s="53">
        <f t="shared" si="7"/>
        <v>1751450.080942255</v>
      </c>
      <c r="Q133" s="52">
        <f t="shared" si="8"/>
        <v>61661291.92280186</v>
      </c>
    </row>
    <row r="134" spans="1:17">
      <c r="A134" s="2">
        <f t="shared" si="6"/>
        <v>4</v>
      </c>
      <c r="B134" s="2">
        <v>41</v>
      </c>
      <c r="C134" s="2" t="s">
        <v>89</v>
      </c>
      <c r="D134" s="62">
        <f>IF(
    B134 &lt; INDEX(Assumptions!$C$3:$C$7, MATCH(C134, {"Virginia","Florida","Texas","New York","California"}, 0)),
    0,
    IF(
        B134 = INDEX(Assumptions!$C$3:$C$7, MATCH(C134, {"Virginia","Florida","Texas","New York","California"}, 0)),
        IF(C134 = "Virginia", Assumptions!$C$13, Assumptions!$C$14),
        ROUND(
            (INDEX(Assumptions!$C$15:$C$19, MATCH(C134, {"Virginia","Florida","Texas","New York","California"}, 0)) * Assumptions!$C$9 -
            SUMIF(C$2:C133, C134, D$2:D134)) /
            (1 + EXP(-0.2 * (B134 - INDEX(Assumptions!$C$3:$C$7, MATCH(C134, {"Virginia","Florida","Texas","New York","California"}, 0)) - 30))),
            0
        )
    )
)</f>
        <v>0</v>
      </c>
      <c r="E134" s="62">
        <f>IF(B134&lt;INDEX(Assumptions!$C$3:$C$7, MATCH(C134, {"Virginia","Florida","Texas","New York","California"}, 0)),
    0,
    IF(F134=0,
        0,
        F134 * Assumptions!$C$12
    )
)</f>
        <v>16.666666666666668</v>
      </c>
      <c r="F134" s="62" cm="1">
        <f t="array" ref="F134">IF(B134&lt;INDEX(Assumptions!$C$3:$C$7, MATCH(C134, {"Virginia","Florida","Texas","New York","California"}, 0)),
    0,
    IF(C134=C133,
        F133 + D134,
        IF(COUNTIF($C$2:C134, C134) = 1, D134, LOOKUP(2, 1/(C$1:C133=C134), F$1:F133) + D134)
    )
)</f>
        <v>4000</v>
      </c>
      <c r="G134" s="62" cm="1">
        <f t="array" ref="G134">IF(B134&lt;INDEX(Assumptions!$C$3:$C$7, MATCH(C134, {"Virginia","Florida","Texas","New York","California"}, 0)),
    0,
    IF(C134=C133,
        G133 + D134 - E134,
        IF(COUNTIF($C$2:C134, C134) = 1, D134, LOOKUP(2, 1/(C$1:C133=C134), G$1:G133) + D134 - E134)
    )
)</f>
        <v>3640.2875000000008</v>
      </c>
      <c r="H134" s="63">
        <f>IF(B134&lt;INDEX(Assumptions!$C$3:$C$7, MATCH(C134, {"Virginia","Florida","Texas","New York","California"}, 0)),
    0,
    (G134 / INDEX(Assumptions!$C$15:$C$19, MATCH(C134, {"Virginia","Florida","Texas","New York","California"}, 0)))
)</f>
        <v>7.2805750000000016E-2</v>
      </c>
      <c r="I134" s="43">
        <f>G134*'Unit Economics'!$B$19* INDEX(Assumptions!$C$38:$C$42, MATCH(C134, {"Virginia","Florida","Texas","New York","California"}, 0))</f>
        <v>876508.42425000016</v>
      </c>
      <c r="J134" s="43">
        <f>D134*Assumptions!$C$21*INDEX(Assumptions!$C$38:$C$42,MATCH(C134,{"Virginia","Florida","Texas","New York","California"},0))</f>
        <v>0</v>
      </c>
      <c r="K134" s="43">
        <f>G134/Assumptions!$C$22*('Unit Economics'!$F$24+'Unit Economics'!$F$25+'Unit Economics'!$F$26)</f>
        <v>173582.82674632358</v>
      </c>
      <c r="L134" s="43">
        <f>D134*Assumptions!$C$29</f>
        <v>0</v>
      </c>
      <c r="M134" s="35">
        <f>G134*Assumptions!$C$27</f>
        <v>0</v>
      </c>
      <c r="N134" s="35">
        <f>G134*Assumptions!$C$28</f>
        <v>0</v>
      </c>
      <c r="O134" s="64">
        <f>IF( COUNTIF($B$2:B134, B134) = 1, MIN( Assumptions!$C$34 + INT(SUMIF($B$2:$B134, B134, G$2:G134) / 1000) * Assumptions!$C$37, Assumptions!$C$36 ), 0 )</f>
        <v>0</v>
      </c>
      <c r="P134" s="53">
        <f t="shared" si="7"/>
        <v>1050091.2509963238</v>
      </c>
      <c r="Q134" s="52">
        <f t="shared" si="8"/>
        <v>62711383.173798181</v>
      </c>
    </row>
    <row r="135" spans="1:17">
      <c r="A135" s="2">
        <f t="shared" si="6"/>
        <v>4</v>
      </c>
      <c r="B135" s="2">
        <v>42</v>
      </c>
      <c r="C135" s="2" t="s">
        <v>92</v>
      </c>
      <c r="D135" s="62">
        <f>IF(
    B135 &lt; INDEX(Assumptions!$C$3:$C$7, MATCH(C135, {"Virginia","Florida","Texas","New York","California"}, 0)),
    0,
    IF(
        B135 = INDEX(Assumptions!$C$3:$C$7, MATCH(C135, {"Virginia","Florida","Texas","New York","California"}, 0)),
        IF(C135 = "Virginia", Assumptions!$C$13, Assumptions!$C$14),
        ROUND(
            (INDEX(Assumptions!$C$15:$C$19, MATCH(C135, {"Virginia","Florida","Texas","New York","California"}, 0)) * Assumptions!$C$9 -
            SUMIF(C$2:C134, C135, D$2:D135)) /
            (1 + EXP(-0.2 * (B135 - INDEX(Assumptions!$C$3:$C$7, MATCH(C135, {"Virginia","Florida","Texas","New York","California"}, 0)) - 30))),
            0
        )
    )
)</f>
        <v>237</v>
      </c>
      <c r="E135" s="62">
        <f>IF(B135&lt;INDEX(Assumptions!$C$3:$C$7, MATCH(C135, {"Virginia","Florida","Texas","New York","California"}, 0)),
    0,
    IF(F135=0,
        0,
        F135 * Assumptions!$C$12
    )
)</f>
        <v>6.7124999999999995</v>
      </c>
      <c r="F135" s="62" cm="1">
        <f t="array" ref="F135">IF(B135&lt;INDEX(Assumptions!$C$3:$C$7, MATCH(C135, {"Virginia","Florida","Texas","New York","California"}, 0)),
    0,
    IF(C135=C134,
        F134 + D135,
        IF(COUNTIF($C$2:C135, C135) = 1, D135, LOOKUP(2, 1/(C$1:C134=C135), F$1:F134) + D135)
    )
)</f>
        <v>1611</v>
      </c>
      <c r="G135" s="62" cm="1">
        <f t="array" ref="G135">IF(B135&lt;INDEX(Assumptions!$C$3:$C$7, MATCH(C135, {"Virginia","Florida","Texas","New York","California"}, 0)),
    0,
    IF(C135=C134,
        G134 + D135 - E135,
        IF(COUNTIF($C$2:C135, C135) = 1, D135, LOOKUP(2, 1/(C$1:C134=C135), G$1:G134) + D135 - E135)
    )
)</f>
        <v>1570.0916666666667</v>
      </c>
      <c r="H135" s="63">
        <f>IF(B135&lt;INDEX(Assumptions!$C$3:$C$7, MATCH(C135, {"Virginia","Florida","Texas","New York","California"}, 0)),
    0,
    (G135 / INDEX(Assumptions!$C$15:$C$19, MATCH(C135, {"Virginia","Florida","Texas","New York","California"}, 0)))
)</f>
        <v>2.6168194444444445E-2</v>
      </c>
      <c r="I135" s="43">
        <f>G135*'Unit Economics'!$B$19* INDEX(Assumptions!$C$38:$C$42, MATCH(C135, {"Virginia","Florida","Texas","New York","California"}, 0))</f>
        <v>408290.40522000002</v>
      </c>
      <c r="J135" s="43">
        <f>D135*Assumptions!$C$21*INDEX(Assumptions!$C$38:$C$42,MATCH(C135,{"Virginia","Florida","Texas","New York","California"},0))</f>
        <v>65512.962</v>
      </c>
      <c r="K135" s="43">
        <f>G135/Assumptions!$C$22*('Unit Economics'!$F$24+'Unit Economics'!$F$25+'Unit Economics'!$F$26)</f>
        <v>74867.973958333343</v>
      </c>
      <c r="L135" s="43">
        <f>D135*Assumptions!$C$29</f>
        <v>43845</v>
      </c>
      <c r="M135" s="35">
        <f>G135*Assumptions!$C$27</f>
        <v>0</v>
      </c>
      <c r="N135" s="35">
        <f>G135*Assumptions!$C$28</f>
        <v>0</v>
      </c>
      <c r="O135" s="64">
        <f>IF( COUNTIF($B$2:B135, B135) = 1, MIN( Assumptions!$C$34 + INT(SUMIF($B$2:$B135, B135, G$2:G135) / 1000) * Assumptions!$C$37, Assumptions!$C$36 ), 0 )</f>
        <v>70000</v>
      </c>
      <c r="P135" s="53">
        <f t="shared" si="7"/>
        <v>434826.34117833339</v>
      </c>
      <c r="Q135" s="52">
        <f t="shared" si="8"/>
        <v>63146209.514976516</v>
      </c>
    </row>
    <row r="136" spans="1:17">
      <c r="A136" s="2">
        <f t="shared" si="6"/>
        <v>4</v>
      </c>
      <c r="B136" s="2">
        <v>42</v>
      </c>
      <c r="C136" s="2" t="s">
        <v>93</v>
      </c>
      <c r="D136" s="62">
        <f>IF(
    B136 &lt; INDEX(Assumptions!$C$3:$C$7, MATCH(C136, {"Virginia","Florida","Texas","New York","California"}, 0)),
    0,
    IF(
        B136 = INDEX(Assumptions!$C$3:$C$7, MATCH(C136, {"Virginia","Florida","Texas","New York","California"}, 0)),
        IF(C136 = "Virginia", Assumptions!$C$13, Assumptions!$C$14),
        ROUND(
            (INDEX(Assumptions!$C$15:$C$19, MATCH(C136, {"Virginia","Florida","Texas","New York","California"}, 0)) * Assumptions!$C$9 -
            SUMIF(C$2:C135, C136, D$2:D136)) /
            (1 + EXP(-0.2 * (B136 - INDEX(Assumptions!$C$3:$C$7, MATCH(C136, {"Virginia","Florida","Texas","New York","California"}, 0)) - 30))),
            0
        )
    )
)</f>
        <v>358</v>
      </c>
      <c r="E136" s="62">
        <f>IF(B136&lt;INDEX(Assumptions!$C$3:$C$7, MATCH(C136, {"Virginia","Florida","Texas","New York","California"}, 0)),
    0,
    IF(F136=0,
        0,
        F136 * Assumptions!$C$12
    )
)</f>
        <v>9.9291666666666671</v>
      </c>
      <c r="F136" s="62" cm="1">
        <f t="array" ref="F136">IF(B136&lt;INDEX(Assumptions!$C$3:$C$7, MATCH(C136, {"Virginia","Florida","Texas","New York","California"}, 0)),
    0,
    IF(C136=C135,
        F135 + D136,
        IF(COUNTIF($C$2:C136, C136) = 1, D136, LOOKUP(2, 1/(C$1:C135=C136), F$1:F135) + D136)
    )
)</f>
        <v>2383</v>
      </c>
      <c r="G136" s="62" cm="1">
        <f t="array" ref="G136">IF(B136&lt;INDEX(Assumptions!$C$3:$C$7, MATCH(C136, {"Virginia","Florida","Texas","New York","California"}, 0)),
    0,
    IF(C136=C135,
        G135 + D136 - E136,
        IF(COUNTIF($C$2:C136, C136) = 1, D136, LOOKUP(2, 1/(C$1:C135=C136), G$1:G135) + D136 - E136)
    )
)</f>
        <v>2324.7916666666665</v>
      </c>
      <c r="H136" s="63">
        <f>IF(B136&lt;INDEX(Assumptions!$C$3:$C$7, MATCH(C136, {"Virginia","Florida","Texas","New York","California"}, 0)),
    0,
    (G136 / INDEX(Assumptions!$C$15:$C$19, MATCH(C136, {"Virginia","Florida","Texas","New York","California"}, 0)))
)</f>
        <v>2.5831018518518517E-2</v>
      </c>
      <c r="I136" s="43">
        <f>G136*'Unit Economics'!$B$19* INDEX(Assumptions!$C$38:$C$42, MATCH(C136, {"Virginia","Florida","Texas","New York","California"}, 0))</f>
        <v>615739.67125000013</v>
      </c>
      <c r="J136" s="43">
        <f>D136*Assumptions!$C$21*INDEX(Assumptions!$C$38:$C$42,MATCH(C136,{"Virginia","Florida","Texas","New York","California"},0))</f>
        <v>100793.11</v>
      </c>
      <c r="K136" s="43">
        <f>G136/Assumptions!$C$22*('Unit Economics'!$F$24+'Unit Economics'!$F$25+'Unit Economics'!$F$26)</f>
        <v>110854.95557598039</v>
      </c>
      <c r="L136" s="43">
        <f>D136*Assumptions!$C$29</f>
        <v>66230</v>
      </c>
      <c r="M136" s="35">
        <f>G136*Assumptions!$C$27</f>
        <v>0</v>
      </c>
      <c r="N136" s="35">
        <f>G136*Assumptions!$C$28</f>
        <v>0</v>
      </c>
      <c r="O136" s="64">
        <f>IF( COUNTIF($B$2:B136, B136) = 1, MIN( Assumptions!$C$34 + INT(SUMIF($B$2:$B136, B136, G$2:G136) / 1000) * Assumptions!$C$37, Assumptions!$C$36 ), 0 )</f>
        <v>0</v>
      </c>
      <c r="P136" s="53">
        <f t="shared" si="7"/>
        <v>761157.73682598048</v>
      </c>
      <c r="Q136" s="52">
        <f t="shared" si="8"/>
        <v>63907367.251802497</v>
      </c>
    </row>
    <row r="137" spans="1:17">
      <c r="A137" s="2">
        <f t="shared" si="6"/>
        <v>4</v>
      </c>
      <c r="B137" s="2">
        <v>42</v>
      </c>
      <c r="C137" s="2" t="s">
        <v>90</v>
      </c>
      <c r="D137" s="62">
        <f>IF(
    B137 &lt; INDEX(Assumptions!$C$3:$C$7, MATCH(C137, {"Virginia","Florida","Texas","New York","California"}, 0)),
    0,
    IF(
        B137 = INDEX(Assumptions!$C$3:$C$7, MATCH(C137, {"Virginia","Florida","Texas","New York","California"}, 0)),
        IF(C137 = "Virginia", Assumptions!$C$13, Assumptions!$C$14),
        ROUND(
            (INDEX(Assumptions!$C$15:$C$19, MATCH(C137, {"Virginia","Florida","Texas","New York","California"}, 0)) * Assumptions!$C$9 -
            SUMIF(C$2:C136, C137, D$2:D137)) /
            (1 + EXP(-0.2 * (B137 - INDEX(Assumptions!$C$3:$C$7, MATCH(C137, {"Virginia","Florida","Texas","New York","California"}, 0)) - 30))),
            0
        )
    )
)</f>
        <v>105</v>
      </c>
      <c r="E137" s="62">
        <f>IF(B137&lt;INDEX(Assumptions!$C$3:$C$7, MATCH(C137, {"Virginia","Florida","Texas","New York","California"}, 0)),
    0,
    IF(F137=0,
        0,
        F137 * Assumptions!$C$12
    )
)</f>
        <v>22.8</v>
      </c>
      <c r="F137" s="62" cm="1">
        <f t="array" ref="F137">IF(B137&lt;INDEX(Assumptions!$C$3:$C$7, MATCH(C137, {"Virginia","Florida","Texas","New York","California"}, 0)),
    0,
    IF(C137=C136,
        F136 + D137,
        IF(COUNTIF($C$2:C137, C137) = 1, D137, LOOKUP(2, 1/(C$1:C136=C137), F$1:F136) + D137)
    )
)</f>
        <v>5472</v>
      </c>
      <c r="G137" s="62" cm="1">
        <f t="array" ref="G137">IF(B137&lt;INDEX(Assumptions!$C$3:$C$7, MATCH(C137, {"Virginia","Florida","Texas","New York","California"}, 0)),
    0,
    IF(C137=C136,
        G136 + D137 - E137,
        IF(COUNTIF($C$2:C137, C137) = 1, D137, LOOKUP(2, 1/(C$1:C136=C137), G$1:G136) + D137 - E137)
    )
)</f>
        <v>5222.166666666667</v>
      </c>
      <c r="H137" s="63">
        <f>IF(B137&lt;INDEX(Assumptions!$C$3:$C$7, MATCH(C137, {"Virginia","Florida","Texas","New York","California"}, 0)),
    0,
    (G137 / INDEX(Assumptions!$C$15:$C$19, MATCH(C137, {"Virginia","Florida","Texas","New York","California"}, 0)))
)</f>
        <v>7.4602380952380962E-2</v>
      </c>
      <c r="I137" s="43">
        <f>G137*'Unit Economics'!$B$19* INDEX(Assumptions!$C$38:$C$42, MATCH(C137, {"Virginia","Florida","Texas","New York","California"}, 0))</f>
        <v>1320262.9545</v>
      </c>
      <c r="J137" s="43">
        <f>D137*Assumptions!$C$21*INDEX(Assumptions!$C$38:$C$42,MATCH(C137,{"Virginia","Florida","Texas","New York","California"},0))</f>
        <v>28218.487500000003</v>
      </c>
      <c r="K137" s="43">
        <f>G137/Assumptions!$C$22*('Unit Economics'!$F$24+'Unit Economics'!$F$25+'Unit Economics'!$F$26)</f>
        <v>249012.87377450985</v>
      </c>
      <c r="L137" s="43">
        <f>D137*Assumptions!$C$29</f>
        <v>19425</v>
      </c>
      <c r="M137" s="35">
        <f>G137*Assumptions!$C$27</f>
        <v>0</v>
      </c>
      <c r="N137" s="35">
        <f>G137*Assumptions!$C$28</f>
        <v>0</v>
      </c>
      <c r="O137" s="64">
        <f>IF( COUNTIF($B$2:B137, B137) = 1, MIN( Assumptions!$C$34 + INT(SUMIF($B$2:$B137, B137, G$2:G137) / 1000) * Assumptions!$C$37, Assumptions!$C$36 ), 0 )</f>
        <v>0</v>
      </c>
      <c r="P137" s="53">
        <f t="shared" si="7"/>
        <v>1578069.3157745099</v>
      </c>
      <c r="Q137" s="52">
        <f t="shared" si="8"/>
        <v>65485436.567577004</v>
      </c>
    </row>
    <row r="138" spans="1:17">
      <c r="A138" s="2">
        <f t="shared" si="6"/>
        <v>4</v>
      </c>
      <c r="B138" s="2">
        <v>42</v>
      </c>
      <c r="C138" s="2" t="s">
        <v>91</v>
      </c>
      <c r="D138" s="62">
        <f>IF(
    B138 &lt; INDEX(Assumptions!$C$3:$C$7, MATCH(C138, {"Virginia","Florida","Texas","New York","California"}, 0)),
    0,
    IF(
        B138 = INDEX(Assumptions!$C$3:$C$7, MATCH(C138, {"Virginia","Florida","Texas","New York","California"}, 0)),
        IF(C138 = "Virginia", Assumptions!$C$13, Assumptions!$C$14),
        ROUND(
            (INDEX(Assumptions!$C$15:$C$19, MATCH(C138, {"Virginia","Florida","Texas","New York","California"}, 0)) * Assumptions!$C$9 -
            SUMIF(C$2:C137, C138, D$2:D138)) /
            (1 + EXP(-0.2 * (B138 - INDEX(Assumptions!$C$3:$C$7, MATCH(C138, {"Virginia","Florida","Texas","New York","California"}, 0)) - 30))),
            0
        )
    )
)</f>
        <v>120</v>
      </c>
      <c r="E138" s="62">
        <f>IF(B138&lt;INDEX(Assumptions!$C$3:$C$7, MATCH(C138, {"Virginia","Florida","Texas","New York","California"}, 0)),
    0,
    IF(F138=0,
        0,
        F138 * Assumptions!$C$12
    )
)</f>
        <v>26.058333333333334</v>
      </c>
      <c r="F138" s="62" cm="1">
        <f t="array" ref="F138">IF(B138&lt;INDEX(Assumptions!$C$3:$C$7, MATCH(C138, {"Virginia","Florida","Texas","New York","California"}, 0)),
    0,
    IF(C138=C137,
        F137 + D138,
        IF(COUNTIF($C$2:C138, C138) = 1, D138, LOOKUP(2, 1/(C$1:C137=C138), F$1:F137) + D138)
    )
)</f>
        <v>6254</v>
      </c>
      <c r="G138" s="62" cm="1">
        <f t="array" ref="G138">IF(B138&lt;INDEX(Assumptions!$C$3:$C$7, MATCH(C138, {"Virginia","Florida","Texas","New York","California"}, 0)),
    0,
    IF(C138=C137,
        G137 + D138 - E138,
        IF(COUNTIF($C$2:C138, C138) = 1, D138, LOOKUP(2, 1/(C$1:C137=C138), G$1:G137) + D138 - E138)
    )
)</f>
        <v>5969.6624999999995</v>
      </c>
      <c r="H138" s="63">
        <f>IF(B138&lt;INDEX(Assumptions!$C$3:$C$7, MATCH(C138, {"Virginia","Florida","Texas","New York","California"}, 0)),
    0,
    (G138 / INDEX(Assumptions!$C$15:$C$19, MATCH(C138, {"Virginia","Florida","Texas","New York","California"}, 0)))
)</f>
        <v>7.462078124999999E-2</v>
      </c>
      <c r="I138" s="43">
        <f>G138*'Unit Economics'!$B$19* INDEX(Assumptions!$C$38:$C$42, MATCH(C138, {"Virginia","Florida","Texas","New York","California"}, 0))</f>
        <v>1480496.5968524998</v>
      </c>
      <c r="J138" s="43">
        <f>D138*Assumptions!$C$21*INDEX(Assumptions!$C$38:$C$42,MATCH(C138,{"Virginia","Florida","Texas","New York","California"},0))</f>
        <v>31635.420000000002</v>
      </c>
      <c r="K138" s="43">
        <f>G138/Assumptions!$C$22*('Unit Economics'!$F$24+'Unit Economics'!$F$25+'Unit Economics'!$F$26)</f>
        <v>284656.33318014705</v>
      </c>
      <c r="L138" s="43">
        <f>D138*Assumptions!$C$29</f>
        <v>22200</v>
      </c>
      <c r="M138" s="35">
        <f>G138*Assumptions!$C$27</f>
        <v>0</v>
      </c>
      <c r="N138" s="35">
        <f>G138*Assumptions!$C$28</f>
        <v>0</v>
      </c>
      <c r="O138" s="64">
        <f>IF( COUNTIF($B$2:B138, B138) = 1, MIN( Assumptions!$C$34 + INT(SUMIF($B$2:$B138, B138, G$2:G138) / 1000) * Assumptions!$C$37, Assumptions!$C$36 ), 0 )</f>
        <v>0</v>
      </c>
      <c r="P138" s="53">
        <f t="shared" si="7"/>
        <v>1774588.3500326467</v>
      </c>
      <c r="Q138" s="52">
        <f t="shared" si="8"/>
        <v>67260024.917609647</v>
      </c>
    </row>
    <row r="139" spans="1:17">
      <c r="A139" s="2">
        <f t="shared" si="6"/>
        <v>4</v>
      </c>
      <c r="B139" s="2">
        <v>42</v>
      </c>
      <c r="C139" s="2" t="s">
        <v>89</v>
      </c>
      <c r="D139" s="62">
        <f>IF(
    B139 &lt; INDEX(Assumptions!$C$3:$C$7, MATCH(C139, {"Virginia","Florida","Texas","New York","California"}, 0)),
    0,
    IF(
        B139 = INDEX(Assumptions!$C$3:$C$7, MATCH(C139, {"Virginia","Florida","Texas","New York","California"}, 0)),
        IF(C139 = "Virginia", Assumptions!$C$13, Assumptions!$C$14),
        ROUND(
            (INDEX(Assumptions!$C$15:$C$19, MATCH(C139, {"Virginia","Florida","Texas","New York","California"}, 0)) * Assumptions!$C$9 -
            SUMIF(C$2:C138, C139, D$2:D139)) /
            (1 + EXP(-0.2 * (B139 - INDEX(Assumptions!$C$3:$C$7, MATCH(C139, {"Virginia","Florida","Texas","New York","California"}, 0)) - 30))),
            0
        )
    )
)</f>
        <v>0</v>
      </c>
      <c r="E139" s="62">
        <f>IF(B139&lt;INDEX(Assumptions!$C$3:$C$7, MATCH(C139, {"Virginia","Florida","Texas","New York","California"}, 0)),
    0,
    IF(F139=0,
        0,
        F139 * Assumptions!$C$12
    )
)</f>
        <v>16.666666666666668</v>
      </c>
      <c r="F139" s="62" cm="1">
        <f t="array" ref="F139">IF(B139&lt;INDEX(Assumptions!$C$3:$C$7, MATCH(C139, {"Virginia","Florida","Texas","New York","California"}, 0)),
    0,
    IF(C139=C138,
        F138 + D139,
        IF(COUNTIF($C$2:C139, C139) = 1, D139, LOOKUP(2, 1/(C$1:C138=C139), F$1:F138) + D139)
    )
)</f>
        <v>4000</v>
      </c>
      <c r="G139" s="62" cm="1">
        <f t="array" ref="G139">IF(B139&lt;INDEX(Assumptions!$C$3:$C$7, MATCH(C139, {"Virginia","Florida","Texas","New York","California"}, 0)),
    0,
    IF(C139=C138,
        G138 + D139 - E139,
        IF(COUNTIF($C$2:C139, C139) = 1, D139, LOOKUP(2, 1/(C$1:C138=C139), G$1:G138) + D139 - E139)
    )
)</f>
        <v>3623.6208333333343</v>
      </c>
      <c r="H139" s="63">
        <f>IF(B139&lt;INDEX(Assumptions!$C$3:$C$7, MATCH(C139, {"Virginia","Florida","Texas","New York","California"}, 0)),
    0,
    (G139 / INDEX(Assumptions!$C$15:$C$19, MATCH(C139, {"Virginia","Florida","Texas","New York","California"}, 0)))
)</f>
        <v>7.2472416666666692E-2</v>
      </c>
      <c r="I139" s="43">
        <f>G139*'Unit Economics'!$B$19* INDEX(Assumptions!$C$38:$C$42, MATCH(C139, {"Virginia","Florida","Texas","New York","California"}, 0))</f>
        <v>872495.42425000027</v>
      </c>
      <c r="J139" s="43">
        <f>D139*Assumptions!$C$21*INDEX(Assumptions!$C$38:$C$42,MATCH(C139,{"Virginia","Florida","Texas","New York","California"},0))</f>
        <v>0</v>
      </c>
      <c r="K139" s="43">
        <f>G139/Assumptions!$C$22*('Unit Economics'!$F$24+'Unit Economics'!$F$25+'Unit Economics'!$F$26)</f>
        <v>172788.09635416672</v>
      </c>
      <c r="L139" s="43">
        <f>D139*Assumptions!$C$29</f>
        <v>0</v>
      </c>
      <c r="M139" s="35">
        <f>G139*Assumptions!$C$27</f>
        <v>0</v>
      </c>
      <c r="N139" s="35">
        <f>G139*Assumptions!$C$28</f>
        <v>0</v>
      </c>
      <c r="O139" s="64">
        <f>IF( COUNTIF($B$2:B139, B139) = 1, MIN( Assumptions!$C$34 + INT(SUMIF($B$2:$B139, B139, G$2:G139) / 1000) * Assumptions!$C$37, Assumptions!$C$36 ), 0 )</f>
        <v>0</v>
      </c>
      <c r="P139" s="53">
        <f t="shared" si="7"/>
        <v>1045283.520604167</v>
      </c>
      <c r="Q139" s="52">
        <f t="shared" si="8"/>
        <v>68305308.43821381</v>
      </c>
    </row>
    <row r="140" spans="1:17">
      <c r="A140" s="2">
        <f t="shared" si="6"/>
        <v>4</v>
      </c>
      <c r="B140" s="2">
        <v>43</v>
      </c>
      <c r="C140" s="2" t="s">
        <v>92</v>
      </c>
      <c r="D140" s="62">
        <f>IF(
    B140 &lt; INDEX(Assumptions!$C$3:$C$7, MATCH(C140, {"Virginia","Florida","Texas","New York","California"}, 0)),
    0,
    IF(
        B140 = INDEX(Assumptions!$C$3:$C$7, MATCH(C140, {"Virginia","Florida","Texas","New York","California"}, 0)),
        IF(C140 = "Virginia", Assumptions!$C$13, Assumptions!$C$14),
        ROUND(
            (INDEX(Assumptions!$C$15:$C$19, MATCH(C140, {"Virginia","Florida","Texas","New York","California"}, 0)) * Assumptions!$C$9 -
            SUMIF(C$2:C139, C140, D$2:D140)) /
            (1 + EXP(-0.2 * (B140 - INDEX(Assumptions!$C$3:$C$7, MATCH(C140, {"Virginia","Florida","Texas","New York","California"}, 0)) - 30))),
            0
        )
    )
)</f>
        <v>265</v>
      </c>
      <c r="E140" s="62">
        <f>IF(B140&lt;INDEX(Assumptions!$C$3:$C$7, MATCH(C140, {"Virginia","Florida","Texas","New York","California"}, 0)),
    0,
    IF(F140=0,
        0,
        F140 * Assumptions!$C$12
    )
)</f>
        <v>7.8166666666666664</v>
      </c>
      <c r="F140" s="62" cm="1">
        <f t="array" ref="F140">IF(B140&lt;INDEX(Assumptions!$C$3:$C$7, MATCH(C140, {"Virginia","Florida","Texas","New York","California"}, 0)),
    0,
    IF(C140=C139,
        F139 + D140,
        IF(COUNTIF($C$2:C140, C140) = 1, D140, LOOKUP(2, 1/(C$1:C139=C140), F$1:F139) + D140)
    )
)</f>
        <v>1876</v>
      </c>
      <c r="G140" s="62" cm="1">
        <f t="array" ref="G140">IF(B140&lt;INDEX(Assumptions!$C$3:$C$7, MATCH(C140, {"Virginia","Florida","Texas","New York","California"}, 0)),
    0,
    IF(C140=C139,
        G139 + D140 - E140,
        IF(COUNTIF($C$2:C140, C140) = 1, D140, LOOKUP(2, 1/(C$1:C139=C140), G$1:G139) + D140 - E140)
    )
)</f>
        <v>1827.2750000000001</v>
      </c>
      <c r="H140" s="63">
        <f>IF(B140&lt;INDEX(Assumptions!$C$3:$C$7, MATCH(C140, {"Virginia","Florida","Texas","New York","California"}, 0)),
    0,
    (G140 / INDEX(Assumptions!$C$15:$C$19, MATCH(C140, {"Virginia","Florida","Texas","New York","California"}, 0)))
)</f>
        <v>3.0454583333333334E-2</v>
      </c>
      <c r="I140" s="43">
        <f>G140*'Unit Economics'!$B$19* INDEX(Assumptions!$C$38:$C$42, MATCH(C140, {"Virginia","Florida","Texas","New York","California"}, 0))</f>
        <v>475168.97646000003</v>
      </c>
      <c r="J140" s="43">
        <f>D140*Assumptions!$C$21*INDEX(Assumptions!$C$38:$C$42,MATCH(C140,{"Virginia","Florida","Texas","New York","California"},0))</f>
        <v>73252.89</v>
      </c>
      <c r="K140" s="43">
        <f>G140/Assumptions!$C$22*('Unit Economics'!$F$24+'Unit Economics'!$F$25+'Unit Economics'!$F$26)</f>
        <v>87131.458639705888</v>
      </c>
      <c r="L140" s="43">
        <f>D140*Assumptions!$C$29</f>
        <v>49025</v>
      </c>
      <c r="M140" s="35">
        <f>G140*Assumptions!$C$27</f>
        <v>0</v>
      </c>
      <c r="N140" s="35">
        <f>G140*Assumptions!$C$28</f>
        <v>0</v>
      </c>
      <c r="O140" s="64">
        <f>IF( COUNTIF($B$2:B140, B140) = 1, MIN( Assumptions!$C$34 + INT(SUMIF($B$2:$B140, B140, G$2:G140) / 1000) * Assumptions!$C$37, Assumptions!$C$36 ), 0 )</f>
        <v>70000</v>
      </c>
      <c r="P140" s="53">
        <f t="shared" si="7"/>
        <v>516528.32509970595</v>
      </c>
      <c r="Q140" s="52">
        <f t="shared" si="8"/>
        <v>68821836.763313517</v>
      </c>
    </row>
    <row r="141" spans="1:17">
      <c r="A141" s="2">
        <f t="shared" si="6"/>
        <v>4</v>
      </c>
      <c r="B141" s="2">
        <v>43</v>
      </c>
      <c r="C141" s="2" t="s">
        <v>93</v>
      </c>
      <c r="D141" s="62">
        <f>IF(
    B141 &lt; INDEX(Assumptions!$C$3:$C$7, MATCH(C141, {"Virginia","Florida","Texas","New York","California"}, 0)),
    0,
    IF(
        B141 = INDEX(Assumptions!$C$3:$C$7, MATCH(C141, {"Virginia","Florida","Texas","New York","California"}, 0)),
        IF(C141 = "Virginia", Assumptions!$C$13, Assumptions!$C$14),
        ROUND(
            (INDEX(Assumptions!$C$15:$C$19, MATCH(C141, {"Virginia","Florida","Texas","New York","California"}, 0)) * Assumptions!$C$9 -
            SUMIF(C$2:C140, C141, D$2:D141)) /
            (1 + EXP(-0.2 * (B141 - INDEX(Assumptions!$C$3:$C$7, MATCH(C141, {"Virginia","Florida","Texas","New York","California"}, 0)) - 30))),
            0
        )
    )
)</f>
        <v>401</v>
      </c>
      <c r="E141" s="62">
        <f>IF(B141&lt;INDEX(Assumptions!$C$3:$C$7, MATCH(C141, {"Virginia","Florida","Texas","New York","California"}, 0)),
    0,
    IF(F141=0,
        0,
        F141 * Assumptions!$C$12
    )
)</f>
        <v>11.6</v>
      </c>
      <c r="F141" s="62" cm="1">
        <f t="array" ref="F141">IF(B141&lt;INDEX(Assumptions!$C$3:$C$7, MATCH(C141, {"Virginia","Florida","Texas","New York","California"}, 0)),
    0,
    IF(C141=C140,
        F140 + D141,
        IF(COUNTIF($C$2:C141, C141) = 1, D141, LOOKUP(2, 1/(C$1:C140=C141), F$1:F140) + D141)
    )
)</f>
        <v>2784</v>
      </c>
      <c r="G141" s="62" cm="1">
        <f t="array" ref="G141">IF(B141&lt;INDEX(Assumptions!$C$3:$C$7, MATCH(C141, {"Virginia","Florida","Texas","New York","California"}, 0)),
    0,
    IF(C141=C140,
        G140 + D141 - E141,
        IF(COUNTIF($C$2:C141, C141) = 1, D141, LOOKUP(2, 1/(C$1:C140=C141), G$1:G140) + D141 - E141)
    )
)</f>
        <v>2714.1916666666666</v>
      </c>
      <c r="H141" s="63">
        <f>IF(B141&lt;INDEX(Assumptions!$C$3:$C$7, MATCH(C141, {"Virginia","Florida","Texas","New York","California"}, 0)),
    0,
    (G141 / INDEX(Assumptions!$C$15:$C$19, MATCH(C141, {"Virginia","Florida","Texas","New York","California"}, 0)))
)</f>
        <v>3.0157685185185183E-2</v>
      </c>
      <c r="I141" s="43">
        <f>G141*'Unit Economics'!$B$19* INDEX(Assumptions!$C$38:$C$42, MATCH(C141, {"Virginia","Florida","Texas","New York","California"}, 0))</f>
        <v>718875.37644999998</v>
      </c>
      <c r="J141" s="43">
        <f>D141*Assumptions!$C$21*INDEX(Assumptions!$C$38:$C$42,MATCH(C141,{"Virginia","Florida","Texas","New York","California"},0))</f>
        <v>112899.54500000001</v>
      </c>
      <c r="K141" s="43">
        <f>G141/Assumptions!$C$22*('Unit Economics'!$F$24+'Unit Economics'!$F$25+'Unit Economics'!$F$26)</f>
        <v>129423.03645833334</v>
      </c>
      <c r="L141" s="43">
        <f>D141*Assumptions!$C$29</f>
        <v>74185</v>
      </c>
      <c r="M141" s="35">
        <f>G141*Assumptions!$C$27</f>
        <v>0</v>
      </c>
      <c r="N141" s="35">
        <f>G141*Assumptions!$C$28</f>
        <v>0</v>
      </c>
      <c r="O141" s="64">
        <f>IF( COUNTIF($B$2:B141, B141) = 1, MIN( Assumptions!$C$34 + INT(SUMIF($B$2:$B141, B141, G$2:G141) / 1000) * Assumptions!$C$37, Assumptions!$C$36 ), 0 )</f>
        <v>0</v>
      </c>
      <c r="P141" s="53">
        <f t="shared" si="7"/>
        <v>887012.9579083334</v>
      </c>
      <c r="Q141" s="52">
        <f t="shared" si="8"/>
        <v>69708849.721221849</v>
      </c>
    </row>
    <row r="142" spans="1:17">
      <c r="A142" s="2">
        <f t="shared" si="6"/>
        <v>4</v>
      </c>
      <c r="B142" s="2">
        <v>43</v>
      </c>
      <c r="C142" s="2" t="s">
        <v>90</v>
      </c>
      <c r="D142" s="62">
        <f>IF(
    B142 &lt; INDEX(Assumptions!$C$3:$C$7, MATCH(C142, {"Virginia","Florida","Texas","New York","California"}, 0)),
    0,
    IF(
        B142 = INDEX(Assumptions!$C$3:$C$7, MATCH(C142, {"Virginia","Florida","Texas","New York","California"}, 0)),
        IF(C142 = "Virginia", Assumptions!$C$13, Assumptions!$C$14),
        ROUND(
            (INDEX(Assumptions!$C$15:$C$19, MATCH(C142, {"Virginia","Florida","Texas","New York","California"}, 0)) * Assumptions!$C$9 -
            SUMIF(C$2:C141, C142, D$2:D142)) /
            (1 + EXP(-0.2 * (B142 - INDEX(Assumptions!$C$3:$C$7, MATCH(C142, {"Virginia","Florida","Texas","New York","California"}, 0)) - 30))),
            0
        )
    )
)</f>
        <v>64</v>
      </c>
      <c r="E142" s="62">
        <f>IF(B142&lt;INDEX(Assumptions!$C$3:$C$7, MATCH(C142, {"Virginia","Florida","Texas","New York","California"}, 0)),
    0,
    IF(F142=0,
        0,
        F142 * Assumptions!$C$12
    )
)</f>
        <v>23.066666666666666</v>
      </c>
      <c r="F142" s="62" cm="1">
        <f t="array" ref="F142">IF(B142&lt;INDEX(Assumptions!$C$3:$C$7, MATCH(C142, {"Virginia","Florida","Texas","New York","California"}, 0)),
    0,
    IF(C142=C141,
        F141 + D142,
        IF(COUNTIF($C$2:C142, C142) = 1, D142, LOOKUP(2, 1/(C$1:C141=C142), F$1:F141) + D142)
    )
)</f>
        <v>5536</v>
      </c>
      <c r="G142" s="62" cm="1">
        <f t="array" ref="G142">IF(B142&lt;INDEX(Assumptions!$C$3:$C$7, MATCH(C142, {"Virginia","Florida","Texas","New York","California"}, 0)),
    0,
    IF(C142=C141,
        G141 + D142 - E142,
        IF(COUNTIF($C$2:C142, C142) = 1, D142, LOOKUP(2, 1/(C$1:C141=C142), G$1:G141) + D142 - E142)
    )
)</f>
        <v>5263.1</v>
      </c>
      <c r="H142" s="63">
        <f>IF(B142&lt;INDEX(Assumptions!$C$3:$C$7, MATCH(C142, {"Virginia","Florida","Texas","New York","California"}, 0)),
    0,
    (G142 / INDEX(Assumptions!$C$15:$C$19, MATCH(C142, {"Virginia","Florida","Texas","New York","California"}, 0)))
)</f>
        <v>7.5187142857142869E-2</v>
      </c>
      <c r="I142" s="43">
        <f>G142*'Unit Economics'!$B$19* INDEX(Assumptions!$C$38:$C$42, MATCH(C142, {"Virginia","Florida","Texas","New York","California"}, 0))</f>
        <v>1330611.6789000002</v>
      </c>
      <c r="J142" s="43">
        <f>D142*Assumptions!$C$21*INDEX(Assumptions!$C$38:$C$42,MATCH(C142,{"Virginia","Florida","Texas","New York","California"},0))</f>
        <v>17199.84</v>
      </c>
      <c r="K142" s="43">
        <f>G142/Assumptions!$C$22*('Unit Economics'!$F$24+'Unit Economics'!$F$25+'Unit Economics'!$F$26)</f>
        <v>250964.73161764708</v>
      </c>
      <c r="L142" s="43">
        <f>D142*Assumptions!$C$29</f>
        <v>11840</v>
      </c>
      <c r="M142" s="35">
        <f>G142*Assumptions!$C$27</f>
        <v>0</v>
      </c>
      <c r="N142" s="35">
        <f>G142*Assumptions!$C$28</f>
        <v>0</v>
      </c>
      <c r="O142" s="64">
        <f>IF( COUNTIF($B$2:B142, B142) = 1, MIN( Assumptions!$C$34 + INT(SUMIF($B$2:$B142, B142, G$2:G142) / 1000) * Assumptions!$C$37, Assumptions!$C$36 ), 0 )</f>
        <v>0</v>
      </c>
      <c r="P142" s="53">
        <f t="shared" si="7"/>
        <v>1586936.2505176472</v>
      </c>
      <c r="Q142" s="52">
        <f t="shared" si="8"/>
        <v>71295785.971739501</v>
      </c>
    </row>
    <row r="143" spans="1:17">
      <c r="A143" s="2">
        <f t="shared" si="6"/>
        <v>4</v>
      </c>
      <c r="B143" s="2">
        <v>43</v>
      </c>
      <c r="C143" s="2" t="s">
        <v>91</v>
      </c>
      <c r="D143" s="62">
        <f>IF(
    B143 &lt; INDEX(Assumptions!$C$3:$C$7, MATCH(C143, {"Virginia","Florida","Texas","New York","California"}, 0)),
    0,
    IF(
        B143 = INDEX(Assumptions!$C$3:$C$7, MATCH(C143, {"Virginia","Florida","Texas","New York","California"}, 0)),
        IF(C143 = "Virginia", Assumptions!$C$13, Assumptions!$C$14),
        ROUND(
            (INDEX(Assumptions!$C$15:$C$19, MATCH(C143, {"Virginia","Florida","Texas","New York","California"}, 0)) * Assumptions!$C$9 -
            SUMIF(C$2:C142, C143, D$2:D143)) /
            (1 + EXP(-0.2 * (B143 - INDEX(Assumptions!$C$3:$C$7, MATCH(C143, {"Virginia","Florida","Texas","New York","California"}, 0)) - 30))),
            0
        )
    )
)</f>
        <v>73</v>
      </c>
      <c r="E143" s="62">
        <f>IF(B143&lt;INDEX(Assumptions!$C$3:$C$7, MATCH(C143, {"Virginia","Florida","Texas","New York","California"}, 0)),
    0,
    IF(F143=0,
        0,
        F143 * Assumptions!$C$12
    )
)</f>
        <v>26.362500000000001</v>
      </c>
      <c r="F143" s="62" cm="1">
        <f t="array" ref="F143">IF(B143&lt;INDEX(Assumptions!$C$3:$C$7, MATCH(C143, {"Virginia","Florida","Texas","New York","California"}, 0)),
    0,
    IF(C143=C142,
        F142 + D143,
        IF(COUNTIF($C$2:C143, C143) = 1, D143, LOOKUP(2, 1/(C$1:C142=C143), F$1:F142) + D143)
    )
)</f>
        <v>6327</v>
      </c>
      <c r="G143" s="62" cm="1">
        <f t="array" ref="G143">IF(B143&lt;INDEX(Assumptions!$C$3:$C$7, MATCH(C143, {"Virginia","Florida","Texas","New York","California"}, 0)),
    0,
    IF(C143=C142,
        G142 + D143 - E143,
        IF(COUNTIF($C$2:C143, C143) = 1, D143, LOOKUP(2, 1/(C$1:C142=C143), G$1:G142) + D143 - E143)
    )
)</f>
        <v>6016.2999999999993</v>
      </c>
      <c r="H143" s="63">
        <f>IF(B143&lt;INDEX(Assumptions!$C$3:$C$7, MATCH(C143, {"Virginia","Florida","Texas","New York","California"}, 0)),
    0,
    (G143 / INDEX(Assumptions!$C$15:$C$19, MATCH(C143, {"Virginia","Florida","Texas","New York","California"}, 0)))
)</f>
        <v>7.5203749999999986E-2</v>
      </c>
      <c r="I143" s="43">
        <f>G143*'Unit Economics'!$B$19* INDEX(Assumptions!$C$38:$C$42, MATCH(C143, {"Virginia","Florida","Texas","New York","California"}, 0))</f>
        <v>1492062.8554199999</v>
      </c>
      <c r="J143" s="43">
        <f>D143*Assumptions!$C$21*INDEX(Assumptions!$C$38:$C$42,MATCH(C143,{"Virginia","Florida","Texas","New York","California"},0))</f>
        <v>19244.880499999999</v>
      </c>
      <c r="K143" s="43">
        <f>G143/Assumptions!$C$22*('Unit Economics'!$F$24+'Unit Economics'!$F$25+'Unit Economics'!$F$26)</f>
        <v>286880.1875</v>
      </c>
      <c r="L143" s="43">
        <f>D143*Assumptions!$C$29</f>
        <v>13505</v>
      </c>
      <c r="M143" s="35">
        <f>G143*Assumptions!$C$27</f>
        <v>0</v>
      </c>
      <c r="N143" s="35">
        <f>G143*Assumptions!$C$28</f>
        <v>0</v>
      </c>
      <c r="O143" s="64">
        <f>IF( COUNTIF($B$2:B143, B143) = 1, MIN( Assumptions!$C$34 + INT(SUMIF($B$2:$B143, B143, G$2:G143) / 1000) * Assumptions!$C$37, Assumptions!$C$36 ), 0 )</f>
        <v>0</v>
      </c>
      <c r="P143" s="53">
        <f t="shared" si="7"/>
        <v>1784682.9234199999</v>
      </c>
      <c r="Q143" s="52">
        <f t="shared" si="8"/>
        <v>73080468.895159498</v>
      </c>
    </row>
    <row r="144" spans="1:17">
      <c r="A144" s="2">
        <f t="shared" si="6"/>
        <v>4</v>
      </c>
      <c r="B144" s="2">
        <v>43</v>
      </c>
      <c r="C144" s="2" t="s">
        <v>89</v>
      </c>
      <c r="D144" s="62">
        <f>IF(
    B144 &lt; INDEX(Assumptions!$C$3:$C$7, MATCH(C144, {"Virginia","Florida","Texas","New York","California"}, 0)),
    0,
    IF(
        B144 = INDEX(Assumptions!$C$3:$C$7, MATCH(C144, {"Virginia","Florida","Texas","New York","California"}, 0)),
        IF(C144 = "Virginia", Assumptions!$C$13, Assumptions!$C$14),
        ROUND(
            (INDEX(Assumptions!$C$15:$C$19, MATCH(C144, {"Virginia","Florida","Texas","New York","California"}, 0)) * Assumptions!$C$9 -
            SUMIF(C$2:C143, C144, D$2:D144)) /
            (1 + EXP(-0.2 * (B144 - INDEX(Assumptions!$C$3:$C$7, MATCH(C144, {"Virginia","Florida","Texas","New York","California"}, 0)) - 30))),
            0
        )
    )
)</f>
        <v>0</v>
      </c>
      <c r="E144" s="62">
        <f>IF(B144&lt;INDEX(Assumptions!$C$3:$C$7, MATCH(C144, {"Virginia","Florida","Texas","New York","California"}, 0)),
    0,
    IF(F144=0,
        0,
        F144 * Assumptions!$C$12
    )
)</f>
        <v>16.666666666666668</v>
      </c>
      <c r="F144" s="62" cm="1">
        <f t="array" ref="F144">IF(B144&lt;INDEX(Assumptions!$C$3:$C$7, MATCH(C144, {"Virginia","Florida","Texas","New York","California"}, 0)),
    0,
    IF(C144=C143,
        F143 + D144,
        IF(COUNTIF($C$2:C144, C144) = 1, D144, LOOKUP(2, 1/(C$1:C143=C144), F$1:F143) + D144)
    )
)</f>
        <v>4000</v>
      </c>
      <c r="G144" s="62" cm="1">
        <f t="array" ref="G144">IF(B144&lt;INDEX(Assumptions!$C$3:$C$7, MATCH(C144, {"Virginia","Florida","Texas","New York","California"}, 0)),
    0,
    IF(C144=C143,
        G143 + D144 - E144,
        IF(COUNTIF($C$2:C144, C144) = 1, D144, LOOKUP(2, 1/(C$1:C143=C144), G$1:G143) + D144 - E144)
    )
)</f>
        <v>3606.9541666666678</v>
      </c>
      <c r="H144" s="63">
        <f>IF(B144&lt;INDEX(Assumptions!$C$3:$C$7, MATCH(C144, {"Virginia","Florida","Texas","New York","California"}, 0)),
    0,
    (G144 / INDEX(Assumptions!$C$15:$C$19, MATCH(C144, {"Virginia","Florida","Texas","New York","California"}, 0)))
)</f>
        <v>7.2139083333333354E-2</v>
      </c>
      <c r="I144" s="43">
        <f>G144*'Unit Economics'!$B$19* INDEX(Assumptions!$C$38:$C$42, MATCH(C144, {"Virginia","Florida","Texas","New York","California"}, 0))</f>
        <v>868482.42425000027</v>
      </c>
      <c r="J144" s="43">
        <f>D144*Assumptions!$C$21*INDEX(Assumptions!$C$38:$C$42,MATCH(C144,{"Virginia","Florida","Texas","New York","California"},0))</f>
        <v>0</v>
      </c>
      <c r="K144" s="43">
        <f>G144/Assumptions!$C$22*('Unit Economics'!$F$24+'Unit Economics'!$F$25+'Unit Economics'!$F$26)</f>
        <v>171993.36596200988</v>
      </c>
      <c r="L144" s="43">
        <f>D144*Assumptions!$C$29</f>
        <v>0</v>
      </c>
      <c r="M144" s="35">
        <f>G144*Assumptions!$C$27</f>
        <v>0</v>
      </c>
      <c r="N144" s="35">
        <f>G144*Assumptions!$C$28</f>
        <v>0</v>
      </c>
      <c r="O144" s="64">
        <f>IF( COUNTIF($B$2:B144, B144) = 1, MIN( Assumptions!$C$34 + INT(SUMIF($B$2:$B144, B144, G$2:G144) / 1000) * Assumptions!$C$37, Assumptions!$C$36 ), 0 )</f>
        <v>0</v>
      </c>
      <c r="P144" s="53">
        <f t="shared" si="7"/>
        <v>1040475.7902120101</v>
      </c>
      <c r="Q144" s="52">
        <f t="shared" si="8"/>
        <v>74120944.685371503</v>
      </c>
    </row>
    <row r="145" spans="1:17">
      <c r="A145" s="2">
        <f t="shared" si="6"/>
        <v>4</v>
      </c>
      <c r="B145" s="2">
        <v>44</v>
      </c>
      <c r="C145" s="2" t="s">
        <v>92</v>
      </c>
      <c r="D145" s="62">
        <f>IF(
    B145 &lt; INDEX(Assumptions!$C$3:$C$7, MATCH(C145, {"Virginia","Florida","Texas","New York","California"}, 0)),
    0,
    IF(
        B145 = INDEX(Assumptions!$C$3:$C$7, MATCH(C145, {"Virginia","Florida","Texas","New York","California"}, 0)),
        IF(C145 = "Virginia", Assumptions!$C$13, Assumptions!$C$14),
        ROUND(
            (INDEX(Assumptions!$C$15:$C$19, MATCH(C145, {"Virginia","Florida","Texas","New York","California"}, 0)) * Assumptions!$C$9 -
            SUMIF(C$2:C144, C145, D$2:D145)) /
            (1 + EXP(-0.2 * (B145 - INDEX(Assumptions!$C$3:$C$7, MATCH(C145, {"Virginia","Florida","Texas","New York","California"}, 0)) - 30))),
            0
        )
    )
)</f>
        <v>292</v>
      </c>
      <c r="E145" s="62">
        <f>IF(B145&lt;INDEX(Assumptions!$C$3:$C$7, MATCH(C145, {"Virginia","Florida","Texas","New York","California"}, 0)),
    0,
    IF(F145=0,
        0,
        F145 * Assumptions!$C$12
    )
)</f>
        <v>9.0333333333333332</v>
      </c>
      <c r="F145" s="62" cm="1">
        <f t="array" ref="F145">IF(B145&lt;INDEX(Assumptions!$C$3:$C$7, MATCH(C145, {"Virginia","Florida","Texas","New York","California"}, 0)),
    0,
    IF(C145=C144,
        F144 + D145,
        IF(COUNTIF($C$2:C145, C145) = 1, D145, LOOKUP(2, 1/(C$1:C144=C145), F$1:F144) + D145)
    )
)</f>
        <v>2168</v>
      </c>
      <c r="G145" s="62" cm="1">
        <f t="array" ref="G145">IF(B145&lt;INDEX(Assumptions!$C$3:$C$7, MATCH(C145, {"Virginia","Florida","Texas","New York","California"}, 0)),
    0,
    IF(C145=C144,
        G144 + D145 - E145,
        IF(COUNTIF($C$2:C145, C145) = 1, D145, LOOKUP(2, 1/(C$1:C144=C145), G$1:G144) + D145 - E145)
    )
)</f>
        <v>2110.2416666666668</v>
      </c>
      <c r="H145" s="63">
        <f>IF(B145&lt;INDEX(Assumptions!$C$3:$C$7, MATCH(C145, {"Virginia","Florida","Texas","New York","California"}, 0)),
    0,
    (G145 / INDEX(Assumptions!$C$15:$C$19, MATCH(C145, {"Virginia","Florida","Texas","New York","California"}, 0)))
)</f>
        <v>3.5170694444444449E-2</v>
      </c>
      <c r="I145" s="43">
        <f>G145*'Unit Economics'!$B$19* INDEX(Assumptions!$C$38:$C$42, MATCH(C145, {"Virginia","Florida","Texas","New York","California"}, 0))</f>
        <v>548752.30758000002</v>
      </c>
      <c r="J145" s="43">
        <f>D145*Assumptions!$C$21*INDEX(Assumptions!$C$38:$C$42,MATCH(C145,{"Virginia","Florida","Texas","New York","California"},0))</f>
        <v>80716.391999999993</v>
      </c>
      <c r="K145" s="43">
        <f>G145/Assumptions!$C$22*('Unit Economics'!$F$24+'Unit Economics'!$F$25+'Unit Economics'!$F$26)</f>
        <v>100624.39123774511</v>
      </c>
      <c r="L145" s="43">
        <f>D145*Assumptions!$C$29</f>
        <v>54020</v>
      </c>
      <c r="M145" s="35">
        <f>G145*Assumptions!$C$27</f>
        <v>0</v>
      </c>
      <c r="N145" s="35">
        <f>G145*Assumptions!$C$28</f>
        <v>0</v>
      </c>
      <c r="O145" s="64">
        <f>IF( COUNTIF($B$2:B145, B145) = 1, MIN( Assumptions!$C$34 + INT(SUMIF($B$2:$B145, B145, G$2:G145) / 1000) * Assumptions!$C$37, Assumptions!$C$36 ), 0 )</f>
        <v>80000</v>
      </c>
      <c r="P145" s="53">
        <f t="shared" si="7"/>
        <v>596073.09081774508</v>
      </c>
      <c r="Q145" s="52">
        <f t="shared" si="8"/>
        <v>74717017.776189253</v>
      </c>
    </row>
    <row r="146" spans="1:17">
      <c r="A146" s="2">
        <f t="shared" si="6"/>
        <v>4</v>
      </c>
      <c r="B146" s="2">
        <v>44</v>
      </c>
      <c r="C146" s="2" t="s">
        <v>93</v>
      </c>
      <c r="D146" s="62">
        <f>IF(
    B146 &lt; INDEX(Assumptions!$C$3:$C$7, MATCH(C146, {"Virginia","Florida","Texas","New York","California"}, 0)),
    0,
    IF(
        B146 = INDEX(Assumptions!$C$3:$C$7, MATCH(C146, {"Virginia","Florida","Texas","New York","California"}, 0)),
        IF(C146 = "Virginia", Assumptions!$C$13, Assumptions!$C$14),
        ROUND(
            (INDEX(Assumptions!$C$15:$C$19, MATCH(C146, {"Virginia","Florida","Texas","New York","California"}, 0)) * Assumptions!$C$9 -
            SUMIF(C$2:C145, C146, D$2:D146)) /
            (1 + EXP(-0.2 * (B146 - INDEX(Assumptions!$C$3:$C$7, MATCH(C146, {"Virginia","Florida","Texas","New York","California"}, 0)) - 30))),
            0
        )
    )
)</f>
        <v>440</v>
      </c>
      <c r="E146" s="62">
        <f>IF(B146&lt;INDEX(Assumptions!$C$3:$C$7, MATCH(C146, {"Virginia","Florida","Texas","New York","California"}, 0)),
    0,
    IF(F146=0,
        0,
        F146 * Assumptions!$C$12
    )
)</f>
        <v>13.433333333333334</v>
      </c>
      <c r="F146" s="62" cm="1">
        <f t="array" ref="F146">IF(B146&lt;INDEX(Assumptions!$C$3:$C$7, MATCH(C146, {"Virginia","Florida","Texas","New York","California"}, 0)),
    0,
    IF(C146=C145,
        F145 + D146,
        IF(COUNTIF($C$2:C146, C146) = 1, D146, LOOKUP(2, 1/(C$1:C145=C146), F$1:F145) + D146)
    )
)</f>
        <v>3224</v>
      </c>
      <c r="G146" s="62" cm="1">
        <f t="array" ref="G146">IF(B146&lt;INDEX(Assumptions!$C$3:$C$7, MATCH(C146, {"Virginia","Florida","Texas","New York","California"}, 0)),
    0,
    IF(C146=C145,
        G145 + D146 - E146,
        IF(COUNTIF($C$2:C146, C146) = 1, D146, LOOKUP(2, 1/(C$1:C145=C146), G$1:G145) + D146 - E146)
    )
)</f>
        <v>3140.7583333333332</v>
      </c>
      <c r="H146" s="63">
        <f>IF(B146&lt;INDEX(Assumptions!$C$3:$C$7, MATCH(C146, {"Virginia","Florida","Texas","New York","California"}, 0)),
    0,
    (G146 / INDEX(Assumptions!$C$15:$C$19, MATCH(C146, {"Virginia","Florida","Texas","New York","California"}, 0)))
)</f>
        <v>3.4897314814814812E-2</v>
      </c>
      <c r="I146" s="43">
        <f>G146*'Unit Economics'!$B$19* INDEX(Assumptions!$C$38:$C$42, MATCH(C146, {"Virginia","Florida","Texas","New York","California"}, 0))</f>
        <v>831854.97065000003</v>
      </c>
      <c r="J146" s="43">
        <f>D146*Assumptions!$C$21*INDEX(Assumptions!$C$38:$C$42,MATCH(C146,{"Virginia","Florida","Texas","New York","California"},0))</f>
        <v>123879.8</v>
      </c>
      <c r="K146" s="43">
        <f>G146/Assumptions!$C$22*('Unit Economics'!$F$24+'Unit Economics'!$F$25+'Unit Economics'!$F$26)</f>
        <v>149763.36611519611</v>
      </c>
      <c r="L146" s="43">
        <f>D146*Assumptions!$C$29</f>
        <v>81400</v>
      </c>
      <c r="M146" s="35">
        <f>G146*Assumptions!$C$27</f>
        <v>0</v>
      </c>
      <c r="N146" s="35">
        <f>G146*Assumptions!$C$28</f>
        <v>0</v>
      </c>
      <c r="O146" s="64">
        <f>IF( COUNTIF($B$2:B146, B146) = 1, MIN( Assumptions!$C$34 + INT(SUMIF($B$2:$B146, B146, G$2:G146) / 1000) * Assumptions!$C$37, Assumptions!$C$36 ), 0 )</f>
        <v>0</v>
      </c>
      <c r="P146" s="53">
        <f t="shared" si="7"/>
        <v>1024098.1367651962</v>
      </c>
      <c r="Q146" s="52">
        <f t="shared" si="8"/>
        <v>75741115.91295445</v>
      </c>
    </row>
    <row r="147" spans="1:17">
      <c r="A147" s="2">
        <f t="shared" si="6"/>
        <v>4</v>
      </c>
      <c r="B147" s="2">
        <v>44</v>
      </c>
      <c r="C147" s="2" t="s">
        <v>90</v>
      </c>
      <c r="D147" s="62">
        <f>IF(
    B147 &lt; INDEX(Assumptions!$C$3:$C$7, MATCH(C147, {"Virginia","Florida","Texas","New York","California"}, 0)),
    0,
    IF(
        B147 = INDEX(Assumptions!$C$3:$C$7, MATCH(C147, {"Virginia","Florida","Texas","New York","California"}, 0)),
        IF(C147 = "Virginia", Assumptions!$C$13, Assumptions!$C$14),
        ROUND(
            (INDEX(Assumptions!$C$15:$C$19, MATCH(C147, {"Virginia","Florida","Texas","New York","California"}, 0)) * Assumptions!$C$9 -
            SUMIF(C$2:C146, C147, D$2:D147)) /
            (1 + EXP(-0.2 * (B147 - INDEX(Assumptions!$C$3:$C$7, MATCH(C147, {"Virginia","Florida","Texas","New York","California"}, 0)) - 30))),
            0
        )
    )
)</f>
        <v>35</v>
      </c>
      <c r="E147" s="62">
        <f>IF(B147&lt;INDEX(Assumptions!$C$3:$C$7, MATCH(C147, {"Virginia","Florida","Texas","New York","California"}, 0)),
    0,
    IF(F147=0,
        0,
        F147 * Assumptions!$C$12
    )
)</f>
        <v>23.212499999999999</v>
      </c>
      <c r="F147" s="62" cm="1">
        <f t="array" ref="F147">IF(B147&lt;INDEX(Assumptions!$C$3:$C$7, MATCH(C147, {"Virginia","Florida","Texas","New York","California"}, 0)),
    0,
    IF(C147=C146,
        F146 + D147,
        IF(COUNTIF($C$2:C147, C147) = 1, D147, LOOKUP(2, 1/(C$1:C146=C147), F$1:F146) + D147)
    )
)</f>
        <v>5571</v>
      </c>
      <c r="G147" s="62" cm="1">
        <f t="array" ref="G147">IF(B147&lt;INDEX(Assumptions!$C$3:$C$7, MATCH(C147, {"Virginia","Florida","Texas","New York","California"}, 0)),
    0,
    IF(C147=C146,
        G146 + D147 - E147,
        IF(COUNTIF($C$2:C147, C147) = 1, D147, LOOKUP(2, 1/(C$1:C146=C147), G$1:G146) + D147 - E147)
    )
)</f>
        <v>5274.8875000000007</v>
      </c>
      <c r="H147" s="63">
        <f>IF(B147&lt;INDEX(Assumptions!$C$3:$C$7, MATCH(C147, {"Virginia","Florida","Texas","New York","California"}, 0)),
    0,
    (G147 / INDEX(Assumptions!$C$15:$C$19, MATCH(C147, {"Virginia","Florida","Texas","New York","California"}, 0)))
)</f>
        <v>7.5355535714285729E-2</v>
      </c>
      <c r="I147" s="43">
        <f>G147*'Unit Economics'!$B$19* INDEX(Assumptions!$C$38:$C$42, MATCH(C147, {"Virginia","Florida","Texas","New York","California"}, 0))</f>
        <v>1333591.7828625003</v>
      </c>
      <c r="J147" s="43">
        <f>D147*Assumptions!$C$21*INDEX(Assumptions!$C$38:$C$42,MATCH(C147,{"Virginia","Florida","Texas","New York","California"},0))</f>
        <v>9406.1625000000004</v>
      </c>
      <c r="K147" s="43">
        <f>G147/Assumptions!$C$22*('Unit Economics'!$F$24+'Unit Economics'!$F$25+'Unit Economics'!$F$26)</f>
        <v>251526.80468750006</v>
      </c>
      <c r="L147" s="43">
        <f>D147*Assumptions!$C$29</f>
        <v>6475</v>
      </c>
      <c r="M147" s="35">
        <f>G147*Assumptions!$C$27</f>
        <v>0</v>
      </c>
      <c r="N147" s="35">
        <f>G147*Assumptions!$C$28</f>
        <v>0</v>
      </c>
      <c r="O147" s="64">
        <f>IF( COUNTIF($B$2:B147, B147) = 1, MIN( Assumptions!$C$34 + INT(SUMIF($B$2:$B147, B147, G$2:G147) / 1000) * Assumptions!$C$37, Assumptions!$C$36 ), 0 )</f>
        <v>0</v>
      </c>
      <c r="P147" s="53">
        <f t="shared" si="7"/>
        <v>1588049.7500500004</v>
      </c>
      <c r="Q147" s="52">
        <f t="shared" si="8"/>
        <v>77329165.663004443</v>
      </c>
    </row>
    <row r="148" spans="1:17">
      <c r="A148" s="2">
        <f t="shared" si="6"/>
        <v>4</v>
      </c>
      <c r="B148" s="2">
        <v>44</v>
      </c>
      <c r="C148" s="2" t="s">
        <v>91</v>
      </c>
      <c r="D148" s="62">
        <f>IF(
    B148 &lt; INDEX(Assumptions!$C$3:$C$7, MATCH(C148, {"Virginia","Florida","Texas","New York","California"}, 0)),
    0,
    IF(
        B148 = INDEX(Assumptions!$C$3:$C$7, MATCH(C148, {"Virginia","Florida","Texas","New York","California"}, 0)),
        IF(C148 = "Virginia", Assumptions!$C$13, Assumptions!$C$14),
        ROUND(
            (INDEX(Assumptions!$C$15:$C$19, MATCH(C148, {"Virginia","Florida","Texas","New York","California"}, 0)) * Assumptions!$C$9 -
            SUMIF(C$2:C147, C148, D$2:D148)) /
            (1 + EXP(-0.2 * (B148 - INDEX(Assumptions!$C$3:$C$7, MATCH(C148, {"Virginia","Florida","Texas","New York","California"}, 0)) - 30))),
            0
        )
    )
)</f>
        <v>40</v>
      </c>
      <c r="E148" s="62">
        <f>IF(B148&lt;INDEX(Assumptions!$C$3:$C$7, MATCH(C148, {"Virginia","Florida","Texas","New York","California"}, 0)),
    0,
    IF(F148=0,
        0,
        F148 * Assumptions!$C$12
    )
)</f>
        <v>26.529166666666665</v>
      </c>
      <c r="F148" s="62" cm="1">
        <f t="array" ref="F148">IF(B148&lt;INDEX(Assumptions!$C$3:$C$7, MATCH(C148, {"Virginia","Florida","Texas","New York","California"}, 0)),
    0,
    IF(C148=C147,
        F147 + D148,
        IF(COUNTIF($C$2:C148, C148) = 1, D148, LOOKUP(2, 1/(C$1:C147=C148), F$1:F147) + D148)
    )
)</f>
        <v>6367</v>
      </c>
      <c r="G148" s="62" cm="1">
        <f t="array" ref="G148">IF(B148&lt;INDEX(Assumptions!$C$3:$C$7, MATCH(C148, {"Virginia","Florida","Texas","New York","California"}, 0)),
    0,
    IF(C148=C147,
        G147 + D148 - E148,
        IF(COUNTIF($C$2:C148, C148) = 1, D148, LOOKUP(2, 1/(C$1:C147=C148), G$1:G147) + D148 - E148)
    )
)</f>
        <v>6029.770833333333</v>
      </c>
      <c r="H148" s="63">
        <f>IF(B148&lt;INDEX(Assumptions!$C$3:$C$7, MATCH(C148, {"Virginia","Florida","Texas","New York","California"}, 0)),
    0,
    (G148 / INDEX(Assumptions!$C$15:$C$19, MATCH(C148, {"Virginia","Florida","Texas","New York","California"}, 0)))
)</f>
        <v>7.5372135416666666E-2</v>
      </c>
      <c r="I148" s="43">
        <f>G148*'Unit Economics'!$B$19* INDEX(Assumptions!$C$38:$C$42, MATCH(C148, {"Virginia","Florida","Texas","New York","California"}, 0))</f>
        <v>1495403.6678875</v>
      </c>
      <c r="J148" s="43">
        <f>D148*Assumptions!$C$21*INDEX(Assumptions!$C$38:$C$42,MATCH(C148,{"Virginia","Florida","Texas","New York","California"},0))</f>
        <v>10545.14</v>
      </c>
      <c r="K148" s="43">
        <f>G148/Assumptions!$C$22*('Unit Economics'!$F$24+'Unit Economics'!$F$25+'Unit Economics'!$F$26)</f>
        <v>287522.52833946084</v>
      </c>
      <c r="L148" s="43">
        <f>D148*Assumptions!$C$29</f>
        <v>7400</v>
      </c>
      <c r="M148" s="35">
        <f>G148*Assumptions!$C$27</f>
        <v>0</v>
      </c>
      <c r="N148" s="35">
        <f>G148*Assumptions!$C$28</f>
        <v>0</v>
      </c>
      <c r="O148" s="64">
        <f>IF( COUNTIF($B$2:B148, B148) = 1, MIN( Assumptions!$C$34 + INT(SUMIF($B$2:$B148, B148, G$2:G148) / 1000) * Assumptions!$C$37, Assumptions!$C$36 ), 0 )</f>
        <v>0</v>
      </c>
      <c r="P148" s="53">
        <f t="shared" si="7"/>
        <v>1786071.3362269606</v>
      </c>
      <c r="Q148" s="52">
        <f t="shared" si="8"/>
        <v>79115236.999231398</v>
      </c>
    </row>
    <row r="149" spans="1:17">
      <c r="A149" s="2">
        <f t="shared" si="6"/>
        <v>4</v>
      </c>
      <c r="B149" s="2">
        <v>44</v>
      </c>
      <c r="C149" s="2" t="s">
        <v>89</v>
      </c>
      <c r="D149" s="62">
        <f>IF(
    B149 &lt; INDEX(Assumptions!$C$3:$C$7, MATCH(C149, {"Virginia","Florida","Texas","New York","California"}, 0)),
    0,
    IF(
        B149 = INDEX(Assumptions!$C$3:$C$7, MATCH(C149, {"Virginia","Florida","Texas","New York","California"}, 0)),
        IF(C149 = "Virginia", Assumptions!$C$13, Assumptions!$C$14),
        ROUND(
            (INDEX(Assumptions!$C$15:$C$19, MATCH(C149, {"Virginia","Florida","Texas","New York","California"}, 0)) * Assumptions!$C$9 -
            SUMIF(C$2:C148, C149, D$2:D149)) /
            (1 + EXP(-0.2 * (B149 - INDEX(Assumptions!$C$3:$C$7, MATCH(C149, {"Virginia","Florida","Texas","New York","California"}, 0)) - 30))),
            0
        )
    )
)</f>
        <v>0</v>
      </c>
      <c r="E149" s="62">
        <f>IF(B149&lt;INDEX(Assumptions!$C$3:$C$7, MATCH(C149, {"Virginia","Florida","Texas","New York","California"}, 0)),
    0,
    IF(F149=0,
        0,
        F149 * Assumptions!$C$12
    )
)</f>
        <v>16.666666666666668</v>
      </c>
      <c r="F149" s="62" cm="1">
        <f t="array" ref="F149">IF(B149&lt;INDEX(Assumptions!$C$3:$C$7, MATCH(C149, {"Virginia","Florida","Texas","New York","California"}, 0)),
    0,
    IF(C149=C148,
        F148 + D149,
        IF(COUNTIF($C$2:C149, C149) = 1, D149, LOOKUP(2, 1/(C$1:C148=C149), F$1:F148) + D149)
    )
)</f>
        <v>4000</v>
      </c>
      <c r="G149" s="62" cm="1">
        <f t="array" ref="G149">IF(B149&lt;INDEX(Assumptions!$C$3:$C$7, MATCH(C149, {"Virginia","Florida","Texas","New York","California"}, 0)),
    0,
    IF(C149=C148,
        G148 + D149 - E149,
        IF(COUNTIF($C$2:C149, C149) = 1, D149, LOOKUP(2, 1/(C$1:C148=C149), G$1:G148) + D149 - E149)
    )
)</f>
        <v>3590.2875000000013</v>
      </c>
      <c r="H149" s="63">
        <f>IF(B149&lt;INDEX(Assumptions!$C$3:$C$7, MATCH(C149, {"Virginia","Florida","Texas","New York","California"}, 0)),
    0,
    (G149 / INDEX(Assumptions!$C$15:$C$19, MATCH(C149, {"Virginia","Florida","Texas","New York","California"}, 0)))
)</f>
        <v>7.1805750000000029E-2</v>
      </c>
      <c r="I149" s="43">
        <f>G149*'Unit Economics'!$B$19* INDEX(Assumptions!$C$38:$C$42, MATCH(C149, {"Virginia","Florida","Texas","New York","California"}, 0))</f>
        <v>864469.42425000027</v>
      </c>
      <c r="J149" s="43">
        <f>D149*Assumptions!$C$21*INDEX(Assumptions!$C$38:$C$42,MATCH(C149,{"Virginia","Florida","Texas","New York","California"},0))</f>
        <v>0</v>
      </c>
      <c r="K149" s="43">
        <f>G149/Assumptions!$C$22*('Unit Economics'!$F$24+'Unit Economics'!$F$25+'Unit Economics'!$F$26)</f>
        <v>171198.63556985301</v>
      </c>
      <c r="L149" s="43">
        <f>D149*Assumptions!$C$29</f>
        <v>0</v>
      </c>
      <c r="M149" s="35">
        <f>G149*Assumptions!$C$27</f>
        <v>0</v>
      </c>
      <c r="N149" s="35">
        <f>G149*Assumptions!$C$28</f>
        <v>0</v>
      </c>
      <c r="O149" s="64">
        <f>IF( COUNTIF($B$2:B149, B149) = 1, MIN( Assumptions!$C$34 + INT(SUMIF($B$2:$B149, B149, G$2:G149) / 1000) * Assumptions!$C$37, Assumptions!$C$36 ), 0 )</f>
        <v>0</v>
      </c>
      <c r="P149" s="53">
        <f t="shared" si="7"/>
        <v>1035668.0598198533</v>
      </c>
      <c r="Q149" s="52">
        <f t="shared" si="8"/>
        <v>80150905.059051245</v>
      </c>
    </row>
    <row r="150" spans="1:17">
      <c r="A150" s="2">
        <f t="shared" si="6"/>
        <v>4</v>
      </c>
      <c r="B150" s="2">
        <v>45</v>
      </c>
      <c r="C150" s="2" t="s">
        <v>92</v>
      </c>
      <c r="D150" s="62">
        <f>IF(
    B150 &lt; INDEX(Assumptions!$C$3:$C$7, MATCH(C150, {"Virginia","Florida","Texas","New York","California"}, 0)),
    0,
    IF(
        B150 = INDEX(Assumptions!$C$3:$C$7, MATCH(C150, {"Virginia","Florida","Texas","New York","California"}, 0)),
        IF(C150 = "Virginia", Assumptions!$C$13, Assumptions!$C$14),
        ROUND(
            (INDEX(Assumptions!$C$15:$C$19, MATCH(C150, {"Virginia","Florida","Texas","New York","California"}, 0)) * Assumptions!$C$9 -
            SUMIF(C$2:C149, C150, D$2:D150)) /
            (1 + EXP(-0.2 * (B150 - INDEX(Assumptions!$C$3:$C$7, MATCH(C150, {"Virginia","Florida","Texas","New York","California"}, 0)) - 30))),
            0
        )
    )
)</f>
        <v>314</v>
      </c>
      <c r="E150" s="62">
        <f>IF(B150&lt;INDEX(Assumptions!$C$3:$C$7, MATCH(C150, {"Virginia","Florida","Texas","New York","California"}, 0)),
    0,
    IF(F150=0,
        0,
        F150 * Assumptions!$C$12
    )
)</f>
        <v>10.341666666666667</v>
      </c>
      <c r="F150" s="62" cm="1">
        <f t="array" ref="F150">IF(B150&lt;INDEX(Assumptions!$C$3:$C$7, MATCH(C150, {"Virginia","Florida","Texas","New York","California"}, 0)),
    0,
    IF(C150=C149,
        F149 + D150,
        IF(COUNTIF($C$2:C150, C150) = 1, D150, LOOKUP(2, 1/(C$1:C149=C150), F$1:F149) + D150)
    )
)</f>
        <v>2482</v>
      </c>
      <c r="G150" s="62" cm="1">
        <f t="array" ref="G150">IF(B150&lt;INDEX(Assumptions!$C$3:$C$7, MATCH(C150, {"Virginia","Florida","Texas","New York","California"}, 0)),
    0,
    IF(C150=C149,
        G149 + D150 - E150,
        IF(COUNTIF($C$2:C150, C150) = 1, D150, LOOKUP(2, 1/(C$1:C149=C150), G$1:G149) + D150 - E150)
    )
)</f>
        <v>2413.9</v>
      </c>
      <c r="H150" s="63">
        <f>IF(B150&lt;INDEX(Assumptions!$C$3:$C$7, MATCH(C150, {"Virginia","Florida","Texas","New York","California"}, 0)),
    0,
    (G150 / INDEX(Assumptions!$C$15:$C$19, MATCH(C150, {"Virginia","Florida","Texas","New York","California"}, 0)))
)</f>
        <v>4.0231666666666666E-2</v>
      </c>
      <c r="I150" s="43">
        <f>G150*'Unit Economics'!$B$19* INDEX(Assumptions!$C$38:$C$42, MATCH(C150, {"Virginia","Florida","Texas","New York","California"}, 0))</f>
        <v>627716.34936000011</v>
      </c>
      <c r="J150" s="43">
        <f>D150*Assumptions!$C$21*INDEX(Assumptions!$C$38:$C$42,MATCH(C150,{"Virginia","Florida","Texas","New York","California"},0))</f>
        <v>86797.76400000001</v>
      </c>
      <c r="K150" s="43">
        <f>G150/Assumptions!$C$22*('Unit Economics'!$F$24+'Unit Economics'!$F$25+'Unit Economics'!$F$26)</f>
        <v>115103.98161764708</v>
      </c>
      <c r="L150" s="43">
        <f>D150*Assumptions!$C$29</f>
        <v>58090</v>
      </c>
      <c r="M150" s="35">
        <f>G150*Assumptions!$C$27</f>
        <v>0</v>
      </c>
      <c r="N150" s="35">
        <f>G150*Assumptions!$C$28</f>
        <v>0</v>
      </c>
      <c r="O150" s="64">
        <f>IF( COUNTIF($B$2:B150, B150) = 1, MIN( Assumptions!$C$34 + INT(SUMIF($B$2:$B150, B150, G$2:G150) / 1000) * Assumptions!$C$37, Assumptions!$C$36 ), 0 )</f>
        <v>80000</v>
      </c>
      <c r="P150" s="53">
        <f t="shared" si="7"/>
        <v>691528.09497764718</v>
      </c>
      <c r="Q150" s="52">
        <f t="shared" si="8"/>
        <v>80842433.154028893</v>
      </c>
    </row>
    <row r="151" spans="1:17">
      <c r="A151" s="2">
        <f t="shared" si="6"/>
        <v>4</v>
      </c>
      <c r="B151" s="2">
        <v>45</v>
      </c>
      <c r="C151" s="2" t="s">
        <v>93</v>
      </c>
      <c r="D151" s="62">
        <f>IF(
    B151 &lt; INDEX(Assumptions!$C$3:$C$7, MATCH(C151, {"Virginia","Florida","Texas","New York","California"}, 0)),
    0,
    IF(
        B151 = INDEX(Assumptions!$C$3:$C$7, MATCH(C151, {"Virginia","Florida","Texas","New York","California"}, 0)),
        IF(C151 = "Virginia", Assumptions!$C$13, Assumptions!$C$14),
        ROUND(
            (INDEX(Assumptions!$C$15:$C$19, MATCH(C151, {"Virginia","Florida","Texas","New York","California"}, 0)) * Assumptions!$C$9 -
            SUMIF(C$2:C150, C151, D$2:D151)) /
            (1 + EXP(-0.2 * (B151 - INDEX(Assumptions!$C$3:$C$7, MATCH(C151, {"Virginia","Florida","Texas","New York","California"}, 0)) - 30))),
            0
        )
    )
)</f>
        <v>474</v>
      </c>
      <c r="E151" s="62">
        <f>IF(B151&lt;INDEX(Assumptions!$C$3:$C$7, MATCH(C151, {"Virginia","Florida","Texas","New York","California"}, 0)),
    0,
    IF(F151=0,
        0,
        F151 * Assumptions!$C$12
    )
)</f>
        <v>15.408333333333333</v>
      </c>
      <c r="F151" s="62" cm="1">
        <f t="array" ref="F151">IF(B151&lt;INDEX(Assumptions!$C$3:$C$7, MATCH(C151, {"Virginia","Florida","Texas","New York","California"}, 0)),
    0,
    IF(C151=C150,
        F150 + D151,
        IF(COUNTIF($C$2:C151, C151) = 1, D151, LOOKUP(2, 1/(C$1:C150=C151), F$1:F150) + D151)
    )
)</f>
        <v>3698</v>
      </c>
      <c r="G151" s="62" cm="1">
        <f t="array" ref="G151">IF(B151&lt;INDEX(Assumptions!$C$3:$C$7, MATCH(C151, {"Virginia","Florida","Texas","New York","California"}, 0)),
    0,
    IF(C151=C150,
        G150 + D151 - E151,
        IF(COUNTIF($C$2:C151, C151) = 1, D151, LOOKUP(2, 1/(C$1:C150=C151), G$1:G150) + D151 - E151)
    )
)</f>
        <v>3599.35</v>
      </c>
      <c r="H151" s="63">
        <f>IF(B151&lt;INDEX(Assumptions!$C$3:$C$7, MATCH(C151, {"Virginia","Florida","Texas","New York","California"}, 0)),
    0,
    (G151 / INDEX(Assumptions!$C$15:$C$19, MATCH(C151, {"Virginia","Florida","Texas","New York","California"}, 0)))
)</f>
        <v>3.999277777777778E-2</v>
      </c>
      <c r="I151" s="43">
        <f>G151*'Unit Economics'!$B$19* INDEX(Assumptions!$C$38:$C$42, MATCH(C151, {"Virginia","Florida","Texas","New York","California"}, 0))</f>
        <v>953316.64230000007</v>
      </c>
      <c r="J151" s="43">
        <f>D151*Assumptions!$C$21*INDEX(Assumptions!$C$38:$C$42,MATCH(C151,{"Virginia","Florida","Texas","New York","California"},0))</f>
        <v>133452.32999999999</v>
      </c>
      <c r="K151" s="43">
        <f>G151/Assumptions!$C$22*('Unit Economics'!$F$24+'Unit Economics'!$F$25+'Unit Economics'!$F$26)</f>
        <v>171630.77022058825</v>
      </c>
      <c r="L151" s="43">
        <f>D151*Assumptions!$C$29</f>
        <v>87690</v>
      </c>
      <c r="M151" s="35">
        <f>G151*Assumptions!$C$27</f>
        <v>0</v>
      </c>
      <c r="N151" s="35">
        <f>G151*Assumptions!$C$28</f>
        <v>0</v>
      </c>
      <c r="O151" s="64">
        <f>IF( COUNTIF($B$2:B151, B151) = 1, MIN( Assumptions!$C$34 + INT(SUMIF($B$2:$B151, B151, G$2:G151) / 1000) * Assumptions!$C$37, Assumptions!$C$36 ), 0 )</f>
        <v>0</v>
      </c>
      <c r="P151" s="53">
        <f t="shared" si="7"/>
        <v>1170709.7425205882</v>
      </c>
      <c r="Q151" s="52">
        <f t="shared" si="8"/>
        <v>82013142.896549478</v>
      </c>
    </row>
    <row r="152" spans="1:17">
      <c r="A152" s="2">
        <f t="shared" si="6"/>
        <v>4</v>
      </c>
      <c r="B152" s="2">
        <v>45</v>
      </c>
      <c r="C152" s="2" t="s">
        <v>90</v>
      </c>
      <c r="D152" s="62">
        <f>IF(
    B152 &lt; INDEX(Assumptions!$C$3:$C$7, MATCH(C152, {"Virginia","Florida","Texas","New York","California"}, 0)),
    0,
    IF(
        B152 = INDEX(Assumptions!$C$3:$C$7, MATCH(C152, {"Virginia","Florida","Texas","New York","California"}, 0)),
        IF(C152 = "Virginia", Assumptions!$C$13, Assumptions!$C$14),
        ROUND(
            (INDEX(Assumptions!$C$15:$C$19, MATCH(C152, {"Virginia","Florida","Texas","New York","California"}, 0)) * Assumptions!$C$9 -
            SUMIF(C$2:C151, C152, D$2:D152)) /
            (1 + EXP(-0.2 * (B152 - INDEX(Assumptions!$C$3:$C$7, MATCH(C152, {"Virginia","Florida","Texas","New York","California"}, 0)) - 30))),
            0
        )
    )
)</f>
        <v>17</v>
      </c>
      <c r="E152" s="62">
        <f>IF(B152&lt;INDEX(Assumptions!$C$3:$C$7, MATCH(C152, {"Virginia","Florida","Texas","New York","California"}, 0)),
    0,
    IF(F152=0,
        0,
        F152 * Assumptions!$C$12
    )
)</f>
        <v>23.283333333333331</v>
      </c>
      <c r="F152" s="62" cm="1">
        <f t="array" ref="F152">IF(B152&lt;INDEX(Assumptions!$C$3:$C$7, MATCH(C152, {"Virginia","Florida","Texas","New York","California"}, 0)),
    0,
    IF(C152=C151,
        F151 + D152,
        IF(COUNTIF($C$2:C152, C152) = 1, D152, LOOKUP(2, 1/(C$1:C151=C152), F$1:F151) + D152)
    )
)</f>
        <v>5588</v>
      </c>
      <c r="G152" s="62" cm="1">
        <f t="array" ref="G152">IF(B152&lt;INDEX(Assumptions!$C$3:$C$7, MATCH(C152, {"Virginia","Florida","Texas","New York","California"}, 0)),
    0,
    IF(C152=C151,
        G151 + D152 - E152,
        IF(COUNTIF($C$2:C152, C152) = 1, D152, LOOKUP(2, 1/(C$1:C151=C152), G$1:G151) + D152 - E152)
    )
)</f>
        <v>5268.604166666667</v>
      </c>
      <c r="H152" s="63">
        <f>IF(B152&lt;INDEX(Assumptions!$C$3:$C$7, MATCH(C152, {"Virginia","Florida","Texas","New York","California"}, 0)),
    0,
    (G152 / INDEX(Assumptions!$C$15:$C$19, MATCH(C152, {"Virginia","Florida","Texas","New York","California"}, 0)))
)</f>
        <v>7.5265773809523817E-2</v>
      </c>
      <c r="I152" s="43">
        <f>G152*'Unit Economics'!$B$19* INDEX(Assumptions!$C$38:$C$42, MATCH(C152, {"Virginia","Florida","Texas","New York","California"}, 0))</f>
        <v>1332003.2368125001</v>
      </c>
      <c r="J152" s="43">
        <f>D152*Assumptions!$C$21*INDEX(Assumptions!$C$38:$C$42,MATCH(C152,{"Virginia","Florida","Texas","New York","California"},0))</f>
        <v>4568.7074999999995</v>
      </c>
      <c r="K152" s="43">
        <f>G152/Assumptions!$C$22*('Unit Economics'!$F$24+'Unit Economics'!$F$25+'Unit Economics'!$F$26)</f>
        <v>251227.19132965693</v>
      </c>
      <c r="L152" s="43">
        <f>D152*Assumptions!$C$29</f>
        <v>3145</v>
      </c>
      <c r="M152" s="35">
        <f>G152*Assumptions!$C$27</f>
        <v>0</v>
      </c>
      <c r="N152" s="35">
        <f>G152*Assumptions!$C$28</f>
        <v>0</v>
      </c>
      <c r="O152" s="64">
        <f>IF( COUNTIF($B$2:B152, B152) = 1, MIN( Assumptions!$C$34 + INT(SUMIF($B$2:$B152, B152, G$2:G152) / 1000) * Assumptions!$C$37, Assumptions!$C$36 ), 0 )</f>
        <v>0</v>
      </c>
      <c r="P152" s="53">
        <f t="shared" si="7"/>
        <v>1584654.1356421569</v>
      </c>
      <c r="Q152" s="52">
        <f t="shared" si="8"/>
        <v>83597797.032191634</v>
      </c>
    </row>
    <row r="153" spans="1:17">
      <c r="A153" s="2">
        <f t="shared" si="6"/>
        <v>4</v>
      </c>
      <c r="B153" s="2">
        <v>45</v>
      </c>
      <c r="C153" s="2" t="s">
        <v>91</v>
      </c>
      <c r="D153" s="62">
        <f>IF(
    B153 &lt; INDEX(Assumptions!$C$3:$C$7, MATCH(C153, {"Virginia","Florida","Texas","New York","California"}, 0)),
    0,
    IF(
        B153 = INDEX(Assumptions!$C$3:$C$7, MATCH(C153, {"Virginia","Florida","Texas","New York","California"}, 0)),
        IF(C153 = "Virginia", Assumptions!$C$13, Assumptions!$C$14),
        ROUND(
            (INDEX(Assumptions!$C$15:$C$19, MATCH(C153, {"Virginia","Florida","Texas","New York","California"}, 0)) * Assumptions!$C$9 -
            SUMIF(C$2:C152, C153, D$2:D153)) /
            (1 + EXP(-0.2 * (B153 - INDEX(Assumptions!$C$3:$C$7, MATCH(C153, {"Virginia","Florida","Texas","New York","California"}, 0)) - 30))),
            0
        )
    )
)</f>
        <v>20</v>
      </c>
      <c r="E153" s="62">
        <f>IF(B153&lt;INDEX(Assumptions!$C$3:$C$7, MATCH(C153, {"Virginia","Florida","Texas","New York","California"}, 0)),
    0,
    IF(F153=0,
        0,
        F153 * Assumptions!$C$12
    )
)</f>
        <v>26.612500000000001</v>
      </c>
      <c r="F153" s="62" cm="1">
        <f t="array" ref="F153">IF(B153&lt;INDEX(Assumptions!$C$3:$C$7, MATCH(C153, {"Virginia","Florida","Texas","New York","California"}, 0)),
    0,
    IF(C153=C152,
        F152 + D153,
        IF(COUNTIF($C$2:C153, C153) = 1, D153, LOOKUP(2, 1/(C$1:C152=C153), F$1:F152) + D153)
    )
)</f>
        <v>6387</v>
      </c>
      <c r="G153" s="62" cm="1">
        <f t="array" ref="G153">IF(B153&lt;INDEX(Assumptions!$C$3:$C$7, MATCH(C153, {"Virginia","Florida","Texas","New York","California"}, 0)),
    0,
    IF(C153=C152,
        G152 + D153 - E153,
        IF(COUNTIF($C$2:C153, C153) = 1, D153, LOOKUP(2, 1/(C$1:C152=C153), G$1:G152) + D153 - E153)
    )
)</f>
        <v>6023.1583333333328</v>
      </c>
      <c r="H153" s="63">
        <f>IF(B153&lt;INDEX(Assumptions!$C$3:$C$7, MATCH(C153, {"Virginia","Florida","Texas","New York","California"}, 0)),
    0,
    (G153 / INDEX(Assumptions!$C$15:$C$19, MATCH(C153, {"Virginia","Florida","Texas","New York","California"}, 0)))
)</f>
        <v>7.5289479166666659E-2</v>
      </c>
      <c r="I153" s="43">
        <f>G153*'Unit Economics'!$B$19* INDEX(Assumptions!$C$38:$C$42, MATCH(C153, {"Virginia","Florida","Texas","New York","California"}, 0))</f>
        <v>1493763.7454049999</v>
      </c>
      <c r="J153" s="43">
        <f>D153*Assumptions!$C$21*INDEX(Assumptions!$C$38:$C$42,MATCH(C153,{"Virginia","Florida","Texas","New York","California"},0))</f>
        <v>5272.57</v>
      </c>
      <c r="K153" s="43">
        <f>G153/Assumptions!$C$22*('Unit Economics'!$F$24+'Unit Economics'!$F$25+'Unit Economics'!$F$26)</f>
        <v>287207.21905637259</v>
      </c>
      <c r="L153" s="43">
        <f>D153*Assumptions!$C$29</f>
        <v>3700</v>
      </c>
      <c r="M153" s="35">
        <f>G153*Assumptions!$C$27</f>
        <v>0</v>
      </c>
      <c r="N153" s="35">
        <f>G153*Assumptions!$C$28</f>
        <v>0</v>
      </c>
      <c r="O153" s="64">
        <f>IF( COUNTIF($B$2:B153, B153) = 1, MIN( Assumptions!$C$34 + INT(SUMIF($B$2:$B153, B153, G$2:G153) / 1000) * Assumptions!$C$37, Assumptions!$C$36 ), 0 )</f>
        <v>0</v>
      </c>
      <c r="P153" s="53">
        <f t="shared" si="7"/>
        <v>1782543.5344613725</v>
      </c>
      <c r="Q153" s="52">
        <f t="shared" si="8"/>
        <v>85380340.566653013</v>
      </c>
    </row>
    <row r="154" spans="1:17">
      <c r="A154" s="2">
        <f t="shared" si="6"/>
        <v>4</v>
      </c>
      <c r="B154" s="2">
        <v>45</v>
      </c>
      <c r="C154" s="2" t="s">
        <v>89</v>
      </c>
      <c r="D154" s="62">
        <f>IF(
    B154 &lt; INDEX(Assumptions!$C$3:$C$7, MATCH(C154, {"Virginia","Florida","Texas","New York","California"}, 0)),
    0,
    IF(
        B154 = INDEX(Assumptions!$C$3:$C$7, MATCH(C154, {"Virginia","Florida","Texas","New York","California"}, 0)),
        IF(C154 = "Virginia", Assumptions!$C$13, Assumptions!$C$14),
        ROUND(
            (INDEX(Assumptions!$C$15:$C$19, MATCH(C154, {"Virginia","Florida","Texas","New York","California"}, 0)) * Assumptions!$C$9 -
            SUMIF(C$2:C153, C154, D$2:D154)) /
            (1 + EXP(-0.2 * (B154 - INDEX(Assumptions!$C$3:$C$7, MATCH(C154, {"Virginia","Florida","Texas","New York","California"}, 0)) - 30))),
            0
        )
    )
)</f>
        <v>0</v>
      </c>
      <c r="E154" s="62">
        <f>IF(B154&lt;INDEX(Assumptions!$C$3:$C$7, MATCH(C154, {"Virginia","Florida","Texas","New York","California"}, 0)),
    0,
    IF(F154=0,
        0,
        F154 * Assumptions!$C$12
    )
)</f>
        <v>16.666666666666668</v>
      </c>
      <c r="F154" s="62" cm="1">
        <f t="array" ref="F154">IF(B154&lt;INDEX(Assumptions!$C$3:$C$7, MATCH(C154, {"Virginia","Florida","Texas","New York","California"}, 0)),
    0,
    IF(C154=C153,
        F153 + D154,
        IF(COUNTIF($C$2:C154, C154) = 1, D154, LOOKUP(2, 1/(C$1:C153=C154), F$1:F153) + D154)
    )
)</f>
        <v>4000</v>
      </c>
      <c r="G154" s="62" cm="1">
        <f t="array" ref="G154">IF(B154&lt;INDEX(Assumptions!$C$3:$C$7, MATCH(C154, {"Virginia","Florida","Texas","New York","California"}, 0)),
    0,
    IF(C154=C153,
        G153 + D154 - E154,
        IF(COUNTIF($C$2:C154, C154) = 1, D154, LOOKUP(2, 1/(C$1:C153=C154), G$1:G153) + D154 - E154)
    )
)</f>
        <v>3573.6208333333348</v>
      </c>
      <c r="H154" s="63">
        <f>IF(B154&lt;INDEX(Assumptions!$C$3:$C$7, MATCH(C154, {"Virginia","Florida","Texas","New York","California"}, 0)),
    0,
    (G154 / INDEX(Assumptions!$C$15:$C$19, MATCH(C154, {"Virginia","Florida","Texas","New York","California"}, 0)))
)</f>
        <v>7.1472416666666691E-2</v>
      </c>
      <c r="I154" s="43">
        <f>G154*'Unit Economics'!$B$19* INDEX(Assumptions!$C$38:$C$42, MATCH(C154, {"Virginia","Florida","Texas","New York","California"}, 0))</f>
        <v>860456.42425000039</v>
      </c>
      <c r="J154" s="43">
        <f>D154*Assumptions!$C$21*INDEX(Assumptions!$C$38:$C$42,MATCH(C154,{"Virginia","Florida","Texas","New York","California"},0))</f>
        <v>0</v>
      </c>
      <c r="K154" s="43">
        <f>G154/Assumptions!$C$22*('Unit Economics'!$F$24+'Unit Economics'!$F$25+'Unit Economics'!$F$26)</f>
        <v>170403.90517769617</v>
      </c>
      <c r="L154" s="43">
        <f>D154*Assumptions!$C$29</f>
        <v>0</v>
      </c>
      <c r="M154" s="35">
        <f>G154*Assumptions!$C$27</f>
        <v>0</v>
      </c>
      <c r="N154" s="35">
        <f>G154*Assumptions!$C$28</f>
        <v>0</v>
      </c>
      <c r="O154" s="64">
        <f>IF( COUNTIF($B$2:B154, B154) = 1, MIN( Assumptions!$C$34 + INT(SUMIF($B$2:$B154, B154, G$2:G154) / 1000) * Assumptions!$C$37, Assumptions!$C$36 ), 0 )</f>
        <v>0</v>
      </c>
      <c r="P154" s="53">
        <f t="shared" si="7"/>
        <v>1030860.3294276965</v>
      </c>
      <c r="Q154" s="52">
        <f t="shared" si="8"/>
        <v>86411200.896080703</v>
      </c>
    </row>
    <row r="155" spans="1:17">
      <c r="A155" s="2">
        <f t="shared" si="6"/>
        <v>4</v>
      </c>
      <c r="B155" s="2">
        <v>46</v>
      </c>
      <c r="C155" s="2" t="s">
        <v>92</v>
      </c>
      <c r="D155" s="62">
        <f>IF(
    B155 &lt; INDEX(Assumptions!$C$3:$C$7, MATCH(C155, {"Virginia","Florida","Texas","New York","California"}, 0)),
    0,
    IF(
        B155 = INDEX(Assumptions!$C$3:$C$7, MATCH(C155, {"Virginia","Florida","Texas","New York","California"}, 0)),
        IF(C155 = "Virginia", Assumptions!$C$13, Assumptions!$C$14),
        ROUND(
            (INDEX(Assumptions!$C$15:$C$19, MATCH(C155, {"Virginia","Florida","Texas","New York","California"}, 0)) * Assumptions!$C$9 -
            SUMIF(C$2:C154, C155, D$2:D155)) /
            (1 + EXP(-0.2 * (B155 - INDEX(Assumptions!$C$3:$C$7, MATCH(C155, {"Virginia","Florida","Texas","New York","California"}, 0)) - 30))),
            0
        )
    )
)</f>
        <v>329</v>
      </c>
      <c r="E155" s="62">
        <f>IF(B155&lt;INDEX(Assumptions!$C$3:$C$7, MATCH(C155, {"Virginia","Florida","Texas","New York","California"}, 0)),
    0,
    IF(F155=0,
        0,
        F155 * Assumptions!$C$12
    )
)</f>
        <v>11.7125</v>
      </c>
      <c r="F155" s="62" cm="1">
        <f t="array" ref="F155">IF(B155&lt;INDEX(Assumptions!$C$3:$C$7, MATCH(C155, {"Virginia","Florida","Texas","New York","California"}, 0)),
    0,
    IF(C155=C154,
        F154 + D155,
        IF(COUNTIF($C$2:C155, C155) = 1, D155, LOOKUP(2, 1/(C$1:C154=C155), F$1:F154) + D155)
    )
)</f>
        <v>2811</v>
      </c>
      <c r="G155" s="62" cm="1">
        <f t="array" ref="G155">IF(B155&lt;INDEX(Assumptions!$C$3:$C$7, MATCH(C155, {"Virginia","Florida","Texas","New York","California"}, 0)),
    0,
    IF(C155=C154,
        G154 + D155 - E155,
        IF(COUNTIF($C$2:C155, C155) = 1, D155, LOOKUP(2, 1/(C$1:C154=C155), G$1:G154) + D155 - E155)
    )
)</f>
        <v>2731.1875</v>
      </c>
      <c r="H155" s="63">
        <f>IF(B155&lt;INDEX(Assumptions!$C$3:$C$7, MATCH(C155, {"Virginia","Florida","Texas","New York","California"}, 0)),
    0,
    (G155 / INDEX(Assumptions!$C$15:$C$19, MATCH(C155, {"Virginia","Florida","Texas","New York","California"}, 0)))
)</f>
        <v>4.5519791666666663E-2</v>
      </c>
      <c r="I155" s="43">
        <f>G155*'Unit Economics'!$B$19* INDEX(Assumptions!$C$38:$C$42, MATCH(C155, {"Virginia","Florida","Texas","New York","California"}, 0))</f>
        <v>710224.55235000013</v>
      </c>
      <c r="J155" s="43">
        <f>D155*Assumptions!$C$21*INDEX(Assumptions!$C$38:$C$42,MATCH(C155,{"Virginia","Florida","Texas","New York","California"},0))</f>
        <v>90944.15400000001</v>
      </c>
      <c r="K155" s="43">
        <f>G155/Assumptions!$C$22*('Unit Economics'!$F$24+'Unit Economics'!$F$25+'Unit Economics'!$F$26)</f>
        <v>130233.4627757353</v>
      </c>
      <c r="L155" s="43">
        <f>D155*Assumptions!$C$29</f>
        <v>60865</v>
      </c>
      <c r="M155" s="35">
        <f>G155*Assumptions!$C$27</f>
        <v>0</v>
      </c>
      <c r="N155" s="35">
        <f>G155*Assumptions!$C$28</f>
        <v>0</v>
      </c>
      <c r="O155" s="64">
        <f>IF( COUNTIF($B$2:B155, B155) = 1, MIN( Assumptions!$C$34 + INT(SUMIF($B$2:$B155, B155, G$2:G155) / 1000) * Assumptions!$C$37, Assumptions!$C$36 ), 0 )</f>
        <v>80000</v>
      </c>
      <c r="P155" s="53">
        <f t="shared" si="7"/>
        <v>790537.16912573541</v>
      </c>
      <c r="Q155" s="52">
        <f t="shared" si="8"/>
        <v>87201738.065206438</v>
      </c>
    </row>
    <row r="156" spans="1:17">
      <c r="A156" s="2">
        <f t="shared" si="6"/>
        <v>4</v>
      </c>
      <c r="B156" s="2">
        <v>46</v>
      </c>
      <c r="C156" s="2" t="s">
        <v>93</v>
      </c>
      <c r="D156" s="62">
        <f>IF(
    B156 &lt; INDEX(Assumptions!$C$3:$C$7, MATCH(C156, {"Virginia","Florida","Texas","New York","California"}, 0)),
    0,
    IF(
        B156 = INDEX(Assumptions!$C$3:$C$7, MATCH(C156, {"Virginia","Florida","Texas","New York","California"}, 0)),
        IF(C156 = "Virginia", Assumptions!$C$13, Assumptions!$C$14),
        ROUND(
            (INDEX(Assumptions!$C$15:$C$19, MATCH(C156, {"Virginia","Florida","Texas","New York","California"}, 0)) * Assumptions!$C$9 -
            SUMIF(C$2:C155, C156, D$2:D156)) /
            (1 + EXP(-0.2 * (B156 - INDEX(Assumptions!$C$3:$C$7, MATCH(C156, {"Virginia","Florida","Texas","New York","California"}, 0)) - 30))),
            0
        )
    )
)</f>
        <v>497</v>
      </c>
      <c r="E156" s="62">
        <f>IF(B156&lt;INDEX(Assumptions!$C$3:$C$7, MATCH(C156, {"Virginia","Florida","Texas","New York","California"}, 0)),
    0,
    IF(F156=0,
        0,
        F156 * Assumptions!$C$12
    )
)</f>
        <v>17.479166666666668</v>
      </c>
      <c r="F156" s="62" cm="1">
        <f t="array" ref="F156">IF(B156&lt;INDEX(Assumptions!$C$3:$C$7, MATCH(C156, {"Virginia","Florida","Texas","New York","California"}, 0)),
    0,
    IF(C156=C155,
        F155 + D156,
        IF(COUNTIF($C$2:C156, C156) = 1, D156, LOOKUP(2, 1/(C$1:C155=C156), F$1:F155) + D156)
    )
)</f>
        <v>4195</v>
      </c>
      <c r="G156" s="62" cm="1">
        <f t="array" ref="G156">IF(B156&lt;INDEX(Assumptions!$C$3:$C$7, MATCH(C156, {"Virginia","Florida","Texas","New York","California"}, 0)),
    0,
    IF(C156=C155,
        G155 + D156 - E156,
        IF(COUNTIF($C$2:C156, C156) = 1, D156, LOOKUP(2, 1/(C$1:C155=C156), G$1:G155) + D156 - E156)
    )
)</f>
        <v>4078.8708333333338</v>
      </c>
      <c r="H156" s="63">
        <f>IF(B156&lt;INDEX(Assumptions!$C$3:$C$7, MATCH(C156, {"Virginia","Florida","Texas","New York","California"}, 0)),
    0,
    (G156 / INDEX(Assumptions!$C$15:$C$19, MATCH(C156, {"Virginia","Florida","Texas","New York","California"}, 0)))
)</f>
        <v>4.5320787037037041E-2</v>
      </c>
      <c r="I156" s="43">
        <f>G156*'Unit Economics'!$B$19* INDEX(Assumptions!$C$38:$C$42, MATCH(C156, {"Virginia","Florida","Texas","New York","California"}, 0))</f>
        <v>1080321.5711750002</v>
      </c>
      <c r="J156" s="43">
        <f>D156*Assumptions!$C$21*INDEX(Assumptions!$C$38:$C$42,MATCH(C156,{"Virginia","Florida","Texas","New York","California"},0))</f>
        <v>139927.86499999999</v>
      </c>
      <c r="K156" s="43">
        <f>G156/Assumptions!$C$22*('Unit Economics'!$F$24+'Unit Economics'!$F$25+'Unit Economics'!$F$26)</f>
        <v>194496.15701593141</v>
      </c>
      <c r="L156" s="43">
        <f>D156*Assumptions!$C$29</f>
        <v>91945</v>
      </c>
      <c r="M156" s="35">
        <f>G156*Assumptions!$C$27</f>
        <v>0</v>
      </c>
      <c r="N156" s="35">
        <f>G156*Assumptions!$C$28</f>
        <v>0</v>
      </c>
      <c r="O156" s="64">
        <f>IF( COUNTIF($B$2:B156, B156) = 1, MIN( Assumptions!$C$34 + INT(SUMIF($B$2:$B156, B156, G$2:G156) / 1000) * Assumptions!$C$37, Assumptions!$C$36 ), 0 )</f>
        <v>0</v>
      </c>
      <c r="P156" s="53">
        <f t="shared" si="7"/>
        <v>1322800.5931909315</v>
      </c>
      <c r="Q156" s="52">
        <f t="shared" si="8"/>
        <v>88524538.658397377</v>
      </c>
    </row>
    <row r="157" spans="1:17">
      <c r="A157" s="2">
        <f t="shared" si="6"/>
        <v>4</v>
      </c>
      <c r="B157" s="2">
        <v>46</v>
      </c>
      <c r="C157" s="2" t="s">
        <v>90</v>
      </c>
      <c r="D157" s="62">
        <f>IF(
    B157 &lt; INDEX(Assumptions!$C$3:$C$7, MATCH(C157, {"Virginia","Florida","Texas","New York","California"}, 0)),
    0,
    IF(
        B157 = INDEX(Assumptions!$C$3:$C$7, MATCH(C157, {"Virginia","Florida","Texas","New York","California"}, 0)),
        IF(C157 = "Virginia", Assumptions!$C$13, Assumptions!$C$14),
        ROUND(
            (INDEX(Assumptions!$C$15:$C$19, MATCH(C157, {"Virginia","Florida","Texas","New York","California"}, 0)) * Assumptions!$C$9 -
            SUMIF(C$2:C156, C157, D$2:D157)) /
            (1 + EXP(-0.2 * (B157 - INDEX(Assumptions!$C$3:$C$7, MATCH(C157, {"Virginia","Florida","Texas","New York","California"}, 0)) - 30))),
            0
        )
    )
)</f>
        <v>8</v>
      </c>
      <c r="E157" s="62">
        <f>IF(B157&lt;INDEX(Assumptions!$C$3:$C$7, MATCH(C157, {"Virginia","Florida","Texas","New York","California"}, 0)),
    0,
    IF(F157=0,
        0,
        F157 * Assumptions!$C$12
    )
)</f>
        <v>23.316666666666666</v>
      </c>
      <c r="F157" s="62" cm="1">
        <f t="array" ref="F157">IF(B157&lt;INDEX(Assumptions!$C$3:$C$7, MATCH(C157, {"Virginia","Florida","Texas","New York","California"}, 0)),
    0,
    IF(C157=C156,
        F156 + D157,
        IF(COUNTIF($C$2:C157, C157) = 1, D157, LOOKUP(2, 1/(C$1:C156=C157), F$1:F156) + D157)
    )
)</f>
        <v>5596</v>
      </c>
      <c r="G157" s="62" cm="1">
        <f t="array" ref="G157">IF(B157&lt;INDEX(Assumptions!$C$3:$C$7, MATCH(C157, {"Virginia","Florida","Texas","New York","California"}, 0)),
    0,
    IF(C157=C156,
        G156 + D157 - E157,
        IF(COUNTIF($C$2:C157, C157) = 1, D157, LOOKUP(2, 1/(C$1:C156=C157), G$1:G156) + D157 - E157)
    )
)</f>
        <v>5253.2875000000004</v>
      </c>
      <c r="H157" s="63">
        <f>IF(B157&lt;INDEX(Assumptions!$C$3:$C$7, MATCH(C157, {"Virginia","Florida","Texas","New York","California"}, 0)),
    0,
    (G157 / INDEX(Assumptions!$C$15:$C$19, MATCH(C157, {"Virginia","Florida","Texas","New York","California"}, 0)))
)</f>
        <v>7.5046964285714293E-2</v>
      </c>
      <c r="I157" s="43">
        <f>G157*'Unit Economics'!$B$19* INDEX(Assumptions!$C$38:$C$42, MATCH(C157, {"Virginia","Florida","Texas","New York","California"}, 0))</f>
        <v>1328130.8924625001</v>
      </c>
      <c r="J157" s="43">
        <f>D157*Assumptions!$C$21*INDEX(Assumptions!$C$38:$C$42,MATCH(C157,{"Virginia","Florida","Texas","New York","California"},0))</f>
        <v>2149.98</v>
      </c>
      <c r="K157" s="43">
        <f>G157/Assumptions!$C$22*('Unit Economics'!$F$24+'Unit Economics'!$F$25+'Unit Economics'!$F$26)</f>
        <v>250496.83409926476</v>
      </c>
      <c r="L157" s="43">
        <f>D157*Assumptions!$C$29</f>
        <v>1480</v>
      </c>
      <c r="M157" s="35">
        <f>G157*Assumptions!$C$27</f>
        <v>0</v>
      </c>
      <c r="N157" s="35">
        <f>G157*Assumptions!$C$28</f>
        <v>0</v>
      </c>
      <c r="O157" s="64">
        <f>IF( COUNTIF($B$2:B157, B157) = 1, MIN( Assumptions!$C$34 + INT(SUMIF($B$2:$B157, B157, G$2:G157) / 1000) * Assumptions!$C$37, Assumptions!$C$36 ), 0 )</f>
        <v>0</v>
      </c>
      <c r="P157" s="53">
        <f t="shared" si="7"/>
        <v>1579297.7065617649</v>
      </c>
      <c r="Q157" s="52">
        <f t="shared" si="8"/>
        <v>90103836.364959136</v>
      </c>
    </row>
    <row r="158" spans="1:17">
      <c r="A158" s="2">
        <f t="shared" si="6"/>
        <v>4</v>
      </c>
      <c r="B158" s="2">
        <v>46</v>
      </c>
      <c r="C158" s="2" t="s">
        <v>91</v>
      </c>
      <c r="D158" s="62">
        <f>IF(
    B158 &lt; INDEX(Assumptions!$C$3:$C$7, MATCH(C158, {"Virginia","Florida","Texas","New York","California"}, 0)),
    0,
    IF(
        B158 = INDEX(Assumptions!$C$3:$C$7, MATCH(C158, {"Virginia","Florida","Texas","New York","California"}, 0)),
        IF(C158 = "Virginia", Assumptions!$C$13, Assumptions!$C$14),
        ROUND(
            (INDEX(Assumptions!$C$15:$C$19, MATCH(C158, {"Virginia","Florida","Texas","New York","California"}, 0)) * Assumptions!$C$9 -
            SUMIF(C$2:C157, C158, D$2:D158)) /
            (1 + EXP(-0.2 * (B158 - INDEX(Assumptions!$C$3:$C$7, MATCH(C158, {"Virginia","Florida","Texas","New York","California"}, 0)) - 30))),
            0
        )
    )
)</f>
        <v>8</v>
      </c>
      <c r="E158" s="62">
        <f>IF(B158&lt;INDEX(Assumptions!$C$3:$C$7, MATCH(C158, {"Virginia","Florida","Texas","New York","California"}, 0)),
    0,
    IF(F158=0,
        0,
        F158 * Assumptions!$C$12
    )
)</f>
        <v>26.645833333333332</v>
      </c>
      <c r="F158" s="62" cm="1">
        <f t="array" ref="F158">IF(B158&lt;INDEX(Assumptions!$C$3:$C$7, MATCH(C158, {"Virginia","Florida","Texas","New York","California"}, 0)),
    0,
    IF(C158=C157,
        F157 + D158,
        IF(COUNTIF($C$2:C158, C158) = 1, D158, LOOKUP(2, 1/(C$1:C157=C158), F$1:F157) + D158)
    )
)</f>
        <v>6395</v>
      </c>
      <c r="G158" s="62" cm="1">
        <f t="array" ref="G158">IF(B158&lt;INDEX(Assumptions!$C$3:$C$7, MATCH(C158, {"Virginia","Florida","Texas","New York","California"}, 0)),
    0,
    IF(C158=C157,
        G157 + D158 - E158,
        IF(COUNTIF($C$2:C158, C158) = 1, D158, LOOKUP(2, 1/(C$1:C157=C158), G$1:G157) + D158 - E158)
    )
)</f>
        <v>6004.5124999999998</v>
      </c>
      <c r="H158" s="63">
        <f>IF(B158&lt;INDEX(Assumptions!$C$3:$C$7, MATCH(C158, {"Virginia","Florida","Texas","New York","California"}, 0)),
    0,
    (G158 / INDEX(Assumptions!$C$15:$C$19, MATCH(C158, {"Virginia","Florida","Texas","New York","California"}, 0)))
)</f>
        <v>7.5056406249999999E-2</v>
      </c>
      <c r="I158" s="43">
        <f>G158*'Unit Economics'!$B$19* INDEX(Assumptions!$C$38:$C$42, MATCH(C158, {"Virginia","Florida","Texas","New York","California"}, 0))</f>
        <v>1489139.5153425001</v>
      </c>
      <c r="J158" s="43">
        <f>D158*Assumptions!$C$21*INDEX(Assumptions!$C$38:$C$42,MATCH(C158,{"Virginia","Florida","Texas","New York","California"},0))</f>
        <v>2109.0279999999998</v>
      </c>
      <c r="K158" s="43">
        <f>G158/Assumptions!$C$22*('Unit Economics'!$F$24+'Unit Economics'!$F$25+'Unit Economics'!$F$26)</f>
        <v>286318.11443014705</v>
      </c>
      <c r="L158" s="43">
        <f>D158*Assumptions!$C$29</f>
        <v>1480</v>
      </c>
      <c r="M158" s="35">
        <f>G158*Assumptions!$C$27</f>
        <v>0</v>
      </c>
      <c r="N158" s="35">
        <f>G158*Assumptions!$C$28</f>
        <v>0</v>
      </c>
      <c r="O158" s="64">
        <f>IF( COUNTIF($B$2:B158, B158) = 1, MIN( Assumptions!$C$34 + INT(SUMIF($B$2:$B158, B158, G$2:G158) / 1000) * Assumptions!$C$37, Assumptions!$C$36 ), 0 )</f>
        <v>0</v>
      </c>
      <c r="P158" s="53">
        <f t="shared" si="7"/>
        <v>1776086.657772647</v>
      </c>
      <c r="Q158" s="52">
        <f t="shared" si="8"/>
        <v>91879923.022731781</v>
      </c>
    </row>
    <row r="159" spans="1:17">
      <c r="A159" s="2">
        <f t="shared" si="6"/>
        <v>4</v>
      </c>
      <c r="B159" s="2">
        <v>46</v>
      </c>
      <c r="C159" s="2" t="s">
        <v>89</v>
      </c>
      <c r="D159" s="62">
        <f>IF(
    B159 &lt; INDEX(Assumptions!$C$3:$C$7, MATCH(C159, {"Virginia","Florida","Texas","New York","California"}, 0)),
    0,
    IF(
        B159 = INDEX(Assumptions!$C$3:$C$7, MATCH(C159, {"Virginia","Florida","Texas","New York","California"}, 0)),
        IF(C159 = "Virginia", Assumptions!$C$13, Assumptions!$C$14),
        ROUND(
            (INDEX(Assumptions!$C$15:$C$19, MATCH(C159, {"Virginia","Florida","Texas","New York","California"}, 0)) * Assumptions!$C$9 -
            SUMIF(C$2:C158, C159, D$2:D159)) /
            (1 + EXP(-0.2 * (B159 - INDEX(Assumptions!$C$3:$C$7, MATCH(C159, {"Virginia","Florida","Texas","New York","California"}, 0)) - 30))),
            0
        )
    )
)</f>
        <v>0</v>
      </c>
      <c r="E159" s="62">
        <f>IF(B159&lt;INDEX(Assumptions!$C$3:$C$7, MATCH(C159, {"Virginia","Florida","Texas","New York","California"}, 0)),
    0,
    IF(F159=0,
        0,
        F159 * Assumptions!$C$12
    )
)</f>
        <v>16.666666666666668</v>
      </c>
      <c r="F159" s="62" cm="1">
        <f t="array" ref="F159">IF(B159&lt;INDEX(Assumptions!$C$3:$C$7, MATCH(C159, {"Virginia","Florida","Texas","New York","California"}, 0)),
    0,
    IF(C159=C158,
        F158 + D159,
        IF(COUNTIF($C$2:C159, C159) = 1, D159, LOOKUP(2, 1/(C$1:C158=C159), F$1:F158) + D159)
    )
)</f>
        <v>4000</v>
      </c>
      <c r="G159" s="62" cm="1">
        <f t="array" ref="G159">IF(B159&lt;INDEX(Assumptions!$C$3:$C$7, MATCH(C159, {"Virginia","Florida","Texas","New York","California"}, 0)),
    0,
    IF(C159=C158,
        G158 + D159 - E159,
        IF(COUNTIF($C$2:C159, C159) = 1, D159, LOOKUP(2, 1/(C$1:C158=C159), G$1:G158) + D159 - E159)
    )
)</f>
        <v>3556.9541666666682</v>
      </c>
      <c r="H159" s="63">
        <f>IF(B159&lt;INDEX(Assumptions!$C$3:$C$7, MATCH(C159, {"Virginia","Florida","Texas","New York","California"}, 0)),
    0,
    (G159 / INDEX(Assumptions!$C$15:$C$19, MATCH(C159, {"Virginia","Florida","Texas","New York","California"}, 0)))
)</f>
        <v>7.1139083333333367E-2</v>
      </c>
      <c r="I159" s="43">
        <f>G159*'Unit Economics'!$B$19* INDEX(Assumptions!$C$38:$C$42, MATCH(C159, {"Virginia","Florida","Texas","New York","California"}, 0))</f>
        <v>856443.42425000039</v>
      </c>
      <c r="J159" s="43">
        <f>D159*Assumptions!$C$21*INDEX(Assumptions!$C$38:$C$42,MATCH(C159,{"Virginia","Florida","Texas","New York","California"},0))</f>
        <v>0</v>
      </c>
      <c r="K159" s="43">
        <f>G159/Assumptions!$C$22*('Unit Economics'!$F$24+'Unit Economics'!$F$25+'Unit Economics'!$F$26)</f>
        <v>169609.1747855393</v>
      </c>
      <c r="L159" s="43">
        <f>D159*Assumptions!$C$29</f>
        <v>0</v>
      </c>
      <c r="M159" s="35">
        <f>G159*Assumptions!$C$27</f>
        <v>0</v>
      </c>
      <c r="N159" s="35">
        <f>G159*Assumptions!$C$28</f>
        <v>0</v>
      </c>
      <c r="O159" s="64">
        <f>IF( COUNTIF($B$2:B159, B159) = 1, MIN( Assumptions!$C$34 + INT(SUMIF($B$2:$B159, B159, G$2:G159) / 1000) * Assumptions!$C$37, Assumptions!$C$36 ), 0 )</f>
        <v>0</v>
      </c>
      <c r="P159" s="53">
        <f t="shared" si="7"/>
        <v>1026052.5990355397</v>
      </c>
      <c r="Q159" s="52">
        <f t="shared" si="8"/>
        <v>92905975.621767327</v>
      </c>
    </row>
    <row r="160" spans="1:17">
      <c r="A160" s="2">
        <f t="shared" si="6"/>
        <v>4</v>
      </c>
      <c r="B160" s="2">
        <v>47</v>
      </c>
      <c r="C160" s="2" t="s">
        <v>92</v>
      </c>
      <c r="D160" s="62">
        <f>IF(
    B160 &lt; INDEX(Assumptions!$C$3:$C$7, MATCH(C160, {"Virginia","Florida","Texas","New York","California"}, 0)),
    0,
    IF(
        B160 = INDEX(Assumptions!$C$3:$C$7, MATCH(C160, {"Virginia","Florida","Texas","New York","California"}, 0)),
        IF(C160 = "Virginia", Assumptions!$C$13, Assumptions!$C$14),
        ROUND(
            (INDEX(Assumptions!$C$15:$C$19, MATCH(C160, {"Virginia","Florida","Texas","New York","California"}, 0)) * Assumptions!$C$9 -
            SUMIF(C$2:C159, C160, D$2:D160)) /
            (1 + EXP(-0.2 * (B160 - INDEX(Assumptions!$C$3:$C$7, MATCH(C160, {"Virginia","Florida","Texas","New York","California"}, 0)) - 30))),
            0
        )
    )
)</f>
        <v>334</v>
      </c>
      <c r="E160" s="62">
        <f>IF(B160&lt;INDEX(Assumptions!$C$3:$C$7, MATCH(C160, {"Virginia","Florida","Texas","New York","California"}, 0)),
    0,
    IF(F160=0,
        0,
        F160 * Assumptions!$C$12
    )
)</f>
        <v>13.104166666666666</v>
      </c>
      <c r="F160" s="62" cm="1">
        <f t="array" ref="F160">IF(B160&lt;INDEX(Assumptions!$C$3:$C$7, MATCH(C160, {"Virginia","Florida","Texas","New York","California"}, 0)),
    0,
    IF(C160=C159,
        F159 + D160,
        IF(COUNTIF($C$2:C160, C160) = 1, D160, LOOKUP(2, 1/(C$1:C159=C160), F$1:F159) + D160)
    )
)</f>
        <v>3145</v>
      </c>
      <c r="G160" s="62" cm="1">
        <f t="array" ref="G160">IF(B160&lt;INDEX(Assumptions!$C$3:$C$7, MATCH(C160, {"Virginia","Florida","Texas","New York","California"}, 0)),
    0,
    IF(C160=C159,
        G159 + D160 - E160,
        IF(COUNTIF($C$2:C160, C160) = 1, D160, LOOKUP(2, 1/(C$1:C159=C160), G$1:G159) + D160 - E160)
    )
)</f>
        <v>3052.0833333333335</v>
      </c>
      <c r="H160" s="63">
        <f>IF(B160&lt;INDEX(Assumptions!$C$3:$C$7, MATCH(C160, {"Virginia","Florida","Texas","New York","California"}, 0)),
    0,
    (G160 / INDEX(Assumptions!$C$15:$C$19, MATCH(C160, {"Virginia","Florida","Texas","New York","California"}, 0)))
)</f>
        <v>5.0868055555555555E-2</v>
      </c>
      <c r="I160" s="43">
        <f>G160*'Unit Economics'!$B$19* INDEX(Assumptions!$C$38:$C$42, MATCH(C160, {"Virginia","Florida","Texas","New York","California"}, 0))</f>
        <v>793671.07500000007</v>
      </c>
      <c r="J160" s="43">
        <f>D160*Assumptions!$C$21*INDEX(Assumptions!$C$38:$C$42,MATCH(C160,{"Virginia","Florida","Texas","New York","California"},0))</f>
        <v>92326.284000000014</v>
      </c>
      <c r="K160" s="43">
        <f>G160/Assumptions!$C$22*('Unit Economics'!$F$24+'Unit Economics'!$F$25+'Unit Economics'!$F$26)</f>
        <v>145535.00306372551</v>
      </c>
      <c r="L160" s="43">
        <f>D160*Assumptions!$C$29</f>
        <v>61790</v>
      </c>
      <c r="M160" s="35">
        <f>G160*Assumptions!$C$27</f>
        <v>0</v>
      </c>
      <c r="N160" s="35">
        <f>G160*Assumptions!$C$28</f>
        <v>0</v>
      </c>
      <c r="O160" s="64">
        <f>IF( COUNTIF($B$2:B160, B160) = 1, MIN( Assumptions!$C$34 + INT(SUMIF($B$2:$B160, B160, G$2:G160) / 1000) * Assumptions!$C$37, Assumptions!$C$36 ), 0 )</f>
        <v>90000</v>
      </c>
      <c r="P160" s="53">
        <f t="shared" si="7"/>
        <v>879742.3620637256</v>
      </c>
      <c r="Q160" s="52">
        <f t="shared" si="8"/>
        <v>93785717.983831048</v>
      </c>
    </row>
    <row r="161" spans="1:17">
      <c r="A161" s="2">
        <f t="shared" si="6"/>
        <v>4</v>
      </c>
      <c r="B161" s="2">
        <v>47</v>
      </c>
      <c r="C161" s="2" t="s">
        <v>93</v>
      </c>
      <c r="D161" s="62">
        <f>IF(
    B161 &lt; INDEX(Assumptions!$C$3:$C$7, MATCH(C161, {"Virginia","Florida","Texas","New York","California"}, 0)),
    0,
    IF(
        B161 = INDEX(Assumptions!$C$3:$C$7, MATCH(C161, {"Virginia","Florida","Texas","New York","California"}, 0)),
        IF(C161 = "Virginia", Assumptions!$C$13, Assumptions!$C$14),
        ROUND(
            (INDEX(Assumptions!$C$15:$C$19, MATCH(C161, {"Virginia","Florida","Texas","New York","California"}, 0)) * Assumptions!$C$9 -
            SUMIF(C$2:C160, C161, D$2:D161)) /
            (1 + EXP(-0.2 * (B161 - INDEX(Assumptions!$C$3:$C$7, MATCH(C161, {"Virginia","Florida","Texas","New York","California"}, 0)) - 30))),
            0
        )
    )
)</f>
        <v>505</v>
      </c>
      <c r="E161" s="62">
        <f>IF(B161&lt;INDEX(Assumptions!$C$3:$C$7, MATCH(C161, {"Virginia","Florida","Texas","New York","California"}, 0)),
    0,
    IF(F161=0,
        0,
        F161 * Assumptions!$C$12
    )
)</f>
        <v>19.583333333333332</v>
      </c>
      <c r="F161" s="62" cm="1">
        <f t="array" ref="F161">IF(B161&lt;INDEX(Assumptions!$C$3:$C$7, MATCH(C161, {"Virginia","Florida","Texas","New York","California"}, 0)),
    0,
    IF(C161=C160,
        F160 + D161,
        IF(COUNTIF($C$2:C161, C161) = 1, D161, LOOKUP(2, 1/(C$1:C160=C161), F$1:F160) + D161)
    )
)</f>
        <v>4700</v>
      </c>
      <c r="G161" s="62" cm="1">
        <f t="array" ref="G161">IF(B161&lt;INDEX(Assumptions!$C$3:$C$7, MATCH(C161, {"Virginia","Florida","Texas","New York","California"}, 0)),
    0,
    IF(C161=C160,
        G160 + D161 - E161,
        IF(COUNTIF($C$2:C161, C161) = 1, D161, LOOKUP(2, 1/(C$1:C160=C161), G$1:G160) + D161 - E161)
    )
)</f>
        <v>4564.2875000000013</v>
      </c>
      <c r="H161" s="63">
        <f>IF(B161&lt;INDEX(Assumptions!$C$3:$C$7, MATCH(C161, {"Virginia","Florida","Texas","New York","California"}, 0)),
    0,
    (G161 / INDEX(Assumptions!$C$15:$C$19, MATCH(C161, {"Virginia","Florida","Texas","New York","California"}, 0)))
)</f>
        <v>5.0714305555555568E-2</v>
      </c>
      <c r="I161" s="43">
        <f>G161*'Unit Economics'!$B$19* INDEX(Assumptions!$C$38:$C$42, MATCH(C161, {"Virginia","Florida","Texas","New York","California"}, 0))</f>
        <v>1208888.0586750004</v>
      </c>
      <c r="J161" s="43">
        <f>D161*Assumptions!$C$21*INDEX(Assumptions!$C$38:$C$42,MATCH(C161,{"Virginia","Florida","Texas","New York","California"},0))</f>
        <v>142180.22500000001</v>
      </c>
      <c r="K161" s="43">
        <f>G161/Assumptions!$C$22*('Unit Economics'!$F$24+'Unit Economics'!$F$25+'Unit Economics'!$F$26)</f>
        <v>217642.67968750009</v>
      </c>
      <c r="L161" s="43">
        <f>D161*Assumptions!$C$29</f>
        <v>93425</v>
      </c>
      <c r="M161" s="35">
        <f>G161*Assumptions!$C$27</f>
        <v>0</v>
      </c>
      <c r="N161" s="35">
        <f>G161*Assumptions!$C$28</f>
        <v>0</v>
      </c>
      <c r="O161" s="64">
        <f>IF( COUNTIF($B$2:B161, B161) = 1, MIN( Assumptions!$C$34 + INT(SUMIF($B$2:$B161, B161, G$2:G161) / 1000) * Assumptions!$C$37, Assumptions!$C$36 ), 0 )</f>
        <v>0</v>
      </c>
      <c r="P161" s="53">
        <f t="shared" si="7"/>
        <v>1475285.9633625005</v>
      </c>
      <c r="Q161" s="52">
        <f t="shared" si="8"/>
        <v>95261003.947193548</v>
      </c>
    </row>
    <row r="162" spans="1:17">
      <c r="A162" s="2">
        <f t="shared" si="6"/>
        <v>4</v>
      </c>
      <c r="B162" s="2">
        <v>47</v>
      </c>
      <c r="C162" s="2" t="s">
        <v>90</v>
      </c>
      <c r="D162" s="62">
        <f>IF(
    B162 &lt; INDEX(Assumptions!$C$3:$C$7, MATCH(C162, {"Virginia","Florida","Texas","New York","California"}, 0)),
    0,
    IF(
        B162 = INDEX(Assumptions!$C$3:$C$7, MATCH(C162, {"Virginia","Florida","Texas","New York","California"}, 0)),
        IF(C162 = "Virginia", Assumptions!$C$13, Assumptions!$C$14),
        ROUND(
            (INDEX(Assumptions!$C$15:$C$19, MATCH(C162, {"Virginia","Florida","Texas","New York","California"}, 0)) * Assumptions!$C$9 -
            SUMIF(C$2:C161, C162, D$2:D162)) /
            (1 + EXP(-0.2 * (B162 - INDEX(Assumptions!$C$3:$C$7, MATCH(C162, {"Virginia","Florida","Texas","New York","California"}, 0)) - 30))),
            0
        )
    )
)</f>
        <v>3</v>
      </c>
      <c r="E162" s="62">
        <f>IF(B162&lt;INDEX(Assumptions!$C$3:$C$7, MATCH(C162, {"Virginia","Florida","Texas","New York","California"}, 0)),
    0,
    IF(F162=0,
        0,
        F162 * Assumptions!$C$12
    )
)</f>
        <v>23.329166666666666</v>
      </c>
      <c r="F162" s="62" cm="1">
        <f t="array" ref="F162">IF(B162&lt;INDEX(Assumptions!$C$3:$C$7, MATCH(C162, {"Virginia","Florida","Texas","New York","California"}, 0)),
    0,
    IF(C162=C161,
        F161 + D162,
        IF(COUNTIF($C$2:C162, C162) = 1, D162, LOOKUP(2, 1/(C$1:C161=C162), F$1:F161) + D162)
    )
)</f>
        <v>5599</v>
      </c>
      <c r="G162" s="62" cm="1">
        <f t="array" ref="G162">IF(B162&lt;INDEX(Assumptions!$C$3:$C$7, MATCH(C162, {"Virginia","Florida","Texas","New York","California"}, 0)),
    0,
    IF(C162=C161,
        G161 + D162 - E162,
        IF(COUNTIF($C$2:C162, C162) = 1, D162, LOOKUP(2, 1/(C$1:C161=C162), G$1:G161) + D162 - E162)
    )
)</f>
        <v>5232.9583333333339</v>
      </c>
      <c r="H162" s="63">
        <f>IF(B162&lt;INDEX(Assumptions!$C$3:$C$7, MATCH(C162, {"Virginia","Florida","Texas","New York","California"}, 0)),
    0,
    (G162 / INDEX(Assumptions!$C$15:$C$19, MATCH(C162, {"Virginia","Florida","Texas","New York","California"}, 0)))
)</f>
        <v>7.4756547619047625E-2</v>
      </c>
      <c r="I162" s="43">
        <f>G162*'Unit Economics'!$B$19* INDEX(Assumptions!$C$38:$C$42, MATCH(C162, {"Virginia","Florida","Texas","New York","California"}, 0))</f>
        <v>1322991.2928750003</v>
      </c>
      <c r="J162" s="43">
        <f>D162*Assumptions!$C$21*INDEX(Assumptions!$C$38:$C$42,MATCH(C162,{"Virginia","Florida","Texas","New York","California"},0))</f>
        <v>806.24249999999995</v>
      </c>
      <c r="K162" s="43">
        <f>G162/Assumptions!$C$22*('Unit Economics'!$F$24+'Unit Economics'!$F$25+'Unit Economics'!$F$26)</f>
        <v>249527.46170343141</v>
      </c>
      <c r="L162" s="43">
        <f>D162*Assumptions!$C$29</f>
        <v>555</v>
      </c>
      <c r="M162" s="35">
        <f>G162*Assumptions!$C$27</f>
        <v>0</v>
      </c>
      <c r="N162" s="35">
        <f>G162*Assumptions!$C$28</f>
        <v>0</v>
      </c>
      <c r="O162" s="64">
        <f>IF( COUNTIF($B$2:B162, B162) = 1, MIN( Assumptions!$C$34 + INT(SUMIF($B$2:$B162, B162, G$2:G162) / 1000) * Assumptions!$C$37, Assumptions!$C$36 ), 0 )</f>
        <v>0</v>
      </c>
      <c r="P162" s="53">
        <f t="shared" si="7"/>
        <v>1572769.9970784315</v>
      </c>
      <c r="Q162" s="52">
        <f t="shared" si="8"/>
        <v>96833773.944271982</v>
      </c>
    </row>
    <row r="163" spans="1:17">
      <c r="A163" s="2">
        <f t="shared" si="6"/>
        <v>4</v>
      </c>
      <c r="B163" s="2">
        <v>47</v>
      </c>
      <c r="C163" s="2" t="s">
        <v>91</v>
      </c>
      <c r="D163" s="62">
        <f>IF(
    B163 &lt; INDEX(Assumptions!$C$3:$C$7, MATCH(C163, {"Virginia","Florida","Texas","New York","California"}, 0)),
    0,
    IF(
        B163 = INDEX(Assumptions!$C$3:$C$7, MATCH(C163, {"Virginia","Florida","Texas","New York","California"}, 0)),
        IF(C163 = "Virginia", Assumptions!$C$13, Assumptions!$C$14),
        ROUND(
            (INDEX(Assumptions!$C$15:$C$19, MATCH(C163, {"Virginia","Florida","Texas","New York","California"}, 0)) * Assumptions!$C$9 -
            SUMIF(C$2:C162, C163, D$2:D163)) /
            (1 + EXP(-0.2 * (B163 - INDEX(Assumptions!$C$3:$C$7, MATCH(C163, {"Virginia","Florida","Texas","New York","California"}, 0)) - 30))),
            0
        )
    )
)</f>
        <v>3</v>
      </c>
      <c r="E163" s="62">
        <f>IF(B163&lt;INDEX(Assumptions!$C$3:$C$7, MATCH(C163, {"Virginia","Florida","Texas","New York","California"}, 0)),
    0,
    IF(F163=0,
        0,
        F163 * Assumptions!$C$12
    )
)</f>
        <v>26.658333333333331</v>
      </c>
      <c r="F163" s="62" cm="1">
        <f t="array" ref="F163">IF(B163&lt;INDEX(Assumptions!$C$3:$C$7, MATCH(C163, {"Virginia","Florida","Texas","New York","California"}, 0)),
    0,
    IF(C163=C162,
        F162 + D163,
        IF(COUNTIF($C$2:C163, C163) = 1, D163, LOOKUP(2, 1/(C$1:C162=C163), F$1:F162) + D163)
    )
)</f>
        <v>6398</v>
      </c>
      <c r="G163" s="62" cm="1">
        <f t="array" ref="G163">IF(B163&lt;INDEX(Assumptions!$C$3:$C$7, MATCH(C163, {"Virginia","Florida","Texas","New York","California"}, 0)),
    0,
    IF(C163=C162,
        G162 + D163 - E163,
        IF(COUNTIF($C$2:C163, C163) = 1, D163, LOOKUP(2, 1/(C$1:C162=C163), G$1:G162) + D163 - E163)
    )
)</f>
        <v>5980.8541666666661</v>
      </c>
      <c r="H163" s="63">
        <f>IF(B163&lt;INDEX(Assumptions!$C$3:$C$7, MATCH(C163, {"Virginia","Florida","Texas","New York","California"}, 0)),
    0,
    (G163 / INDEX(Assumptions!$C$15:$C$19, MATCH(C163, {"Virginia","Florida","Texas","New York","California"}, 0)))
)</f>
        <v>7.4760677083333324E-2</v>
      </c>
      <c r="I163" s="43">
        <f>G163*'Unit Economics'!$B$19* INDEX(Assumptions!$C$38:$C$42, MATCH(C163, {"Virginia","Florida","Texas","New York","California"}, 0))</f>
        <v>1483272.1682374999</v>
      </c>
      <c r="J163" s="43">
        <f>D163*Assumptions!$C$21*INDEX(Assumptions!$C$38:$C$42,MATCH(C163,{"Virginia","Florida","Texas","New York","California"},0))</f>
        <v>790.88549999999998</v>
      </c>
      <c r="K163" s="43">
        <f>G163/Assumptions!$C$22*('Unit Economics'!$F$24+'Unit Economics'!$F$25+'Unit Economics'!$F$26)</f>
        <v>285189.99463848042</v>
      </c>
      <c r="L163" s="43">
        <f>D163*Assumptions!$C$29</f>
        <v>555</v>
      </c>
      <c r="M163" s="35">
        <f>G163*Assumptions!$C$27</f>
        <v>0</v>
      </c>
      <c r="N163" s="35">
        <f>G163*Assumptions!$C$28</f>
        <v>0</v>
      </c>
      <c r="O163" s="64">
        <f>IF( COUNTIF($B$2:B163, B163) = 1, MIN( Assumptions!$C$34 + INT(SUMIF($B$2:$B163, B163, G$2:G163) / 1000) * Assumptions!$C$37, Assumptions!$C$36 ), 0 )</f>
        <v>0</v>
      </c>
      <c r="P163" s="53">
        <f t="shared" si="7"/>
        <v>1768698.0483759805</v>
      </c>
      <c r="Q163" s="52">
        <f t="shared" si="8"/>
        <v>98602471.992647961</v>
      </c>
    </row>
    <row r="164" spans="1:17">
      <c r="A164" s="2">
        <f t="shared" si="6"/>
        <v>4</v>
      </c>
      <c r="B164" s="2">
        <v>47</v>
      </c>
      <c r="C164" s="2" t="s">
        <v>89</v>
      </c>
      <c r="D164" s="62">
        <f>IF(
    B164 &lt; INDEX(Assumptions!$C$3:$C$7, MATCH(C164, {"Virginia","Florida","Texas","New York","California"}, 0)),
    0,
    IF(
        B164 = INDEX(Assumptions!$C$3:$C$7, MATCH(C164, {"Virginia","Florida","Texas","New York","California"}, 0)),
        IF(C164 = "Virginia", Assumptions!$C$13, Assumptions!$C$14),
        ROUND(
            (INDEX(Assumptions!$C$15:$C$19, MATCH(C164, {"Virginia","Florida","Texas","New York","California"}, 0)) * Assumptions!$C$9 -
            SUMIF(C$2:C163, C164, D$2:D164)) /
            (1 + EXP(-0.2 * (B164 - INDEX(Assumptions!$C$3:$C$7, MATCH(C164, {"Virginia","Florida","Texas","New York","California"}, 0)) - 30))),
            0
        )
    )
)</f>
        <v>0</v>
      </c>
      <c r="E164" s="62">
        <f>IF(B164&lt;INDEX(Assumptions!$C$3:$C$7, MATCH(C164, {"Virginia","Florida","Texas","New York","California"}, 0)),
    0,
    IF(F164=0,
        0,
        F164 * Assumptions!$C$12
    )
)</f>
        <v>16.666666666666668</v>
      </c>
      <c r="F164" s="62" cm="1">
        <f t="array" ref="F164">IF(B164&lt;INDEX(Assumptions!$C$3:$C$7, MATCH(C164, {"Virginia","Florida","Texas","New York","California"}, 0)),
    0,
    IF(C164=C163,
        F163 + D164,
        IF(COUNTIF($C$2:C164, C164) = 1, D164, LOOKUP(2, 1/(C$1:C163=C164), F$1:F163) + D164)
    )
)</f>
        <v>4000</v>
      </c>
      <c r="G164" s="62" cm="1">
        <f t="array" ref="G164">IF(B164&lt;INDEX(Assumptions!$C$3:$C$7, MATCH(C164, {"Virginia","Florida","Texas","New York","California"}, 0)),
    0,
    IF(C164=C163,
        G163 + D164 - E164,
        IF(COUNTIF($C$2:C164, C164) = 1, D164, LOOKUP(2, 1/(C$1:C163=C164), G$1:G163) + D164 - E164)
    )
)</f>
        <v>3540.2875000000017</v>
      </c>
      <c r="H164" s="63">
        <f>IF(B164&lt;INDEX(Assumptions!$C$3:$C$7, MATCH(C164, {"Virginia","Florida","Texas","New York","California"}, 0)),
    0,
    (G164 / INDEX(Assumptions!$C$15:$C$19, MATCH(C164, {"Virginia","Florida","Texas","New York","California"}, 0)))
)</f>
        <v>7.0805750000000028E-2</v>
      </c>
      <c r="I164" s="43">
        <f>G164*'Unit Economics'!$B$19* INDEX(Assumptions!$C$38:$C$42, MATCH(C164, {"Virginia","Florida","Texas","New York","California"}, 0))</f>
        <v>852430.42425000039</v>
      </c>
      <c r="J164" s="43">
        <f>D164*Assumptions!$C$21*INDEX(Assumptions!$C$38:$C$42,MATCH(C164,{"Virginia","Florida","Texas","New York","California"},0))</f>
        <v>0</v>
      </c>
      <c r="K164" s="43">
        <f>G164/Assumptions!$C$22*('Unit Economics'!$F$24+'Unit Economics'!$F$25+'Unit Economics'!$F$26)</f>
        <v>168814.44439338247</v>
      </c>
      <c r="L164" s="43">
        <f>D164*Assumptions!$C$29</f>
        <v>0</v>
      </c>
      <c r="M164" s="35">
        <f>G164*Assumptions!$C$27</f>
        <v>0</v>
      </c>
      <c r="N164" s="35">
        <f>G164*Assumptions!$C$28</f>
        <v>0</v>
      </c>
      <c r="O164" s="64">
        <f>IF( COUNTIF($B$2:B164, B164) = 1, MIN( Assumptions!$C$34 + INT(SUMIF($B$2:$B164, B164, G$2:G164) / 1000) * Assumptions!$C$37, Assumptions!$C$36 ), 0 )</f>
        <v>0</v>
      </c>
      <c r="P164" s="53">
        <f t="shared" si="7"/>
        <v>1021244.8686433828</v>
      </c>
      <c r="Q164" s="52">
        <f t="shared" si="8"/>
        <v>99623716.861291349</v>
      </c>
    </row>
    <row r="165" spans="1:17">
      <c r="A165" s="2">
        <f t="shared" si="6"/>
        <v>4</v>
      </c>
      <c r="B165" s="2">
        <v>48</v>
      </c>
      <c r="C165" s="2" t="s">
        <v>92</v>
      </c>
      <c r="D165" s="62">
        <f>IF(
    B165 &lt; INDEX(Assumptions!$C$3:$C$7, MATCH(C165, {"Virginia","Florida","Texas","New York","California"}, 0)),
    0,
    IF(
        B165 = INDEX(Assumptions!$C$3:$C$7, MATCH(C165, {"Virginia","Florida","Texas","New York","California"}, 0)),
        IF(C165 = "Virginia", Assumptions!$C$13, Assumptions!$C$14),
        ROUND(
            (INDEX(Assumptions!$C$15:$C$19, MATCH(C165, {"Virginia","Florida","Texas","New York","California"}, 0)) * Assumptions!$C$9 -
            SUMIF(C$2:C164, C165, D$2:D165)) /
            (1 + EXP(-0.2 * (B165 - INDEX(Assumptions!$C$3:$C$7, MATCH(C165, {"Virginia","Florida","Texas","New York","California"}, 0)) - 30))),
            0
        )
    )
)</f>
        <v>327</v>
      </c>
      <c r="E165" s="62">
        <f>IF(B165&lt;INDEX(Assumptions!$C$3:$C$7, MATCH(C165, {"Virginia","Florida","Texas","New York","California"}, 0)),
    0,
    IF(F165=0,
        0,
        F165 * Assumptions!$C$12
    )
)</f>
        <v>14.466666666666667</v>
      </c>
      <c r="F165" s="62" cm="1">
        <f t="array" ref="F165">IF(B165&lt;INDEX(Assumptions!$C$3:$C$7, MATCH(C165, {"Virginia","Florida","Texas","New York","California"}, 0)),
    0,
    IF(C165=C164,
        F164 + D165,
        IF(COUNTIF($C$2:C165, C165) = 1, D165, LOOKUP(2, 1/(C$1:C164=C165), F$1:F164) + D165)
    )
)</f>
        <v>3472</v>
      </c>
      <c r="G165" s="62" cm="1">
        <f t="array" ref="G165">IF(B165&lt;INDEX(Assumptions!$C$3:$C$7, MATCH(C165, {"Virginia","Florida","Texas","New York","California"}, 0)),
    0,
    IF(C165=C164,
        G164 + D165 - E165,
        IF(COUNTIF($C$2:C165, C165) = 1, D165, LOOKUP(2, 1/(C$1:C164=C165), G$1:G164) + D165 - E165)
    )
)</f>
        <v>3364.6166666666668</v>
      </c>
      <c r="H165" s="63">
        <f>IF(B165&lt;INDEX(Assumptions!$C$3:$C$7, MATCH(C165, {"Virginia","Florida","Texas","New York","California"}, 0)),
    0,
    (G165 / INDEX(Assumptions!$C$15:$C$19, MATCH(C165, {"Virginia","Florida","Texas","New York","California"}, 0)))
)</f>
        <v>5.6076944444444443E-2</v>
      </c>
      <c r="I165" s="43">
        <f>G165*'Unit Economics'!$B$19* INDEX(Assumptions!$C$38:$C$42, MATCH(C165, {"Virginia","Florida","Texas","New York","California"}, 0))</f>
        <v>874942.99308000016</v>
      </c>
      <c r="J165" s="43">
        <f>D165*Assumptions!$C$21*INDEX(Assumptions!$C$38:$C$42,MATCH(C165,{"Virginia","Florida","Texas","New York","California"},0))</f>
        <v>90391.301999999996</v>
      </c>
      <c r="K165" s="43">
        <f>G165/Assumptions!$C$22*('Unit Economics'!$F$24+'Unit Economics'!$F$25+'Unit Economics'!$F$26)</f>
        <v>160437.78737745099</v>
      </c>
      <c r="L165" s="43">
        <f>D165*Assumptions!$C$29</f>
        <v>60495</v>
      </c>
      <c r="M165" s="35">
        <f>G165*Assumptions!$C$27</f>
        <v>0</v>
      </c>
      <c r="N165" s="35">
        <f>G165*Assumptions!$C$28</f>
        <v>0</v>
      </c>
      <c r="O165" s="64">
        <f>IF( COUNTIF($B$2:B165, B165) = 1, MIN( Assumptions!$C$34 + INT(SUMIF($B$2:$B165, B165, G$2:G165) / 1000) * Assumptions!$C$37, Assumptions!$C$36 ), 0 )</f>
        <v>90000</v>
      </c>
      <c r="P165" s="53">
        <f t="shared" si="7"/>
        <v>975277.08245745115</v>
      </c>
      <c r="Q165" s="52">
        <f t="shared" si="8"/>
        <v>100598993.9437488</v>
      </c>
    </row>
    <row r="166" spans="1:17">
      <c r="A166" s="2">
        <f t="shared" si="6"/>
        <v>4</v>
      </c>
      <c r="B166" s="2">
        <v>48</v>
      </c>
      <c r="C166" s="2" t="s">
        <v>93</v>
      </c>
      <c r="D166" s="62">
        <f>IF(
    B166 &lt; INDEX(Assumptions!$C$3:$C$7, MATCH(C166, {"Virginia","Florida","Texas","New York","California"}, 0)),
    0,
    IF(
        B166 = INDEX(Assumptions!$C$3:$C$7, MATCH(C166, {"Virginia","Florida","Texas","New York","California"}, 0)),
        IF(C166 = "Virginia", Assumptions!$C$13, Assumptions!$C$14),
        ROUND(
            (INDEX(Assumptions!$C$15:$C$19, MATCH(C166, {"Virginia","Florida","Texas","New York","California"}, 0)) * Assumptions!$C$9 -
            SUMIF(C$2:C165, C166, D$2:D166)) /
            (1 + EXP(-0.2 * (B166 - INDEX(Assumptions!$C$3:$C$7, MATCH(C166, {"Virginia","Florida","Texas","New York","California"}, 0)) - 30))),
            0
        )
    )
)</f>
        <v>495</v>
      </c>
      <c r="E166" s="62">
        <f>IF(B166&lt;INDEX(Assumptions!$C$3:$C$7, MATCH(C166, {"Virginia","Florida","Texas","New York","California"}, 0)),
    0,
    IF(F166=0,
        0,
        F166 * Assumptions!$C$12
    )
)</f>
        <v>21.645833333333332</v>
      </c>
      <c r="F166" s="62" cm="1">
        <f t="array" ref="F166">IF(B166&lt;INDEX(Assumptions!$C$3:$C$7, MATCH(C166, {"Virginia","Florida","Texas","New York","California"}, 0)),
    0,
    IF(C166=C165,
        F165 + D166,
        IF(COUNTIF($C$2:C166, C166) = 1, D166, LOOKUP(2, 1/(C$1:C165=C166), F$1:F165) + D166)
    )
)</f>
        <v>5195</v>
      </c>
      <c r="G166" s="62" cm="1">
        <f t="array" ref="G166">IF(B166&lt;INDEX(Assumptions!$C$3:$C$7, MATCH(C166, {"Virginia","Florida","Texas","New York","California"}, 0)),
    0,
    IF(C166=C165,
        G165 + D166 - E166,
        IF(COUNTIF($C$2:C166, C166) = 1, D166, LOOKUP(2, 1/(C$1:C165=C166), G$1:G165) + D166 - E166)
    )
)</f>
        <v>5037.6416666666682</v>
      </c>
      <c r="H166" s="63">
        <f>IF(B166&lt;INDEX(Assumptions!$C$3:$C$7, MATCH(C166, {"Virginia","Florida","Texas","New York","California"}, 0)),
    0,
    (G166 / INDEX(Assumptions!$C$15:$C$19, MATCH(C166, {"Virginia","Florida","Texas","New York","California"}, 0)))
)</f>
        <v>5.5973796296296313E-2</v>
      </c>
      <c r="I166" s="43">
        <f>G166*'Unit Economics'!$B$19* INDEX(Assumptions!$C$38:$C$42, MATCH(C166, {"Virginia","Florida","Texas","New York","California"}, 0))</f>
        <v>1334259.6965500005</v>
      </c>
      <c r="J166" s="43">
        <f>D166*Assumptions!$C$21*INDEX(Assumptions!$C$38:$C$42,MATCH(C166,{"Virginia","Florida","Texas","New York","California"},0))</f>
        <v>139364.77500000002</v>
      </c>
      <c r="K166" s="43">
        <f>G166/Assumptions!$C$22*('Unit Economics'!$F$24+'Unit Economics'!$F$25+'Unit Economics'!$F$26)</f>
        <v>240214.01623774521</v>
      </c>
      <c r="L166" s="43">
        <f>D166*Assumptions!$C$29</f>
        <v>91575</v>
      </c>
      <c r="M166" s="35">
        <f>G166*Assumptions!$C$27</f>
        <v>0</v>
      </c>
      <c r="N166" s="35">
        <f>G166*Assumptions!$C$28</f>
        <v>0</v>
      </c>
      <c r="O166" s="64">
        <f>IF( COUNTIF($B$2:B166, B166) = 1, MIN( Assumptions!$C$34 + INT(SUMIF($B$2:$B166, B166, G$2:G166) / 1000) * Assumptions!$C$37, Assumptions!$C$36 ), 0 )</f>
        <v>0</v>
      </c>
      <c r="P166" s="53">
        <f t="shared" si="7"/>
        <v>1622263.4877877457</v>
      </c>
      <c r="Q166" s="52">
        <f t="shared" si="8"/>
        <v>102221257.43153654</v>
      </c>
    </row>
    <row r="167" spans="1:17">
      <c r="A167" s="2">
        <f t="shared" si="6"/>
        <v>4</v>
      </c>
      <c r="B167" s="2">
        <v>48</v>
      </c>
      <c r="C167" s="2" t="s">
        <v>90</v>
      </c>
      <c r="D167" s="62">
        <f>IF(
    B167 &lt; INDEX(Assumptions!$C$3:$C$7, MATCH(C167, {"Virginia","Florida","Texas","New York","California"}, 0)),
    0,
    IF(
        B167 = INDEX(Assumptions!$C$3:$C$7, MATCH(C167, {"Virginia","Florida","Texas","New York","California"}, 0)),
        IF(C167 = "Virginia", Assumptions!$C$13, Assumptions!$C$14),
        ROUND(
            (INDEX(Assumptions!$C$15:$C$19, MATCH(C167, {"Virginia","Florida","Texas","New York","California"}, 0)) * Assumptions!$C$9 -
            SUMIF(C$2:C166, C167, D$2:D167)) /
            (1 + EXP(-0.2 * (B167 - INDEX(Assumptions!$C$3:$C$7, MATCH(C167, {"Virginia","Florida","Texas","New York","California"}, 0)) - 30))),
            0
        )
    )
)</f>
        <v>1</v>
      </c>
      <c r="E167" s="62">
        <f>IF(B167&lt;INDEX(Assumptions!$C$3:$C$7, MATCH(C167, {"Virginia","Florida","Texas","New York","California"}, 0)),
    0,
    IF(F167=0,
        0,
        F167 * Assumptions!$C$12
    )
)</f>
        <v>23.333333333333332</v>
      </c>
      <c r="F167" s="62" cm="1">
        <f t="array" ref="F167">IF(B167&lt;INDEX(Assumptions!$C$3:$C$7, MATCH(C167, {"Virginia","Florida","Texas","New York","California"}, 0)),
    0,
    IF(C167=C166,
        F166 + D167,
        IF(COUNTIF($C$2:C167, C167) = 1, D167, LOOKUP(2, 1/(C$1:C166=C167), F$1:F166) + D167)
    )
)</f>
        <v>5600</v>
      </c>
      <c r="G167" s="62" cm="1">
        <f t="array" ref="G167">IF(B167&lt;INDEX(Assumptions!$C$3:$C$7, MATCH(C167, {"Virginia","Florida","Texas","New York","California"}, 0)),
    0,
    IF(C167=C166,
        G166 + D167 - E167,
        IF(COUNTIF($C$2:C167, C167) = 1, D167, LOOKUP(2, 1/(C$1:C166=C167), G$1:G166) + D167 - E167)
    )
)</f>
        <v>5210.6250000000009</v>
      </c>
      <c r="H167" s="63">
        <f>IF(B167&lt;INDEX(Assumptions!$C$3:$C$7, MATCH(C167, {"Virginia","Florida","Texas","New York","California"}, 0)),
    0,
    (G167 / INDEX(Assumptions!$C$15:$C$19, MATCH(C167, {"Virginia","Florida","Texas","New York","California"}, 0)))
)</f>
        <v>7.4437500000000018E-2</v>
      </c>
      <c r="I167" s="43">
        <f>G167*'Unit Economics'!$B$19* INDEX(Assumptions!$C$38:$C$42, MATCH(C167, {"Virginia","Florida","Texas","New York","California"}, 0))</f>
        <v>1317345.0018750003</v>
      </c>
      <c r="J167" s="43">
        <f>D167*Assumptions!$C$21*INDEX(Assumptions!$C$38:$C$42,MATCH(C167,{"Virginia","Florida","Texas","New York","California"},0))</f>
        <v>268.7475</v>
      </c>
      <c r="K167" s="43">
        <f>G167/Assumptions!$C$22*('Unit Economics'!$F$24+'Unit Economics'!$F$25+'Unit Economics'!$F$26)</f>
        <v>248462.52297794123</v>
      </c>
      <c r="L167" s="43">
        <f>D167*Assumptions!$C$29</f>
        <v>185</v>
      </c>
      <c r="M167" s="35">
        <f>G167*Assumptions!$C$27</f>
        <v>0</v>
      </c>
      <c r="N167" s="35">
        <f>G167*Assumptions!$C$28</f>
        <v>0</v>
      </c>
      <c r="O167" s="64">
        <f>IF( COUNTIF($B$2:B167, B167) = 1, MIN( Assumptions!$C$34 + INT(SUMIF($B$2:$B167, B167, G$2:G167) / 1000) * Assumptions!$C$37, Assumptions!$C$36 ), 0 )</f>
        <v>0</v>
      </c>
      <c r="P167" s="53">
        <f t="shared" si="7"/>
        <v>1565891.2723529416</v>
      </c>
      <c r="Q167" s="52">
        <f t="shared" si="8"/>
        <v>103787148.70388949</v>
      </c>
    </row>
    <row r="168" spans="1:17">
      <c r="A168" s="2">
        <f t="shared" si="6"/>
        <v>4</v>
      </c>
      <c r="B168" s="2">
        <v>48</v>
      </c>
      <c r="C168" s="2" t="s">
        <v>91</v>
      </c>
      <c r="D168" s="62">
        <f>IF(
    B168 &lt; INDEX(Assumptions!$C$3:$C$7, MATCH(C168, {"Virginia","Florida","Texas","New York","California"}, 0)),
    0,
    IF(
        B168 = INDEX(Assumptions!$C$3:$C$7, MATCH(C168, {"Virginia","Florida","Texas","New York","California"}, 0)),
        IF(C168 = "Virginia", Assumptions!$C$13, Assumptions!$C$14),
        ROUND(
            (INDEX(Assumptions!$C$15:$C$19, MATCH(C168, {"Virginia","Florida","Texas","New York","California"}, 0)) * Assumptions!$C$9 -
            SUMIF(C$2:C167, C168, D$2:D168)) /
            (1 + EXP(-0.2 * (B168 - INDEX(Assumptions!$C$3:$C$7, MATCH(C168, {"Virginia","Florida","Texas","New York","California"}, 0)) - 30))),
            0
        )
    )
)</f>
        <v>1</v>
      </c>
      <c r="E168" s="62">
        <f>IF(B168&lt;INDEX(Assumptions!$C$3:$C$7, MATCH(C168, {"Virginia","Florida","Texas","New York","California"}, 0)),
    0,
    IF(F168=0,
        0,
        F168 * Assumptions!$C$12
    )
)</f>
        <v>26.662499999999998</v>
      </c>
      <c r="F168" s="62" cm="1">
        <f t="array" ref="F168">IF(B168&lt;INDEX(Assumptions!$C$3:$C$7, MATCH(C168, {"Virginia","Florida","Texas","New York","California"}, 0)),
    0,
    IF(C168=C167,
        F167 + D168,
        IF(COUNTIF($C$2:C168, C168) = 1, D168, LOOKUP(2, 1/(C$1:C167=C168), F$1:F167) + D168)
    )
)</f>
        <v>6399</v>
      </c>
      <c r="G168" s="62" cm="1">
        <f t="array" ref="G168">IF(B168&lt;INDEX(Assumptions!$C$3:$C$7, MATCH(C168, {"Virginia","Florida","Texas","New York","California"}, 0)),
    0,
    IF(C168=C167,
        G167 + D168 - E168,
        IF(COUNTIF($C$2:C168, C168) = 1, D168, LOOKUP(2, 1/(C$1:C167=C168), G$1:G167) + D168 - E168)
    )
)</f>
        <v>5955.1916666666657</v>
      </c>
      <c r="H168" s="63">
        <f>IF(B168&lt;INDEX(Assumptions!$C$3:$C$7, MATCH(C168, {"Virginia","Florida","Texas","New York","California"}, 0)),
    0,
    (G168 / INDEX(Assumptions!$C$15:$C$19, MATCH(C168, {"Virginia","Florida","Texas","New York","California"}, 0)))
)</f>
        <v>7.4439895833333325E-2</v>
      </c>
      <c r="I168" s="43">
        <f>G168*'Unit Economics'!$B$19* INDEX(Assumptions!$C$38:$C$42, MATCH(C168, {"Virginia","Florida","Texas","New York","California"}, 0))</f>
        <v>1476907.7809849998</v>
      </c>
      <c r="J168" s="43">
        <f>D168*Assumptions!$C$21*INDEX(Assumptions!$C$38:$C$42,MATCH(C168,{"Virginia","Florida","Texas","New York","California"},0))</f>
        <v>263.62849999999997</v>
      </c>
      <c r="K168" s="43">
        <f>G168/Assumptions!$C$22*('Unit Economics'!$F$24+'Unit Economics'!$F$25+'Unit Economics'!$F$26)</f>
        <v>283966.30851715681</v>
      </c>
      <c r="L168" s="43">
        <f>D168*Assumptions!$C$29</f>
        <v>185</v>
      </c>
      <c r="M168" s="35">
        <f>G168*Assumptions!$C$27</f>
        <v>0</v>
      </c>
      <c r="N168" s="35">
        <f>G168*Assumptions!$C$28</f>
        <v>0</v>
      </c>
      <c r="O168" s="64">
        <f>IF( COUNTIF($B$2:B168, B168) = 1, MIN( Assumptions!$C$34 + INT(SUMIF($B$2:$B168, B168, G$2:G168) / 1000) * Assumptions!$C$37, Assumptions!$C$36 ), 0 )</f>
        <v>0</v>
      </c>
      <c r="P168" s="53">
        <f t="shared" si="7"/>
        <v>1760952.7180021568</v>
      </c>
      <c r="Q168" s="52">
        <f t="shared" si="8"/>
        <v>105548101.42189164</v>
      </c>
    </row>
    <row r="169" spans="1:17">
      <c r="A169" s="2">
        <f t="shared" si="6"/>
        <v>4</v>
      </c>
      <c r="B169" s="2">
        <v>48</v>
      </c>
      <c r="C169" s="2" t="s">
        <v>89</v>
      </c>
      <c r="D169" s="62">
        <f>IF(
    B169 &lt; INDEX(Assumptions!$C$3:$C$7, MATCH(C169, {"Virginia","Florida","Texas","New York","California"}, 0)),
    0,
    IF(
        B169 = INDEX(Assumptions!$C$3:$C$7, MATCH(C169, {"Virginia","Florida","Texas","New York","California"}, 0)),
        IF(C169 = "Virginia", Assumptions!$C$13, Assumptions!$C$14),
        ROUND(
            (INDEX(Assumptions!$C$15:$C$19, MATCH(C169, {"Virginia","Florida","Texas","New York","California"}, 0)) * Assumptions!$C$9 -
            SUMIF(C$2:C168, C169, D$2:D169)) /
            (1 + EXP(-0.2 * (B169 - INDEX(Assumptions!$C$3:$C$7, MATCH(C169, {"Virginia","Florida","Texas","New York","California"}, 0)) - 30))),
            0
        )
    )
)</f>
        <v>0</v>
      </c>
      <c r="E169" s="62">
        <f>IF(B169&lt;INDEX(Assumptions!$C$3:$C$7, MATCH(C169, {"Virginia","Florida","Texas","New York","California"}, 0)),
    0,
    IF(F169=0,
        0,
        F169 * Assumptions!$C$12
    )
)</f>
        <v>16.666666666666668</v>
      </c>
      <c r="F169" s="62" cm="1">
        <f t="array" ref="F169">IF(B169&lt;INDEX(Assumptions!$C$3:$C$7, MATCH(C169, {"Virginia","Florida","Texas","New York","California"}, 0)),
    0,
    IF(C169=C168,
        F168 + D169,
        IF(COUNTIF($C$2:C169, C169) = 1, D169, LOOKUP(2, 1/(C$1:C168=C169), F$1:F168) + D169)
    )
)</f>
        <v>4000</v>
      </c>
      <c r="G169" s="62" cm="1">
        <f t="array" ref="G169">IF(B169&lt;INDEX(Assumptions!$C$3:$C$7, MATCH(C169, {"Virginia","Florida","Texas","New York","California"}, 0)),
    0,
    IF(C169=C168,
        G168 + D169 - E169,
        IF(COUNTIF($C$2:C169, C169) = 1, D169, LOOKUP(2, 1/(C$1:C168=C169), G$1:G168) + D169 - E169)
    )
)</f>
        <v>3523.6208333333352</v>
      </c>
      <c r="H169" s="63">
        <f>IF(B169&lt;INDEX(Assumptions!$C$3:$C$7, MATCH(C169, {"Virginia","Florida","Texas","New York","California"}, 0)),
    0,
    (G169 / INDEX(Assumptions!$C$15:$C$19, MATCH(C169, {"Virginia","Florida","Texas","New York","California"}, 0)))
)</f>
        <v>7.0472416666666704E-2</v>
      </c>
      <c r="I169" s="43">
        <f>G169*'Unit Economics'!$B$19* INDEX(Assumptions!$C$38:$C$42, MATCH(C169, {"Virginia","Florida","Texas","New York","California"}, 0))</f>
        <v>848417.42425000051</v>
      </c>
      <c r="J169" s="43">
        <f>D169*Assumptions!$C$21*INDEX(Assumptions!$C$38:$C$42,MATCH(C169,{"Virginia","Florida","Texas","New York","California"},0))</f>
        <v>0</v>
      </c>
      <c r="K169" s="43">
        <f>G169/Assumptions!$C$22*('Unit Economics'!$F$24+'Unit Economics'!$F$25+'Unit Economics'!$F$26)</f>
        <v>168019.7140012256</v>
      </c>
      <c r="L169" s="43">
        <f>D169*Assumptions!$C$29</f>
        <v>0</v>
      </c>
      <c r="M169" s="35">
        <f>G169*Assumptions!$C$27</f>
        <v>0</v>
      </c>
      <c r="N169" s="35">
        <f>G169*Assumptions!$C$28</f>
        <v>0</v>
      </c>
      <c r="O169" s="64">
        <f>IF( COUNTIF($B$2:B169, B169) = 1, MIN( Assumptions!$C$34 + INT(SUMIF($B$2:$B169, B169, G$2:G169) / 1000) * Assumptions!$C$37, Assumptions!$C$36 ), 0 )</f>
        <v>0</v>
      </c>
      <c r="P169" s="53">
        <f t="shared" si="7"/>
        <v>1016437.1382512262</v>
      </c>
      <c r="Q169" s="52">
        <f t="shared" si="8"/>
        <v>106564538.56014287</v>
      </c>
    </row>
    <row r="170" spans="1:17">
      <c r="A170" s="2">
        <f t="shared" si="6"/>
        <v>5</v>
      </c>
      <c r="B170" s="2">
        <v>49</v>
      </c>
      <c r="C170" s="2" t="s">
        <v>92</v>
      </c>
      <c r="D170" s="62">
        <f>IF(
    B170 &lt; INDEX(Assumptions!$C$3:$C$7, MATCH(C170, {"Virginia","Florida","Texas","New York","California"}, 0)),
    0,
    IF(
        B170 = INDEX(Assumptions!$C$3:$C$7, MATCH(C170, {"Virginia","Florida","Texas","New York","California"}, 0)),
        IF(C170 = "Virginia", Assumptions!$C$13, Assumptions!$C$14),
        ROUND(
            (INDEX(Assumptions!$C$15:$C$19, MATCH(C170, {"Virginia","Florida","Texas","New York","California"}, 0)) * Assumptions!$C$9 -
            SUMIF(C$2:C169, C170, D$2:D170)) /
            (1 + EXP(-0.2 * (B170 - INDEX(Assumptions!$C$3:$C$7, MATCH(C170, {"Virginia","Florida","Texas","New York","California"}, 0)) - 30))),
            0
        )
    )
)</f>
        <v>307</v>
      </c>
      <c r="E170" s="62">
        <f>IF(B170&lt;INDEX(Assumptions!$C$3:$C$7, MATCH(C170, {"Virginia","Florida","Texas","New York","California"}, 0)),
    0,
    IF(F170=0,
        0,
        F170 * Assumptions!$C$12
    )
)</f>
        <v>15.745833333333334</v>
      </c>
      <c r="F170" s="62" cm="1">
        <f t="array" ref="F170">IF(B170&lt;INDEX(Assumptions!$C$3:$C$7, MATCH(C170, {"Virginia","Florida","Texas","New York","California"}, 0)),
    0,
    IF(C170=C169,
        F169 + D170,
        IF(COUNTIF($C$2:C170, C170) = 1, D170, LOOKUP(2, 1/(C$1:C169=C170), F$1:F169) + D170)
    )
)</f>
        <v>3779</v>
      </c>
      <c r="G170" s="62" cm="1">
        <f t="array" ref="G170">IF(B170&lt;INDEX(Assumptions!$C$3:$C$7, MATCH(C170, {"Virginia","Florida","Texas","New York","California"}, 0)),
    0,
    IF(C170=C169,
        G169 + D170 - E170,
        IF(COUNTIF($C$2:C170, C170) = 1, D170, LOOKUP(2, 1/(C$1:C169=C170), G$1:G169) + D170 - E170)
    )
)</f>
        <v>3655.8708333333334</v>
      </c>
      <c r="H170" s="63">
        <f>IF(B170&lt;INDEX(Assumptions!$C$3:$C$7, MATCH(C170, {"Virginia","Florida","Texas","New York","California"}, 0)),
    0,
    (G170 / INDEX(Assumptions!$C$15:$C$19, MATCH(C170, {"Virginia","Florida","Texas","New York","California"}, 0)))
)</f>
        <v>6.0931180555555554E-2</v>
      </c>
      <c r="I170" s="43">
        <f>G170*'Unit Economics'!$B$19* INDEX(Assumptions!$C$38:$C$42, MATCH(C170, {"Virginia","Florida","Texas","New York","California"}, 0))</f>
        <v>950681.42559000012</v>
      </c>
      <c r="J170" s="43">
        <f>D170*Assumptions!$C$21*INDEX(Assumptions!$C$38:$C$42,MATCH(C170,{"Virginia","Florida","Texas","New York","California"},0))</f>
        <v>84862.782000000007</v>
      </c>
      <c r="K170" s="43">
        <f>G170/Assumptions!$C$22*('Unit Economics'!$F$24+'Unit Economics'!$F$25+'Unit Economics'!$F$26)</f>
        <v>174325.89966299024</v>
      </c>
      <c r="L170" s="43">
        <f>D170*Assumptions!$C$29</f>
        <v>56795</v>
      </c>
      <c r="M170" s="35">
        <f>G170*Assumptions!$C$27</f>
        <v>0</v>
      </c>
      <c r="N170" s="35">
        <f>G170*Assumptions!$C$28</f>
        <v>0</v>
      </c>
      <c r="O170" s="64">
        <f>IF( COUNTIF($B$2:B170, B170) = 1, MIN( Assumptions!$C$34 + INT(SUMIF($B$2:$B170, B170, G$2:G170) / 1000) * Assumptions!$C$37, Assumptions!$C$36 ), 0 )</f>
        <v>90000</v>
      </c>
      <c r="P170" s="53">
        <f t="shared" si="7"/>
        <v>1063075.1072529904</v>
      </c>
      <c r="Q170" s="52">
        <f t="shared" si="8"/>
        <v>107627613.66739586</v>
      </c>
    </row>
    <row r="171" spans="1:17">
      <c r="A171" s="2">
        <f t="shared" si="6"/>
        <v>5</v>
      </c>
      <c r="B171" s="2">
        <v>49</v>
      </c>
      <c r="C171" s="2" t="s">
        <v>93</v>
      </c>
      <c r="D171" s="62">
        <f>IF(
    B171 &lt; INDEX(Assumptions!$C$3:$C$7, MATCH(C171, {"Virginia","Florida","Texas","New York","California"}, 0)),
    0,
    IF(
        B171 = INDEX(Assumptions!$C$3:$C$7, MATCH(C171, {"Virginia","Florida","Texas","New York","California"}, 0)),
        IF(C171 = "Virginia", Assumptions!$C$13, Assumptions!$C$14),
        ROUND(
            (INDEX(Assumptions!$C$15:$C$19, MATCH(C171, {"Virginia","Florida","Texas","New York","California"}, 0)) * Assumptions!$C$9 -
            SUMIF(C$2:C170, C171, D$2:D171)) /
            (1 + EXP(-0.2 * (B171 - INDEX(Assumptions!$C$3:$C$7, MATCH(C171, {"Virginia","Florida","Texas","New York","California"}, 0)) - 30))),
            0
        )
    )
)</f>
        <v>464</v>
      </c>
      <c r="E171" s="62">
        <f>IF(B171&lt;INDEX(Assumptions!$C$3:$C$7, MATCH(C171, {"Virginia","Florida","Texas","New York","California"}, 0)),
    0,
    IF(F171=0,
        0,
        F171 * Assumptions!$C$12
    )
)</f>
        <v>23.579166666666666</v>
      </c>
      <c r="F171" s="62" cm="1">
        <f t="array" ref="F171">IF(B171&lt;INDEX(Assumptions!$C$3:$C$7, MATCH(C171, {"Virginia","Florida","Texas","New York","California"}, 0)),
    0,
    IF(C171=C170,
        F170 + D171,
        IF(COUNTIF($C$2:C171, C171) = 1, D171, LOOKUP(2, 1/(C$1:C170=C171), F$1:F170) + D171)
    )
)</f>
        <v>5659</v>
      </c>
      <c r="G171" s="62" cm="1">
        <f t="array" ref="G171">IF(B171&lt;INDEX(Assumptions!$C$3:$C$7, MATCH(C171, {"Virginia","Florida","Texas","New York","California"}, 0)),
    0,
    IF(C171=C170,
        G170 + D171 - E171,
        IF(COUNTIF($C$2:C171, C171) = 1, D171, LOOKUP(2, 1/(C$1:C170=C171), G$1:G170) + D171 - E171)
    )
)</f>
        <v>5478.0625000000018</v>
      </c>
      <c r="H171" s="63">
        <f>IF(B171&lt;INDEX(Assumptions!$C$3:$C$7, MATCH(C171, {"Virginia","Florida","Texas","New York","California"}, 0)),
    0,
    (G171 / INDEX(Assumptions!$C$15:$C$19, MATCH(C171, {"Virginia","Florida","Texas","New York","California"}, 0)))
)</f>
        <v>6.0867361111111129E-2</v>
      </c>
      <c r="I171" s="43">
        <f>G171*'Unit Economics'!$B$19* INDEX(Assumptions!$C$38:$C$42, MATCH(C171, {"Virginia","Florida","Texas","New York","California"}, 0))</f>
        <v>1450908.6776250005</v>
      </c>
      <c r="J171" s="43">
        <f>D171*Assumptions!$C$21*INDEX(Assumptions!$C$38:$C$42,MATCH(C171,{"Virginia","Florida","Texas","New York","California"},0))</f>
        <v>130636.88</v>
      </c>
      <c r="K171" s="43">
        <f>G171/Assumptions!$C$22*('Unit Economics'!$F$24+'Unit Economics'!$F$25+'Unit Economics'!$F$26)</f>
        <v>261214.96553308837</v>
      </c>
      <c r="L171" s="43">
        <f>D171*Assumptions!$C$29</f>
        <v>85840</v>
      </c>
      <c r="M171" s="35">
        <f>G171*Assumptions!$C$27</f>
        <v>0</v>
      </c>
      <c r="N171" s="35">
        <f>G171*Assumptions!$C$28</f>
        <v>0</v>
      </c>
      <c r="O171" s="64">
        <f>IF( COUNTIF($B$2:B171, B171) = 1, MIN( Assumptions!$C$34 + INT(SUMIF($B$2:$B171, B171, G$2:G171) / 1000) * Assumptions!$C$37, Assumptions!$C$36 ), 0 )</f>
        <v>0</v>
      </c>
      <c r="P171" s="53">
        <f t="shared" si="7"/>
        <v>1756920.5231580888</v>
      </c>
      <c r="Q171" s="52">
        <f t="shared" si="8"/>
        <v>109384534.19055395</v>
      </c>
    </row>
    <row r="172" spans="1:17">
      <c r="A172" s="2">
        <f t="shared" si="6"/>
        <v>5</v>
      </c>
      <c r="B172" s="2">
        <v>49</v>
      </c>
      <c r="C172" s="2" t="s">
        <v>90</v>
      </c>
      <c r="D172" s="62">
        <f>IF(
    B172 &lt; INDEX(Assumptions!$C$3:$C$7, MATCH(C172, {"Virginia","Florida","Texas","New York","California"}, 0)),
    0,
    IF(
        B172 = INDEX(Assumptions!$C$3:$C$7, MATCH(C172, {"Virginia","Florida","Texas","New York","California"}, 0)),
        IF(C172 = "Virginia", Assumptions!$C$13, Assumptions!$C$14),
        ROUND(
            (INDEX(Assumptions!$C$15:$C$19, MATCH(C172, {"Virginia","Florida","Texas","New York","California"}, 0)) * Assumptions!$C$9 -
            SUMIF(C$2:C171, C172, D$2:D172)) /
            (1 + EXP(-0.2 * (B172 - INDEX(Assumptions!$C$3:$C$7, MATCH(C172, {"Virginia","Florida","Texas","New York","California"}, 0)) - 30))),
            0
        )
    )
)</f>
        <v>0</v>
      </c>
      <c r="E172" s="62">
        <f>IF(B172&lt;INDEX(Assumptions!$C$3:$C$7, MATCH(C172, {"Virginia","Florida","Texas","New York","California"}, 0)),
    0,
    IF(F172=0,
        0,
        F172 * Assumptions!$C$12
    )
)</f>
        <v>23.333333333333332</v>
      </c>
      <c r="F172" s="62" cm="1">
        <f t="array" ref="F172">IF(B172&lt;INDEX(Assumptions!$C$3:$C$7, MATCH(C172, {"Virginia","Florida","Texas","New York","California"}, 0)),
    0,
    IF(C172=C171,
        F171 + D172,
        IF(COUNTIF($C$2:C172, C172) = 1, D172, LOOKUP(2, 1/(C$1:C171=C172), F$1:F171) + D172)
    )
)</f>
        <v>5600</v>
      </c>
      <c r="G172" s="62" cm="1">
        <f t="array" ref="G172">IF(B172&lt;INDEX(Assumptions!$C$3:$C$7, MATCH(C172, {"Virginia","Florida","Texas","New York","California"}, 0)),
    0,
    IF(C172=C171,
        G171 + D172 - E172,
        IF(COUNTIF($C$2:C172, C172) = 1, D172, LOOKUP(2, 1/(C$1:C171=C172), G$1:G171) + D172 - E172)
    )
)</f>
        <v>5187.2916666666679</v>
      </c>
      <c r="H172" s="63">
        <f>IF(B172&lt;INDEX(Assumptions!$C$3:$C$7, MATCH(C172, {"Virginia","Florida","Texas","New York","California"}, 0)),
    0,
    (G172 / INDEX(Assumptions!$C$15:$C$19, MATCH(C172, {"Virginia","Florida","Texas","New York","California"}, 0)))
)</f>
        <v>7.4104166666666679E-2</v>
      </c>
      <c r="I172" s="43">
        <f>G172*'Unit Economics'!$B$19* INDEX(Assumptions!$C$38:$C$42, MATCH(C172, {"Virginia","Florida","Texas","New York","California"}, 0))</f>
        <v>1311445.8918750004</v>
      </c>
      <c r="J172" s="43">
        <f>D172*Assumptions!$C$21*INDEX(Assumptions!$C$38:$C$42,MATCH(C172,{"Virginia","Florida","Texas","New York","California"},0))</f>
        <v>0</v>
      </c>
      <c r="K172" s="43">
        <f>G172/Assumptions!$C$22*('Unit Economics'!$F$24+'Unit Economics'!$F$25+'Unit Economics'!$F$26)</f>
        <v>247349.90042892165</v>
      </c>
      <c r="L172" s="43">
        <f>D172*Assumptions!$C$29</f>
        <v>0</v>
      </c>
      <c r="M172" s="35">
        <f>G172*Assumptions!$C$27</f>
        <v>0</v>
      </c>
      <c r="N172" s="35">
        <f>G172*Assumptions!$C$28</f>
        <v>0</v>
      </c>
      <c r="O172" s="64">
        <f>IF( COUNTIF($B$2:B172, B172) = 1, MIN( Assumptions!$C$34 + INT(SUMIF($B$2:$B172, B172, G$2:G172) / 1000) * Assumptions!$C$37, Assumptions!$C$36 ), 0 )</f>
        <v>0</v>
      </c>
      <c r="P172" s="53">
        <f t="shared" si="7"/>
        <v>1558795.7923039221</v>
      </c>
      <c r="Q172" s="52">
        <f t="shared" si="8"/>
        <v>110943329.98285787</v>
      </c>
    </row>
    <row r="173" spans="1:17">
      <c r="A173" s="2">
        <f t="shared" si="6"/>
        <v>5</v>
      </c>
      <c r="B173" s="2">
        <v>49</v>
      </c>
      <c r="C173" s="2" t="s">
        <v>91</v>
      </c>
      <c r="D173" s="62">
        <f>IF(
    B173 &lt; INDEX(Assumptions!$C$3:$C$7, MATCH(C173, {"Virginia","Florida","Texas","New York","California"}, 0)),
    0,
    IF(
        B173 = INDEX(Assumptions!$C$3:$C$7, MATCH(C173, {"Virginia","Florida","Texas","New York","California"}, 0)),
        IF(C173 = "Virginia", Assumptions!$C$13, Assumptions!$C$14),
        ROUND(
            (INDEX(Assumptions!$C$15:$C$19, MATCH(C173, {"Virginia","Florida","Texas","New York","California"}, 0)) * Assumptions!$C$9 -
            SUMIF(C$2:C172, C173, D$2:D173)) /
            (1 + EXP(-0.2 * (B173 - INDEX(Assumptions!$C$3:$C$7, MATCH(C173, {"Virginia","Florida","Texas","New York","California"}, 0)) - 30))),
            0
        )
    )
)</f>
        <v>1</v>
      </c>
      <c r="E173" s="62">
        <f>IF(B173&lt;INDEX(Assumptions!$C$3:$C$7, MATCH(C173, {"Virginia","Florida","Texas","New York","California"}, 0)),
    0,
    IF(F173=0,
        0,
        F173 * Assumptions!$C$12
    )
)</f>
        <v>26.666666666666668</v>
      </c>
      <c r="F173" s="62" cm="1">
        <f t="array" ref="F173">IF(B173&lt;INDEX(Assumptions!$C$3:$C$7, MATCH(C173, {"Virginia","Florida","Texas","New York","California"}, 0)),
    0,
    IF(C173=C172,
        F172 + D173,
        IF(COUNTIF($C$2:C173, C173) = 1, D173, LOOKUP(2, 1/(C$1:C172=C173), F$1:F172) + D173)
    )
)</f>
        <v>6400</v>
      </c>
      <c r="G173" s="62" cm="1">
        <f t="array" ref="G173">IF(B173&lt;INDEX(Assumptions!$C$3:$C$7, MATCH(C173, {"Virginia","Florida","Texas","New York","California"}, 0)),
    0,
    IF(C173=C172,
        G172 + D173 - E173,
        IF(COUNTIF($C$2:C173, C173) = 1, D173, LOOKUP(2, 1/(C$1:C172=C173), G$1:G172) + D173 - E173)
    )
)</f>
        <v>5929.5249999999987</v>
      </c>
      <c r="H173" s="63">
        <f>IF(B173&lt;INDEX(Assumptions!$C$3:$C$7, MATCH(C173, {"Virginia","Florida","Texas","New York","California"}, 0)),
    0,
    (G173 / INDEX(Assumptions!$C$15:$C$19, MATCH(C173, {"Virginia","Florida","Texas","New York","California"}, 0)))
)</f>
        <v>7.4119062499999985E-2</v>
      </c>
      <c r="I173" s="43">
        <f>G173*'Unit Economics'!$B$19* INDEX(Assumptions!$C$38:$C$42, MATCH(C173, {"Virginia","Florida","Texas","New York","California"}, 0))</f>
        <v>1470542.3603849998</v>
      </c>
      <c r="J173" s="43">
        <f>D173*Assumptions!$C$21*INDEX(Assumptions!$C$38:$C$42,MATCH(C173,{"Virginia","Florida","Texas","New York","California"},0))</f>
        <v>263.62849999999997</v>
      </c>
      <c r="K173" s="43">
        <f>G173/Assumptions!$C$22*('Unit Economics'!$F$24+'Unit Economics'!$F$25+'Unit Economics'!$F$26)</f>
        <v>282742.42371323524</v>
      </c>
      <c r="L173" s="43">
        <f>D173*Assumptions!$C$29</f>
        <v>185</v>
      </c>
      <c r="M173" s="35">
        <f>G173*Assumptions!$C$27</f>
        <v>0</v>
      </c>
      <c r="N173" s="35">
        <f>G173*Assumptions!$C$28</f>
        <v>0</v>
      </c>
      <c r="O173" s="64">
        <f>IF( COUNTIF($B$2:B173, B173) = 1, MIN( Assumptions!$C$34 + INT(SUMIF($B$2:$B173, B173, G$2:G173) / 1000) * Assumptions!$C$37, Assumptions!$C$36 ), 0 )</f>
        <v>0</v>
      </c>
      <c r="P173" s="53">
        <f t="shared" si="7"/>
        <v>1753363.4125982351</v>
      </c>
      <c r="Q173" s="52">
        <f t="shared" si="8"/>
        <v>112696693.39545611</v>
      </c>
    </row>
    <row r="174" spans="1:17">
      <c r="A174" s="2">
        <f t="shared" si="6"/>
        <v>5</v>
      </c>
      <c r="B174" s="2">
        <v>49</v>
      </c>
      <c r="C174" s="2" t="s">
        <v>89</v>
      </c>
      <c r="D174" s="62">
        <f>IF(
    B174 &lt; INDEX(Assumptions!$C$3:$C$7, MATCH(C174, {"Virginia","Florida","Texas","New York","California"}, 0)),
    0,
    IF(
        B174 = INDEX(Assumptions!$C$3:$C$7, MATCH(C174, {"Virginia","Florida","Texas","New York","California"}, 0)),
        IF(C174 = "Virginia", Assumptions!$C$13, Assumptions!$C$14),
        ROUND(
            (INDEX(Assumptions!$C$15:$C$19, MATCH(C174, {"Virginia","Florida","Texas","New York","California"}, 0)) * Assumptions!$C$9 -
            SUMIF(C$2:C173, C174, D$2:D174)) /
            (1 + EXP(-0.2 * (B174 - INDEX(Assumptions!$C$3:$C$7, MATCH(C174, {"Virginia","Florida","Texas","New York","California"}, 0)) - 30))),
            0
        )
    )
)</f>
        <v>0</v>
      </c>
      <c r="E174" s="62">
        <f>IF(B174&lt;INDEX(Assumptions!$C$3:$C$7, MATCH(C174, {"Virginia","Florida","Texas","New York","California"}, 0)),
    0,
    IF(F174=0,
        0,
        F174 * Assumptions!$C$12
    )
)</f>
        <v>16.666666666666668</v>
      </c>
      <c r="F174" s="62" cm="1">
        <f t="array" ref="F174">IF(B174&lt;INDEX(Assumptions!$C$3:$C$7, MATCH(C174, {"Virginia","Florida","Texas","New York","California"}, 0)),
    0,
    IF(C174=C173,
        F173 + D174,
        IF(COUNTIF($C$2:C174, C174) = 1, D174, LOOKUP(2, 1/(C$1:C173=C174), F$1:F173) + D174)
    )
)</f>
        <v>4000</v>
      </c>
      <c r="G174" s="62" cm="1">
        <f t="array" ref="G174">IF(B174&lt;INDEX(Assumptions!$C$3:$C$7, MATCH(C174, {"Virginia","Florida","Texas","New York","California"}, 0)),
    0,
    IF(C174=C173,
        G173 + D174 - E174,
        IF(COUNTIF($C$2:C174, C174) = 1, D174, LOOKUP(2, 1/(C$1:C173=C174), G$1:G173) + D174 - E174)
    )
)</f>
        <v>3506.9541666666687</v>
      </c>
      <c r="H174" s="63">
        <f>IF(B174&lt;INDEX(Assumptions!$C$3:$C$7, MATCH(C174, {"Virginia","Florida","Texas","New York","California"}, 0)),
    0,
    (G174 / INDEX(Assumptions!$C$15:$C$19, MATCH(C174, {"Virginia","Florida","Texas","New York","California"}, 0)))
)</f>
        <v>7.013908333333338E-2</v>
      </c>
      <c r="I174" s="43">
        <f>G174*'Unit Economics'!$B$19* INDEX(Assumptions!$C$38:$C$42, MATCH(C174, {"Virginia","Florida","Texas","New York","California"}, 0))</f>
        <v>844404.42425000051</v>
      </c>
      <c r="J174" s="43">
        <f>D174*Assumptions!$C$21*INDEX(Assumptions!$C$38:$C$42,MATCH(C174,{"Virginia","Florida","Texas","New York","California"},0))</f>
        <v>0</v>
      </c>
      <c r="K174" s="43">
        <f>G174/Assumptions!$C$22*('Unit Economics'!$F$24+'Unit Economics'!$F$25+'Unit Economics'!$F$26)</f>
        <v>167224.98360906873</v>
      </c>
      <c r="L174" s="43">
        <f>D174*Assumptions!$C$29</f>
        <v>0</v>
      </c>
      <c r="M174" s="35">
        <f>G174*Assumptions!$C$27</f>
        <v>0</v>
      </c>
      <c r="N174" s="35">
        <f>G174*Assumptions!$C$28</f>
        <v>0</v>
      </c>
      <c r="O174" s="64">
        <f>IF( COUNTIF($B$2:B174, B174) = 1, MIN( Assumptions!$C$34 + INT(SUMIF($B$2:$B174, B174, G$2:G174) / 1000) * Assumptions!$C$37, Assumptions!$C$36 ), 0 )</f>
        <v>0</v>
      </c>
      <c r="P174" s="53">
        <f t="shared" si="7"/>
        <v>1011629.4078590693</v>
      </c>
      <c r="Q174" s="52">
        <f t="shared" si="8"/>
        <v>113708322.80331518</v>
      </c>
    </row>
    <row r="175" spans="1:17">
      <c r="A175" s="2">
        <f t="shared" si="6"/>
        <v>5</v>
      </c>
      <c r="B175" s="2">
        <v>50</v>
      </c>
      <c r="C175" s="2" t="s">
        <v>92</v>
      </c>
      <c r="D175" s="62">
        <f>IF(
    B175 &lt; INDEX(Assumptions!$C$3:$C$7, MATCH(C175, {"Virginia","Florida","Texas","New York","California"}, 0)),
    0,
    IF(
        B175 = INDEX(Assumptions!$C$3:$C$7, MATCH(C175, {"Virginia","Florida","Texas","New York","California"}, 0)),
        IF(C175 = "Virginia", Assumptions!$C$13, Assumptions!$C$14),
        ROUND(
            (INDEX(Assumptions!$C$15:$C$19, MATCH(C175, {"Virginia","Florida","Texas","New York","California"}, 0)) * Assumptions!$C$9 -
            SUMIF(C$2:C174, C175, D$2:D175)) /
            (1 + EXP(-0.2 * (B175 - INDEX(Assumptions!$C$3:$C$7, MATCH(C175, {"Virginia","Florida","Texas","New York","California"}, 0)) - 30))),
            0
        )
    )
)</f>
        <v>275</v>
      </c>
      <c r="E175" s="62">
        <f>IF(B175&lt;INDEX(Assumptions!$C$3:$C$7, MATCH(C175, {"Virginia","Florida","Texas","New York","California"}, 0)),
    0,
    IF(F175=0,
        0,
        F175 * Assumptions!$C$12
    )
)</f>
        <v>16.891666666666666</v>
      </c>
      <c r="F175" s="62" cm="1">
        <f t="array" ref="F175">IF(B175&lt;INDEX(Assumptions!$C$3:$C$7, MATCH(C175, {"Virginia","Florida","Texas","New York","California"}, 0)),
    0,
    IF(C175=C174,
        F174 + D175,
        IF(COUNTIF($C$2:C175, C175) = 1, D175, LOOKUP(2, 1/(C$1:C174=C175), F$1:F174) + D175)
    )
)</f>
        <v>4054</v>
      </c>
      <c r="G175" s="62" cm="1">
        <f t="array" ref="G175">IF(B175&lt;INDEX(Assumptions!$C$3:$C$7, MATCH(C175, {"Virginia","Florida","Texas","New York","California"}, 0)),
    0,
    IF(C175=C174,
        G174 + D175 - E175,
        IF(COUNTIF($C$2:C175, C175) = 1, D175, LOOKUP(2, 1/(C$1:C174=C175), G$1:G174) + D175 - E175)
    )
)</f>
        <v>3913.9791666666665</v>
      </c>
      <c r="H175" s="63">
        <f>IF(B175&lt;INDEX(Assumptions!$C$3:$C$7, MATCH(C175, {"Virginia","Florida","Texas","New York","California"}, 0)),
    0,
    (G175 / INDEX(Assumptions!$C$15:$C$19, MATCH(C175, {"Virginia","Florida","Texas","New York","California"}, 0)))
)</f>
        <v>6.5232986111111113E-2</v>
      </c>
      <c r="I175" s="43">
        <f>G175*'Unit Economics'!$B$19* INDEX(Assumptions!$C$38:$C$42, MATCH(C175, {"Virginia","Florida","Texas","New York","California"}, 0))</f>
        <v>1017800.53605</v>
      </c>
      <c r="J175" s="43">
        <f>D175*Assumptions!$C$21*INDEX(Assumptions!$C$38:$C$42,MATCH(C175,{"Virginia","Florida","Texas","New York","California"},0))</f>
        <v>76017.150000000009</v>
      </c>
      <c r="K175" s="43">
        <f>G175/Assumptions!$C$22*('Unit Economics'!$F$24+'Unit Economics'!$F$25+'Unit Economics'!$F$26)</f>
        <v>186633.49188112747</v>
      </c>
      <c r="L175" s="43">
        <f>D175*Assumptions!$C$29</f>
        <v>50875</v>
      </c>
      <c r="M175" s="35">
        <f>G175*Assumptions!$C$27</f>
        <v>0</v>
      </c>
      <c r="N175" s="35">
        <f>G175*Assumptions!$C$28</f>
        <v>0</v>
      </c>
      <c r="O175" s="64">
        <f>IF( COUNTIF($B$2:B175, B175) = 1, MIN( Assumptions!$C$34 + INT(SUMIF($B$2:$B175, B175, G$2:G175) / 1000) * Assumptions!$C$37, Assumptions!$C$36 ), 0 )</f>
        <v>90000</v>
      </c>
      <c r="P175" s="53">
        <f t="shared" si="7"/>
        <v>1139576.1779311274</v>
      </c>
      <c r="Q175" s="52">
        <f t="shared" si="8"/>
        <v>114847898.98124631</v>
      </c>
    </row>
    <row r="176" spans="1:17">
      <c r="A176" s="2">
        <f t="shared" si="6"/>
        <v>5</v>
      </c>
      <c r="B176" s="2">
        <v>50</v>
      </c>
      <c r="C176" s="2" t="s">
        <v>93</v>
      </c>
      <c r="D176" s="62">
        <f>IF(
    B176 &lt; INDEX(Assumptions!$C$3:$C$7, MATCH(C176, {"Virginia","Florida","Texas","New York","California"}, 0)),
    0,
    IF(
        B176 = INDEX(Assumptions!$C$3:$C$7, MATCH(C176, {"Virginia","Florida","Texas","New York","California"}, 0)),
        IF(C176 = "Virginia", Assumptions!$C$13, Assumptions!$C$14),
        ROUND(
            (INDEX(Assumptions!$C$15:$C$19, MATCH(C176, {"Virginia","Florida","Texas","New York","California"}, 0)) * Assumptions!$C$9 -
            SUMIF(C$2:C175, C176, D$2:D176)) /
            (1 + EXP(-0.2 * (B176 - INDEX(Assumptions!$C$3:$C$7, MATCH(C176, {"Virginia","Florida","Texas","New York","California"}, 0)) - 30))),
            0
        )
    )
)</f>
        <v>414</v>
      </c>
      <c r="E176" s="62">
        <f>IF(B176&lt;INDEX(Assumptions!$C$3:$C$7, MATCH(C176, {"Virginia","Florida","Texas","New York","California"}, 0)),
    0,
    IF(F176=0,
        0,
        F176 * Assumptions!$C$12
    )
)</f>
        <v>25.304166666666667</v>
      </c>
      <c r="F176" s="62" cm="1">
        <f t="array" ref="F176">IF(B176&lt;INDEX(Assumptions!$C$3:$C$7, MATCH(C176, {"Virginia","Florida","Texas","New York","California"}, 0)),
    0,
    IF(C176=C175,
        F175 + D176,
        IF(COUNTIF($C$2:C176, C176) = 1, D176, LOOKUP(2, 1/(C$1:C175=C176), F$1:F175) + D176)
    )
)</f>
        <v>6073</v>
      </c>
      <c r="G176" s="62" cm="1">
        <f t="array" ref="G176">IF(B176&lt;INDEX(Assumptions!$C$3:$C$7, MATCH(C176, {"Virginia","Florida","Texas","New York","California"}, 0)),
    0,
    IF(C176=C175,
        G175 + D176 - E176,
        IF(COUNTIF($C$2:C176, C176) = 1, D176, LOOKUP(2, 1/(C$1:C175=C176), G$1:G175) + D176 - E176)
    )
)</f>
        <v>5866.758333333335</v>
      </c>
      <c r="H176" s="63">
        <f>IF(B176&lt;INDEX(Assumptions!$C$3:$C$7, MATCH(C176, {"Virginia","Florida","Texas","New York","California"}, 0)),
    0,
    (G176 / INDEX(Assumptions!$C$15:$C$19, MATCH(C176, {"Virginia","Florida","Texas","New York","California"}, 0)))
)</f>
        <v>6.5186203703703718E-2</v>
      </c>
      <c r="I176" s="43">
        <f>G176*'Unit Economics'!$B$19* INDEX(Assumptions!$C$38:$C$42, MATCH(C176, {"Virginia","Florida","Texas","New York","California"}, 0))</f>
        <v>1553857.8786500006</v>
      </c>
      <c r="J176" s="43">
        <f>D176*Assumptions!$C$21*INDEX(Assumptions!$C$38:$C$42,MATCH(C176,{"Virginia","Florida","Texas","New York","California"},0))</f>
        <v>116559.62999999999</v>
      </c>
      <c r="K176" s="43">
        <f>G176/Assumptions!$C$22*('Unit Economics'!$F$24+'Unit Economics'!$F$25+'Unit Economics'!$F$26)</f>
        <v>279749.46905637265</v>
      </c>
      <c r="L176" s="43">
        <f>D176*Assumptions!$C$29</f>
        <v>76590</v>
      </c>
      <c r="M176" s="35">
        <f>G176*Assumptions!$C$27</f>
        <v>0</v>
      </c>
      <c r="N176" s="35">
        <f>G176*Assumptions!$C$28</f>
        <v>0</v>
      </c>
      <c r="O176" s="64">
        <f>IF( COUNTIF($B$2:B176, B176) = 1, MIN( Assumptions!$C$34 + INT(SUMIF($B$2:$B176, B176, G$2:G176) / 1000) * Assumptions!$C$37, Assumptions!$C$36 ), 0 )</f>
        <v>0</v>
      </c>
      <c r="P176" s="53">
        <f t="shared" si="7"/>
        <v>1873576.9777063732</v>
      </c>
      <c r="Q176" s="52">
        <f t="shared" si="8"/>
        <v>116721475.95895268</v>
      </c>
    </row>
    <row r="177" spans="1:17">
      <c r="A177" s="2">
        <f t="shared" si="6"/>
        <v>5</v>
      </c>
      <c r="B177" s="2">
        <v>50</v>
      </c>
      <c r="C177" s="2" t="s">
        <v>90</v>
      </c>
      <c r="D177" s="62">
        <f>IF(
    B177 &lt; INDEX(Assumptions!$C$3:$C$7, MATCH(C177, {"Virginia","Florida","Texas","New York","California"}, 0)),
    0,
    IF(
        B177 = INDEX(Assumptions!$C$3:$C$7, MATCH(C177, {"Virginia","Florida","Texas","New York","California"}, 0)),
        IF(C177 = "Virginia", Assumptions!$C$13, Assumptions!$C$14),
        ROUND(
            (INDEX(Assumptions!$C$15:$C$19, MATCH(C177, {"Virginia","Florida","Texas","New York","California"}, 0)) * Assumptions!$C$9 -
            SUMIF(C$2:C176, C177, D$2:D177)) /
            (1 + EXP(-0.2 * (B177 - INDEX(Assumptions!$C$3:$C$7, MATCH(C177, {"Virginia","Florida","Texas","New York","California"}, 0)) - 30))),
            0
        )
    )
)</f>
        <v>0</v>
      </c>
      <c r="E177" s="62">
        <f>IF(B177&lt;INDEX(Assumptions!$C$3:$C$7, MATCH(C177, {"Virginia","Florida","Texas","New York","California"}, 0)),
    0,
    IF(F177=0,
        0,
        F177 * Assumptions!$C$12
    )
)</f>
        <v>23.333333333333332</v>
      </c>
      <c r="F177" s="62" cm="1">
        <f t="array" ref="F177">IF(B177&lt;INDEX(Assumptions!$C$3:$C$7, MATCH(C177, {"Virginia","Florida","Texas","New York","California"}, 0)),
    0,
    IF(C177=C176,
        F176 + D177,
        IF(COUNTIF($C$2:C177, C177) = 1, D177, LOOKUP(2, 1/(C$1:C176=C177), F$1:F176) + D177)
    )
)</f>
        <v>5600</v>
      </c>
      <c r="G177" s="62" cm="1">
        <f t="array" ref="G177">IF(B177&lt;INDEX(Assumptions!$C$3:$C$7, MATCH(C177, {"Virginia","Florida","Texas","New York","California"}, 0)),
    0,
    IF(C177=C176,
        G176 + D177 - E177,
        IF(COUNTIF($C$2:C177, C177) = 1, D177, LOOKUP(2, 1/(C$1:C176=C177), G$1:G176) + D177 - E177)
    )
)</f>
        <v>5163.9583333333348</v>
      </c>
      <c r="H177" s="63">
        <f>IF(B177&lt;INDEX(Assumptions!$C$3:$C$7, MATCH(C177, {"Virginia","Florida","Texas","New York","California"}, 0)),
    0,
    (G177 / INDEX(Assumptions!$C$15:$C$19, MATCH(C177, {"Virginia","Florida","Texas","New York","California"}, 0)))
)</f>
        <v>7.3770833333333355E-2</v>
      </c>
      <c r="I177" s="43">
        <f>G177*'Unit Economics'!$B$19* INDEX(Assumptions!$C$38:$C$42, MATCH(C177, {"Virginia","Florida","Texas","New York","California"}, 0))</f>
        <v>1305546.7818750006</v>
      </c>
      <c r="J177" s="43">
        <f>D177*Assumptions!$C$21*INDEX(Assumptions!$C$38:$C$42,MATCH(C177,{"Virginia","Florida","Texas","New York","California"},0))</f>
        <v>0</v>
      </c>
      <c r="K177" s="43">
        <f>G177/Assumptions!$C$22*('Unit Economics'!$F$24+'Unit Economics'!$F$25+'Unit Economics'!$F$26)</f>
        <v>246237.27787990205</v>
      </c>
      <c r="L177" s="43">
        <f>D177*Assumptions!$C$29</f>
        <v>0</v>
      </c>
      <c r="M177" s="35">
        <f>G177*Assumptions!$C$27</f>
        <v>0</v>
      </c>
      <c r="N177" s="35">
        <f>G177*Assumptions!$C$28</f>
        <v>0</v>
      </c>
      <c r="O177" s="64">
        <f>IF( COUNTIF($B$2:B177, B177) = 1, MIN( Assumptions!$C$34 + INT(SUMIF($B$2:$B177, B177, G$2:G177) / 1000) * Assumptions!$C$37, Assumptions!$C$36 ), 0 )</f>
        <v>0</v>
      </c>
      <c r="P177" s="53">
        <f t="shared" si="7"/>
        <v>1551784.0597549025</v>
      </c>
      <c r="Q177" s="52">
        <f t="shared" si="8"/>
        <v>118273260.01870759</v>
      </c>
    </row>
    <row r="178" spans="1:17">
      <c r="A178" s="2">
        <f t="shared" si="6"/>
        <v>5</v>
      </c>
      <c r="B178" s="2">
        <v>50</v>
      </c>
      <c r="C178" s="2" t="s">
        <v>91</v>
      </c>
      <c r="D178" s="62">
        <f>IF(
    B178 &lt; INDEX(Assumptions!$C$3:$C$7, MATCH(C178, {"Virginia","Florida","Texas","New York","California"}, 0)),
    0,
    IF(
        B178 = INDEX(Assumptions!$C$3:$C$7, MATCH(C178, {"Virginia","Florida","Texas","New York","California"}, 0)),
        IF(C178 = "Virginia", Assumptions!$C$13, Assumptions!$C$14),
        ROUND(
            (INDEX(Assumptions!$C$15:$C$19, MATCH(C178, {"Virginia","Florida","Texas","New York","California"}, 0)) * Assumptions!$C$9 -
            SUMIF(C$2:C177, C178, D$2:D178)) /
            (1 + EXP(-0.2 * (B178 - INDEX(Assumptions!$C$3:$C$7, MATCH(C178, {"Virginia","Florida","Texas","New York","California"}, 0)) - 30))),
            0
        )
    )
)</f>
        <v>0</v>
      </c>
      <c r="E178" s="62">
        <f>IF(B178&lt;INDEX(Assumptions!$C$3:$C$7, MATCH(C178, {"Virginia","Florida","Texas","New York","California"}, 0)),
    0,
    IF(F178=0,
        0,
        F178 * Assumptions!$C$12
    )
)</f>
        <v>26.666666666666668</v>
      </c>
      <c r="F178" s="62" cm="1">
        <f t="array" ref="F178">IF(B178&lt;INDEX(Assumptions!$C$3:$C$7, MATCH(C178, {"Virginia","Florida","Texas","New York","California"}, 0)),
    0,
    IF(C178=C177,
        F177 + D178,
        IF(COUNTIF($C$2:C178, C178) = 1, D178, LOOKUP(2, 1/(C$1:C177=C178), F$1:F177) + D178)
    )
)</f>
        <v>6400</v>
      </c>
      <c r="G178" s="62" cm="1">
        <f t="array" ref="G178">IF(B178&lt;INDEX(Assumptions!$C$3:$C$7, MATCH(C178, {"Virginia","Florida","Texas","New York","California"}, 0)),
    0,
    IF(C178=C177,
        G177 + D178 - E178,
        IF(COUNTIF($C$2:C178, C178) = 1, D178, LOOKUP(2, 1/(C$1:C177=C178), G$1:G177) + D178 - E178)
    )
)</f>
        <v>5902.8583333333318</v>
      </c>
      <c r="H178" s="63">
        <f>IF(B178&lt;INDEX(Assumptions!$C$3:$C$7, MATCH(C178, {"Virginia","Florida","Texas","New York","California"}, 0)),
    0,
    (G178 / INDEX(Assumptions!$C$15:$C$19, MATCH(C178, {"Virginia","Florida","Texas","New York","California"}, 0)))
)</f>
        <v>7.3785729166666647E-2</v>
      </c>
      <c r="I178" s="43">
        <f>G178*'Unit Economics'!$B$19* INDEX(Assumptions!$C$38:$C$42, MATCH(C178, {"Virginia","Florida","Texas","New York","California"}, 0))</f>
        <v>1463928.9363849997</v>
      </c>
      <c r="J178" s="43">
        <f>D178*Assumptions!$C$21*INDEX(Assumptions!$C$38:$C$42,MATCH(C178,{"Virginia","Florida","Texas","New York","California"},0))</f>
        <v>0</v>
      </c>
      <c r="K178" s="43">
        <f>G178/Assumptions!$C$22*('Unit Economics'!$F$24+'Unit Economics'!$F$25+'Unit Economics'!$F$26)</f>
        <v>281470.85508578428</v>
      </c>
      <c r="L178" s="43">
        <f>D178*Assumptions!$C$29</f>
        <v>0</v>
      </c>
      <c r="M178" s="35">
        <f>G178*Assumptions!$C$27</f>
        <v>0</v>
      </c>
      <c r="N178" s="35">
        <f>G178*Assumptions!$C$28</f>
        <v>0</v>
      </c>
      <c r="O178" s="64">
        <f>IF( COUNTIF($B$2:B178, B178) = 1, MIN( Assumptions!$C$34 + INT(SUMIF($B$2:$B178, B178, G$2:G178) / 1000) * Assumptions!$C$37, Assumptions!$C$36 ), 0 )</f>
        <v>0</v>
      </c>
      <c r="P178" s="53">
        <f t="shared" si="7"/>
        <v>1745399.791470784</v>
      </c>
      <c r="Q178" s="52">
        <f t="shared" si="8"/>
        <v>120018659.81017837</v>
      </c>
    </row>
    <row r="179" spans="1:17">
      <c r="A179" s="2">
        <f t="shared" si="6"/>
        <v>5</v>
      </c>
      <c r="B179" s="2">
        <v>50</v>
      </c>
      <c r="C179" s="2" t="s">
        <v>89</v>
      </c>
      <c r="D179" s="62">
        <f>IF(
    B179 &lt; INDEX(Assumptions!$C$3:$C$7, MATCH(C179, {"Virginia","Florida","Texas","New York","California"}, 0)),
    0,
    IF(
        B179 = INDEX(Assumptions!$C$3:$C$7, MATCH(C179, {"Virginia","Florida","Texas","New York","California"}, 0)),
        IF(C179 = "Virginia", Assumptions!$C$13, Assumptions!$C$14),
        ROUND(
            (INDEX(Assumptions!$C$15:$C$19, MATCH(C179, {"Virginia","Florida","Texas","New York","California"}, 0)) * Assumptions!$C$9 -
            SUMIF(C$2:C178, C179, D$2:D179)) /
            (1 + EXP(-0.2 * (B179 - INDEX(Assumptions!$C$3:$C$7, MATCH(C179, {"Virginia","Florida","Texas","New York","California"}, 0)) - 30))),
            0
        )
    )
)</f>
        <v>0</v>
      </c>
      <c r="E179" s="62">
        <f>IF(B179&lt;INDEX(Assumptions!$C$3:$C$7, MATCH(C179, {"Virginia","Florida","Texas","New York","California"}, 0)),
    0,
    IF(F179=0,
        0,
        F179 * Assumptions!$C$12
    )
)</f>
        <v>16.666666666666668</v>
      </c>
      <c r="F179" s="62" cm="1">
        <f t="array" ref="F179">IF(B179&lt;INDEX(Assumptions!$C$3:$C$7, MATCH(C179, {"Virginia","Florida","Texas","New York","California"}, 0)),
    0,
    IF(C179=C178,
        F178 + D179,
        IF(COUNTIF($C$2:C179, C179) = 1, D179, LOOKUP(2, 1/(C$1:C178=C179), F$1:F178) + D179)
    )
)</f>
        <v>4000</v>
      </c>
      <c r="G179" s="62" cm="1">
        <f t="array" ref="G179">IF(B179&lt;INDEX(Assumptions!$C$3:$C$7, MATCH(C179, {"Virginia","Florida","Texas","New York","California"}, 0)),
    0,
    IF(C179=C178,
        G178 + D179 - E179,
        IF(COUNTIF($C$2:C179, C179) = 1, D179, LOOKUP(2, 1/(C$1:C178=C179), G$1:G178) + D179 - E179)
    )
)</f>
        <v>3490.2875000000022</v>
      </c>
      <c r="H179" s="63">
        <f>IF(B179&lt;INDEX(Assumptions!$C$3:$C$7, MATCH(C179, {"Virginia","Florida","Texas","New York","California"}, 0)),
    0,
    (G179 / INDEX(Assumptions!$C$15:$C$19, MATCH(C179, {"Virginia","Florida","Texas","New York","California"}, 0)))
)</f>
        <v>6.9805750000000041E-2</v>
      </c>
      <c r="I179" s="43">
        <f>G179*'Unit Economics'!$B$19* INDEX(Assumptions!$C$38:$C$42, MATCH(C179, {"Virginia","Florida","Texas","New York","California"}, 0))</f>
        <v>840391.42425000051</v>
      </c>
      <c r="J179" s="43">
        <f>D179*Assumptions!$C$21*INDEX(Assumptions!$C$38:$C$42,MATCH(C179,{"Virginia","Florida","Texas","New York","California"},0))</f>
        <v>0</v>
      </c>
      <c r="K179" s="43">
        <f>G179/Assumptions!$C$22*('Unit Economics'!$F$24+'Unit Economics'!$F$25+'Unit Economics'!$F$26)</f>
        <v>166430.25321691189</v>
      </c>
      <c r="L179" s="43">
        <f>D179*Assumptions!$C$29</f>
        <v>0</v>
      </c>
      <c r="M179" s="35">
        <f>G179*Assumptions!$C$27</f>
        <v>0</v>
      </c>
      <c r="N179" s="35">
        <f>G179*Assumptions!$C$28</f>
        <v>0</v>
      </c>
      <c r="O179" s="64">
        <f>IF( COUNTIF($B$2:B179, B179) = 1, MIN( Assumptions!$C$34 + INT(SUMIF($B$2:$B179, B179, G$2:G179) / 1000) * Assumptions!$C$37, Assumptions!$C$36 ), 0 )</f>
        <v>0</v>
      </c>
      <c r="P179" s="53">
        <f t="shared" si="7"/>
        <v>1006821.6774669124</v>
      </c>
      <c r="Q179" s="52">
        <f t="shared" si="8"/>
        <v>121025481.48764528</v>
      </c>
    </row>
    <row r="180" spans="1:17">
      <c r="A180" s="2">
        <f t="shared" si="6"/>
        <v>5</v>
      </c>
      <c r="B180" s="2">
        <v>51</v>
      </c>
      <c r="C180" s="2" t="s">
        <v>92</v>
      </c>
      <c r="D180" s="62">
        <f>IF(
    B180 &lt; INDEX(Assumptions!$C$3:$C$7, MATCH(C180, {"Virginia","Florida","Texas","New York","California"}, 0)),
    0,
    IF(
        B180 = INDEX(Assumptions!$C$3:$C$7, MATCH(C180, {"Virginia","Florida","Texas","New York","California"}, 0)),
        IF(C180 = "Virginia", Assumptions!$C$13, Assumptions!$C$14),
        ROUND(
            (INDEX(Assumptions!$C$15:$C$19, MATCH(C180, {"Virginia","Florida","Texas","New York","California"}, 0)) * Assumptions!$C$9 -
            SUMIF(C$2:C179, C180, D$2:D180)) /
            (1 + EXP(-0.2 * (B180 - INDEX(Assumptions!$C$3:$C$7, MATCH(C180, {"Virginia","Florida","Texas","New York","California"}, 0)) - 30))),
            0
        )
    )
)</f>
        <v>231</v>
      </c>
      <c r="E180" s="62">
        <f>IF(B180&lt;INDEX(Assumptions!$C$3:$C$7, MATCH(C180, {"Virginia","Florida","Texas","New York","California"}, 0)),
    0,
    IF(F180=0,
        0,
        F180 * Assumptions!$C$12
    )
)</f>
        <v>17.854166666666668</v>
      </c>
      <c r="F180" s="62" cm="1">
        <f t="array" ref="F180">IF(B180&lt;INDEX(Assumptions!$C$3:$C$7, MATCH(C180, {"Virginia","Florida","Texas","New York","California"}, 0)),
    0,
    IF(C180=C179,
        F179 + D180,
        IF(COUNTIF($C$2:C180, C180) = 1, D180, LOOKUP(2, 1/(C$1:C179=C180), F$1:F179) + D180)
    )
)</f>
        <v>4285</v>
      </c>
      <c r="G180" s="62" cm="1">
        <f t="array" ref="G180">IF(B180&lt;INDEX(Assumptions!$C$3:$C$7, MATCH(C180, {"Virginia","Florida","Texas","New York","California"}, 0)),
    0,
    IF(C180=C179,
        G179 + D180 - E180,
        IF(COUNTIF($C$2:C180, C180) = 1, D180, LOOKUP(2, 1/(C$1:C179=C180), G$1:G179) + D180 - E180)
    )
)</f>
        <v>4127.1249999999991</v>
      </c>
      <c r="H180" s="63">
        <f>IF(B180&lt;INDEX(Assumptions!$C$3:$C$7, MATCH(C180, {"Virginia","Florida","Texas","New York","California"}, 0)),
    0,
    (G180 / INDEX(Assumptions!$C$15:$C$19, MATCH(C180, {"Virginia","Florida","Texas","New York","California"}, 0)))
)</f>
        <v>6.8785416666666654E-2</v>
      </c>
      <c r="I180" s="43">
        <f>G180*'Unit Economics'!$B$19* INDEX(Assumptions!$C$38:$C$42, MATCH(C180, {"Virginia","Florida","Texas","New York","California"}, 0))</f>
        <v>1073227.4900999998</v>
      </c>
      <c r="J180" s="43">
        <f>D180*Assumptions!$C$21*INDEX(Assumptions!$C$38:$C$42,MATCH(C180,{"Virginia","Florida","Texas","New York","California"},0))</f>
        <v>63854.406000000003</v>
      </c>
      <c r="K180" s="43">
        <f>G180/Assumptions!$C$22*('Unit Economics'!$F$24+'Unit Economics'!$F$25+'Unit Economics'!$F$26)</f>
        <v>196797.10018382352</v>
      </c>
      <c r="L180" s="43">
        <f>D180*Assumptions!$C$29</f>
        <v>42735</v>
      </c>
      <c r="M180" s="35">
        <f>G180*Assumptions!$C$27</f>
        <v>0</v>
      </c>
      <c r="N180" s="35">
        <f>G180*Assumptions!$C$28</f>
        <v>0</v>
      </c>
      <c r="O180" s="64">
        <f>IF( COUNTIF($B$2:B180, B180) = 1, MIN( Assumptions!$C$34 + INT(SUMIF($B$2:$B180, B180, G$2:G180) / 1000) * Assumptions!$C$37, Assumptions!$C$36 ), 0 )</f>
        <v>100000</v>
      </c>
      <c r="P180" s="53">
        <f t="shared" si="7"/>
        <v>1191143.9962838234</v>
      </c>
      <c r="Q180" s="52">
        <f t="shared" si="8"/>
        <v>122216625.48392911</v>
      </c>
    </row>
    <row r="181" spans="1:17">
      <c r="A181" s="2">
        <f t="shared" si="6"/>
        <v>5</v>
      </c>
      <c r="B181" s="2">
        <v>51</v>
      </c>
      <c r="C181" s="2" t="s">
        <v>93</v>
      </c>
      <c r="D181" s="62">
        <f>IF(
    B181 &lt; INDEX(Assumptions!$C$3:$C$7, MATCH(C181, {"Virginia","Florida","Texas","New York","California"}, 0)),
    0,
    IF(
        B181 = INDEX(Assumptions!$C$3:$C$7, MATCH(C181, {"Virginia","Florida","Texas","New York","California"}, 0)),
        IF(C181 = "Virginia", Assumptions!$C$13, Assumptions!$C$14),
        ROUND(
            (INDEX(Assumptions!$C$15:$C$19, MATCH(C181, {"Virginia","Florida","Texas","New York","California"}, 0)) * Assumptions!$C$9 -
            SUMIF(C$2:C180, C181, D$2:D181)) /
            (1 + EXP(-0.2 * (B181 - INDEX(Assumptions!$C$3:$C$7, MATCH(C181, {"Virginia","Florida","Texas","New York","California"}, 0)) - 30))),
            0
        )
    )
)</f>
        <v>349</v>
      </c>
      <c r="E181" s="62">
        <f>IF(B181&lt;INDEX(Assumptions!$C$3:$C$7, MATCH(C181, {"Virginia","Florida","Texas","New York","California"}, 0)),
    0,
    IF(F181=0,
        0,
        F181 * Assumptions!$C$12
    )
)</f>
        <v>26.758333333333333</v>
      </c>
      <c r="F181" s="62" cm="1">
        <f t="array" ref="F181">IF(B181&lt;INDEX(Assumptions!$C$3:$C$7, MATCH(C181, {"Virginia","Florida","Texas","New York","California"}, 0)),
    0,
    IF(C181=C180,
        F180 + D181,
        IF(COUNTIF($C$2:C181, C181) = 1, D181, LOOKUP(2, 1/(C$1:C180=C181), F$1:F180) + D181)
    )
)</f>
        <v>6422</v>
      </c>
      <c r="G181" s="62" cm="1">
        <f t="array" ref="G181">IF(B181&lt;INDEX(Assumptions!$C$3:$C$7, MATCH(C181, {"Virginia","Florida","Texas","New York","California"}, 0)),
    0,
    IF(C181=C180,
        G180 + D181 - E181,
        IF(COUNTIF($C$2:C181, C181) = 1, D181, LOOKUP(2, 1/(C$1:C180=C181), G$1:G180) + D181 - E181)
    )
)</f>
        <v>6189.0000000000018</v>
      </c>
      <c r="H181" s="63">
        <f>IF(B181&lt;INDEX(Assumptions!$C$3:$C$7, MATCH(C181, {"Virginia","Florida","Texas","New York","California"}, 0)),
    0,
    (G181 / INDEX(Assumptions!$C$15:$C$19, MATCH(C181, {"Virginia","Florida","Texas","New York","California"}, 0)))
)</f>
        <v>6.8766666666666684E-2</v>
      </c>
      <c r="I181" s="43">
        <f>G181*'Unit Economics'!$B$19* INDEX(Assumptions!$C$38:$C$42, MATCH(C181, {"Virginia","Florida","Texas","New York","California"}, 0))</f>
        <v>1639206.1620000005</v>
      </c>
      <c r="J181" s="43">
        <f>D181*Assumptions!$C$21*INDEX(Assumptions!$C$38:$C$42,MATCH(C181,{"Virginia","Florida","Texas","New York","California"},0))</f>
        <v>98259.205000000016</v>
      </c>
      <c r="K181" s="43">
        <f>G181/Assumptions!$C$22*('Unit Economics'!$F$24+'Unit Economics'!$F$25+'Unit Economics'!$F$26)</f>
        <v>295115.18382352951</v>
      </c>
      <c r="L181" s="43">
        <f>D181*Assumptions!$C$29</f>
        <v>64565</v>
      </c>
      <c r="M181" s="35">
        <f>G181*Assumptions!$C$27</f>
        <v>0</v>
      </c>
      <c r="N181" s="35">
        <f>G181*Assumptions!$C$28</f>
        <v>0</v>
      </c>
      <c r="O181" s="64">
        <f>IF( COUNTIF($B$2:B181, B181) = 1, MIN( Assumptions!$C$34 + INT(SUMIF($B$2:$B181, B181, G$2:G181) / 1000) * Assumptions!$C$37, Assumptions!$C$36 ), 0 )</f>
        <v>0</v>
      </c>
      <c r="P181" s="53">
        <f t="shared" si="7"/>
        <v>1968015.5508235302</v>
      </c>
      <c r="Q181" s="52">
        <f t="shared" si="8"/>
        <v>124184641.03475264</v>
      </c>
    </row>
    <row r="182" spans="1:17">
      <c r="A182" s="2">
        <f t="shared" si="6"/>
        <v>5</v>
      </c>
      <c r="B182" s="2">
        <v>51</v>
      </c>
      <c r="C182" s="2" t="s">
        <v>90</v>
      </c>
      <c r="D182" s="62">
        <f>IF(
    B182 &lt; INDEX(Assumptions!$C$3:$C$7, MATCH(C182, {"Virginia","Florida","Texas","New York","California"}, 0)),
    0,
    IF(
        B182 = INDEX(Assumptions!$C$3:$C$7, MATCH(C182, {"Virginia","Florida","Texas","New York","California"}, 0)),
        IF(C182 = "Virginia", Assumptions!$C$13, Assumptions!$C$14),
        ROUND(
            (INDEX(Assumptions!$C$15:$C$19, MATCH(C182, {"Virginia","Florida","Texas","New York","California"}, 0)) * Assumptions!$C$9 -
            SUMIF(C$2:C181, C182, D$2:D182)) /
            (1 + EXP(-0.2 * (B182 - INDEX(Assumptions!$C$3:$C$7, MATCH(C182, {"Virginia","Florida","Texas","New York","California"}, 0)) - 30))),
            0
        )
    )
)</f>
        <v>0</v>
      </c>
      <c r="E182" s="62">
        <f>IF(B182&lt;INDEX(Assumptions!$C$3:$C$7, MATCH(C182, {"Virginia","Florida","Texas","New York","California"}, 0)),
    0,
    IF(F182=0,
        0,
        F182 * Assumptions!$C$12
    )
)</f>
        <v>23.333333333333332</v>
      </c>
      <c r="F182" s="62" cm="1">
        <f t="array" ref="F182">IF(B182&lt;INDEX(Assumptions!$C$3:$C$7, MATCH(C182, {"Virginia","Florida","Texas","New York","California"}, 0)),
    0,
    IF(C182=C181,
        F181 + D182,
        IF(COUNTIF($C$2:C182, C182) = 1, D182, LOOKUP(2, 1/(C$1:C181=C182), F$1:F181) + D182)
    )
)</f>
        <v>5600</v>
      </c>
      <c r="G182" s="62" cm="1">
        <f t="array" ref="G182">IF(B182&lt;INDEX(Assumptions!$C$3:$C$7, MATCH(C182, {"Virginia","Florida","Texas","New York","California"}, 0)),
    0,
    IF(C182=C181,
        G181 + D182 - E182,
        IF(COUNTIF($C$2:C182, C182) = 1, D182, LOOKUP(2, 1/(C$1:C181=C182), G$1:G181) + D182 - E182)
    )
)</f>
        <v>5140.6250000000018</v>
      </c>
      <c r="H182" s="63">
        <f>IF(B182&lt;INDEX(Assumptions!$C$3:$C$7, MATCH(C182, {"Virginia","Florida","Texas","New York","California"}, 0)),
    0,
    (G182 / INDEX(Assumptions!$C$15:$C$19, MATCH(C182, {"Virginia","Florida","Texas","New York","California"}, 0)))
)</f>
        <v>7.3437500000000031E-2</v>
      </c>
      <c r="I182" s="43">
        <f>G182*'Unit Economics'!$B$19* INDEX(Assumptions!$C$38:$C$42, MATCH(C182, {"Virginia","Florida","Texas","New York","California"}, 0))</f>
        <v>1299647.6718750005</v>
      </c>
      <c r="J182" s="43">
        <f>D182*Assumptions!$C$21*INDEX(Assumptions!$C$38:$C$42,MATCH(C182,{"Virginia","Florida","Texas","New York","California"},0))</f>
        <v>0</v>
      </c>
      <c r="K182" s="43">
        <f>G182/Assumptions!$C$22*('Unit Economics'!$F$24+'Unit Economics'!$F$25+'Unit Economics'!$F$26)</f>
        <v>245124.65533088247</v>
      </c>
      <c r="L182" s="43">
        <f>D182*Assumptions!$C$29</f>
        <v>0</v>
      </c>
      <c r="M182" s="35">
        <f>G182*Assumptions!$C$27</f>
        <v>0</v>
      </c>
      <c r="N182" s="35">
        <f>G182*Assumptions!$C$28</f>
        <v>0</v>
      </c>
      <c r="O182" s="64">
        <f>IF( COUNTIF($B$2:B182, B182) = 1, MIN( Assumptions!$C$34 + INT(SUMIF($B$2:$B182, B182, G$2:G182) / 1000) * Assumptions!$C$37, Assumptions!$C$36 ), 0 )</f>
        <v>0</v>
      </c>
      <c r="P182" s="53">
        <f t="shared" si="7"/>
        <v>1544772.3272058829</v>
      </c>
      <c r="Q182" s="52">
        <f t="shared" si="8"/>
        <v>125729413.36195852</v>
      </c>
    </row>
    <row r="183" spans="1:17">
      <c r="A183" s="2">
        <f t="shared" si="6"/>
        <v>5</v>
      </c>
      <c r="B183" s="2">
        <v>51</v>
      </c>
      <c r="C183" s="2" t="s">
        <v>91</v>
      </c>
      <c r="D183" s="62">
        <f>IF(
    B183 &lt; INDEX(Assumptions!$C$3:$C$7, MATCH(C183, {"Virginia","Florida","Texas","New York","California"}, 0)),
    0,
    IF(
        B183 = INDEX(Assumptions!$C$3:$C$7, MATCH(C183, {"Virginia","Florida","Texas","New York","California"}, 0)),
        IF(C183 = "Virginia", Assumptions!$C$13, Assumptions!$C$14),
        ROUND(
            (INDEX(Assumptions!$C$15:$C$19, MATCH(C183, {"Virginia","Florida","Texas","New York","California"}, 0)) * Assumptions!$C$9 -
            SUMIF(C$2:C182, C183, D$2:D183)) /
            (1 + EXP(-0.2 * (B183 - INDEX(Assumptions!$C$3:$C$7, MATCH(C183, {"Virginia","Florida","Texas","New York","California"}, 0)) - 30))),
            0
        )
    )
)</f>
        <v>0</v>
      </c>
      <c r="E183" s="62">
        <f>IF(B183&lt;INDEX(Assumptions!$C$3:$C$7, MATCH(C183, {"Virginia","Florida","Texas","New York","California"}, 0)),
    0,
    IF(F183=0,
        0,
        F183 * Assumptions!$C$12
    )
)</f>
        <v>26.666666666666668</v>
      </c>
      <c r="F183" s="62" cm="1">
        <f t="array" ref="F183">IF(B183&lt;INDEX(Assumptions!$C$3:$C$7, MATCH(C183, {"Virginia","Florida","Texas","New York","California"}, 0)),
    0,
    IF(C183=C182,
        F182 + D183,
        IF(COUNTIF($C$2:C183, C183) = 1, D183, LOOKUP(2, 1/(C$1:C182=C183), F$1:F182) + D183)
    )
)</f>
        <v>6400</v>
      </c>
      <c r="G183" s="62" cm="1">
        <f t="array" ref="G183">IF(B183&lt;INDEX(Assumptions!$C$3:$C$7, MATCH(C183, {"Virginia","Florida","Texas","New York","California"}, 0)),
    0,
    IF(C183=C182,
        G182 + D183 - E183,
        IF(COUNTIF($C$2:C183, C183) = 1, D183, LOOKUP(2, 1/(C$1:C182=C183), G$1:G182) + D183 - E183)
    )
)</f>
        <v>5876.1916666666648</v>
      </c>
      <c r="H183" s="63">
        <f>IF(B183&lt;INDEX(Assumptions!$C$3:$C$7, MATCH(C183, {"Virginia","Florida","Texas","New York","California"}, 0)),
    0,
    (G183 / INDEX(Assumptions!$C$15:$C$19, MATCH(C183, {"Virginia","Florida","Texas","New York","California"}, 0)))
)</f>
        <v>7.3452395833333309E-2</v>
      </c>
      <c r="I183" s="43">
        <f>G183*'Unit Economics'!$B$19* INDEX(Assumptions!$C$38:$C$42, MATCH(C183, {"Virginia","Florida","Texas","New York","California"}, 0))</f>
        <v>1457315.5123849995</v>
      </c>
      <c r="J183" s="43">
        <f>D183*Assumptions!$C$21*INDEX(Assumptions!$C$38:$C$42,MATCH(C183,{"Virginia","Florida","Texas","New York","California"},0))</f>
        <v>0</v>
      </c>
      <c r="K183" s="43">
        <f>G183/Assumptions!$C$22*('Unit Economics'!$F$24+'Unit Economics'!$F$25+'Unit Economics'!$F$26)</f>
        <v>280199.28645833331</v>
      </c>
      <c r="L183" s="43">
        <f>D183*Assumptions!$C$29</f>
        <v>0</v>
      </c>
      <c r="M183" s="35">
        <f>G183*Assumptions!$C$27</f>
        <v>0</v>
      </c>
      <c r="N183" s="35">
        <f>G183*Assumptions!$C$28</f>
        <v>0</v>
      </c>
      <c r="O183" s="64">
        <f>IF( COUNTIF($B$2:B183, B183) = 1, MIN( Assumptions!$C$34 + INT(SUMIF($B$2:$B183, B183, G$2:G183) / 1000) * Assumptions!$C$37, Assumptions!$C$36 ), 0 )</f>
        <v>0</v>
      </c>
      <c r="P183" s="53">
        <f t="shared" si="7"/>
        <v>1737514.7988433328</v>
      </c>
      <c r="Q183" s="52">
        <f t="shared" si="8"/>
        <v>127466928.16080186</v>
      </c>
    </row>
    <row r="184" spans="1:17">
      <c r="A184" s="2">
        <f t="shared" si="6"/>
        <v>5</v>
      </c>
      <c r="B184" s="2">
        <v>51</v>
      </c>
      <c r="C184" s="2" t="s">
        <v>89</v>
      </c>
      <c r="D184" s="62">
        <f>IF(
    B184 &lt; INDEX(Assumptions!$C$3:$C$7, MATCH(C184, {"Virginia","Florida","Texas","New York","California"}, 0)),
    0,
    IF(
        B184 = INDEX(Assumptions!$C$3:$C$7, MATCH(C184, {"Virginia","Florida","Texas","New York","California"}, 0)),
        IF(C184 = "Virginia", Assumptions!$C$13, Assumptions!$C$14),
        ROUND(
            (INDEX(Assumptions!$C$15:$C$19, MATCH(C184, {"Virginia","Florida","Texas","New York","California"}, 0)) * Assumptions!$C$9 -
            SUMIF(C$2:C183, C184, D$2:D184)) /
            (1 + EXP(-0.2 * (B184 - INDEX(Assumptions!$C$3:$C$7, MATCH(C184, {"Virginia","Florida","Texas","New York","California"}, 0)) - 30))),
            0
        )
    )
)</f>
        <v>0</v>
      </c>
      <c r="E184" s="62">
        <f>IF(B184&lt;INDEX(Assumptions!$C$3:$C$7, MATCH(C184, {"Virginia","Florida","Texas","New York","California"}, 0)),
    0,
    IF(F184=0,
        0,
        F184 * Assumptions!$C$12
    )
)</f>
        <v>16.666666666666668</v>
      </c>
      <c r="F184" s="62" cm="1">
        <f t="array" ref="F184">IF(B184&lt;INDEX(Assumptions!$C$3:$C$7, MATCH(C184, {"Virginia","Florida","Texas","New York","California"}, 0)),
    0,
    IF(C184=C183,
        F183 + D184,
        IF(COUNTIF($C$2:C184, C184) = 1, D184, LOOKUP(2, 1/(C$1:C183=C184), F$1:F183) + D184)
    )
)</f>
        <v>4000</v>
      </c>
      <c r="G184" s="62" cm="1">
        <f t="array" ref="G184">IF(B184&lt;INDEX(Assumptions!$C$3:$C$7, MATCH(C184, {"Virginia","Florida","Texas","New York","California"}, 0)),
    0,
    IF(C184=C183,
        G183 + D184 - E184,
        IF(COUNTIF($C$2:C184, C184) = 1, D184, LOOKUP(2, 1/(C$1:C183=C184), G$1:G183) + D184 - E184)
    )
)</f>
        <v>3473.6208333333357</v>
      </c>
      <c r="H184" s="63">
        <f>IF(B184&lt;INDEX(Assumptions!$C$3:$C$7, MATCH(C184, {"Virginia","Florida","Texas","New York","California"}, 0)),
    0,
    (G184 / INDEX(Assumptions!$C$15:$C$19, MATCH(C184, {"Virginia","Florida","Texas","New York","California"}, 0)))
)</f>
        <v>6.9472416666666717E-2</v>
      </c>
      <c r="I184" s="43">
        <f>G184*'Unit Economics'!$B$19* INDEX(Assumptions!$C$38:$C$42, MATCH(C184, {"Virginia","Florida","Texas","New York","California"}, 0))</f>
        <v>836378.42425000062</v>
      </c>
      <c r="J184" s="43">
        <f>D184*Assumptions!$C$21*INDEX(Assumptions!$C$38:$C$42,MATCH(C184,{"Virginia","Florida","Texas","New York","California"},0))</f>
        <v>0</v>
      </c>
      <c r="K184" s="43">
        <f>G184/Assumptions!$C$22*('Unit Economics'!$F$24+'Unit Economics'!$F$25+'Unit Economics'!$F$26)</f>
        <v>165635.52282475503</v>
      </c>
      <c r="L184" s="43">
        <f>D184*Assumptions!$C$29</f>
        <v>0</v>
      </c>
      <c r="M184" s="35">
        <f>G184*Assumptions!$C$27</f>
        <v>0</v>
      </c>
      <c r="N184" s="35">
        <f>G184*Assumptions!$C$28</f>
        <v>0</v>
      </c>
      <c r="O184" s="64">
        <f>IF( COUNTIF($B$2:B184, B184) = 1, MIN( Assumptions!$C$34 + INT(SUMIF($B$2:$B184, B184, G$2:G184) / 1000) * Assumptions!$C$37, Assumptions!$C$36 ), 0 )</f>
        <v>0</v>
      </c>
      <c r="P184" s="53">
        <f t="shared" si="7"/>
        <v>1002013.9470747557</v>
      </c>
      <c r="Q184" s="52">
        <f t="shared" si="8"/>
        <v>128468942.10787661</v>
      </c>
    </row>
    <row r="185" spans="1:17">
      <c r="A185" s="2">
        <f t="shared" si="6"/>
        <v>5</v>
      </c>
      <c r="B185" s="2">
        <v>52</v>
      </c>
      <c r="C185" s="2" t="s">
        <v>92</v>
      </c>
      <c r="D185" s="62">
        <f>IF(
    B185 &lt; INDEX(Assumptions!$C$3:$C$7, MATCH(C185, {"Virginia","Florida","Texas","New York","California"}, 0)),
    0,
    IF(
        B185 = INDEX(Assumptions!$C$3:$C$7, MATCH(C185, {"Virginia","Florida","Texas","New York","California"}, 0)),
        IF(C185 = "Virginia", Assumptions!$C$13, Assumptions!$C$14),
        ROUND(
            (INDEX(Assumptions!$C$15:$C$19, MATCH(C185, {"Virginia","Florida","Texas","New York","California"}, 0)) * Assumptions!$C$9 -
            SUMIF(C$2:C184, C185, D$2:D185)) /
            (1 + EXP(-0.2 * (B185 - INDEX(Assumptions!$C$3:$C$7, MATCH(C185, {"Virginia","Florida","Texas","New York","California"}, 0)) - 30))),
            0
        )
    )
)</f>
        <v>182</v>
      </c>
      <c r="E185" s="62">
        <f>IF(B185&lt;INDEX(Assumptions!$C$3:$C$7, MATCH(C185, {"Virginia","Florida","Texas","New York","California"}, 0)),
    0,
    IF(F185=0,
        0,
        F185 * Assumptions!$C$12
    )
)</f>
        <v>18.612500000000001</v>
      </c>
      <c r="F185" s="62" cm="1">
        <f t="array" ref="F185">IF(B185&lt;INDEX(Assumptions!$C$3:$C$7, MATCH(C185, {"Virginia","Florida","Texas","New York","California"}, 0)),
    0,
    IF(C185=C184,
        F184 + D185,
        IF(COUNTIF($C$2:C185, C185) = 1, D185, LOOKUP(2, 1/(C$1:C184=C185), F$1:F184) + D185)
    )
)</f>
        <v>4467</v>
      </c>
      <c r="G185" s="62" cm="1">
        <f t="array" ref="G185">IF(B185&lt;INDEX(Assumptions!$C$3:$C$7, MATCH(C185, {"Virginia","Florida","Texas","New York","California"}, 0)),
    0,
    IF(C185=C184,
        G184 + D185 - E185,
        IF(COUNTIF($C$2:C185, C185) = 1, D185, LOOKUP(2, 1/(C$1:C184=C185), G$1:G184) + D185 - E185)
    )
)</f>
        <v>4290.5124999999989</v>
      </c>
      <c r="H185" s="63">
        <f>IF(B185&lt;INDEX(Assumptions!$C$3:$C$7, MATCH(C185, {"Virginia","Florida","Texas","New York","California"}, 0)),
    0,
    (G185 / INDEX(Assumptions!$C$15:$C$19, MATCH(C185, {"Virginia","Florida","Texas","New York","California"}, 0)))
)</f>
        <v>7.1508541666666647E-2</v>
      </c>
      <c r="I185" s="43">
        <f>G185*'Unit Economics'!$B$19* INDEX(Assumptions!$C$38:$C$42, MATCH(C185, {"Virginia","Florida","Texas","New York","California"}, 0))</f>
        <v>1115715.1677299996</v>
      </c>
      <c r="J185" s="43">
        <f>D185*Assumptions!$C$21*INDEX(Assumptions!$C$38:$C$42,MATCH(C185,{"Virginia","Florida","Texas","New York","California"},0))</f>
        <v>50309.532000000007</v>
      </c>
      <c r="K185" s="43">
        <f>G185/Assumptions!$C$22*('Unit Economics'!$F$24+'Unit Economics'!$F$25+'Unit Economics'!$F$26)</f>
        <v>204588.04090073527</v>
      </c>
      <c r="L185" s="43">
        <f>D185*Assumptions!$C$29</f>
        <v>33670</v>
      </c>
      <c r="M185" s="35">
        <f>G185*Assumptions!$C$27</f>
        <v>0</v>
      </c>
      <c r="N185" s="35">
        <f>G185*Assumptions!$C$28</f>
        <v>0</v>
      </c>
      <c r="O185" s="64">
        <f>IF( COUNTIF($B$2:B185, B185) = 1, MIN( Assumptions!$C$34 + INT(SUMIF($B$2:$B185, B185, G$2:G185) / 1000) * Assumptions!$C$37, Assumptions!$C$36 ), 0 )</f>
        <v>100000</v>
      </c>
      <c r="P185" s="53">
        <f t="shared" si="7"/>
        <v>1236942.7406307347</v>
      </c>
      <c r="Q185" s="52">
        <f t="shared" si="8"/>
        <v>129705884.84850734</v>
      </c>
    </row>
    <row r="186" spans="1:17">
      <c r="A186" s="2">
        <f t="shared" si="6"/>
        <v>5</v>
      </c>
      <c r="B186" s="2">
        <v>52</v>
      </c>
      <c r="C186" s="2" t="s">
        <v>93</v>
      </c>
      <c r="D186" s="62">
        <f>IF(
    B186 &lt; INDEX(Assumptions!$C$3:$C$7, MATCH(C186, {"Virginia","Florida","Texas","New York","California"}, 0)),
    0,
    IF(
        B186 = INDEX(Assumptions!$C$3:$C$7, MATCH(C186, {"Virginia","Florida","Texas","New York","California"}, 0)),
        IF(C186 = "Virginia", Assumptions!$C$13, Assumptions!$C$14),
        ROUND(
            (INDEX(Assumptions!$C$15:$C$19, MATCH(C186, {"Virginia","Florida","Texas","New York","California"}, 0)) * Assumptions!$C$9 -
            SUMIF(C$2:C185, C186, D$2:D186)) /
            (1 + EXP(-0.2 * (B186 - INDEX(Assumptions!$C$3:$C$7, MATCH(C186, {"Virginia","Florida","Texas","New York","California"}, 0)) - 30))),
            0
        )
    )
)</f>
        <v>276</v>
      </c>
      <c r="E186" s="62">
        <f>IF(B186&lt;INDEX(Assumptions!$C$3:$C$7, MATCH(C186, {"Virginia","Florida","Texas","New York","California"}, 0)),
    0,
    IF(F186=0,
        0,
        F186 * Assumptions!$C$12
    )
)</f>
        <v>27.908333333333331</v>
      </c>
      <c r="F186" s="62" cm="1">
        <f t="array" ref="F186">IF(B186&lt;INDEX(Assumptions!$C$3:$C$7, MATCH(C186, {"Virginia","Florida","Texas","New York","California"}, 0)),
    0,
    IF(C186=C185,
        F185 + D186,
        IF(COUNTIF($C$2:C186, C186) = 1, D186, LOOKUP(2, 1/(C$1:C185=C186), F$1:F185) + D186)
    )
)</f>
        <v>6698</v>
      </c>
      <c r="G186" s="62" cm="1">
        <f t="array" ref="G186">IF(B186&lt;INDEX(Assumptions!$C$3:$C$7, MATCH(C186, {"Virginia","Florida","Texas","New York","California"}, 0)),
    0,
    IF(C186=C185,
        G185 + D186 - E186,
        IF(COUNTIF($C$2:C186, C186) = 1, D186, LOOKUP(2, 1/(C$1:C185=C186), G$1:G185) + D186 - E186)
    )
)</f>
        <v>6437.0916666666681</v>
      </c>
      <c r="H186" s="63">
        <f>IF(B186&lt;INDEX(Assumptions!$C$3:$C$7, MATCH(C186, {"Virginia","Florida","Texas","New York","California"}, 0)),
    0,
    (G186 / INDEX(Assumptions!$C$15:$C$19, MATCH(C186, {"Virginia","Florida","Texas","New York","California"}, 0)))
)</f>
        <v>7.1523240740740762E-2</v>
      </c>
      <c r="I186" s="43">
        <f>G186*'Unit Economics'!$B$19* INDEX(Assumptions!$C$38:$C$42, MATCH(C186, {"Virginia","Florida","Texas","New York","California"}, 0))</f>
        <v>1704915.2246500007</v>
      </c>
      <c r="J186" s="43">
        <f>D186*Assumptions!$C$21*INDEX(Assumptions!$C$38:$C$42,MATCH(C186,{"Virginia","Florida","Texas","New York","California"},0))</f>
        <v>77706.42</v>
      </c>
      <c r="K186" s="43">
        <f>G186/Assumptions!$C$22*('Unit Economics'!$F$24+'Unit Economics'!$F$25+'Unit Economics'!$F$26)</f>
        <v>306945.14307598048</v>
      </c>
      <c r="L186" s="43">
        <f>D186*Assumptions!$C$29</f>
        <v>51060</v>
      </c>
      <c r="M186" s="35">
        <f>G186*Assumptions!$C$27</f>
        <v>0</v>
      </c>
      <c r="N186" s="35">
        <f>G186*Assumptions!$C$28</f>
        <v>0</v>
      </c>
      <c r="O186" s="64">
        <f>IF( COUNTIF($B$2:B186, B186) = 1, MIN( Assumptions!$C$34 + INT(SUMIF($B$2:$B186, B186, G$2:G186) / 1000) * Assumptions!$C$37, Assumptions!$C$36 ), 0 )</f>
        <v>0</v>
      </c>
      <c r="P186" s="53">
        <f t="shared" si="7"/>
        <v>2038506.7877259811</v>
      </c>
      <c r="Q186" s="52">
        <f t="shared" si="8"/>
        <v>131744391.63623333</v>
      </c>
    </row>
    <row r="187" spans="1:17">
      <c r="A187" s="2">
        <f t="shared" si="6"/>
        <v>5</v>
      </c>
      <c r="B187" s="2">
        <v>52</v>
      </c>
      <c r="C187" s="2" t="s">
        <v>90</v>
      </c>
      <c r="D187" s="62">
        <f>IF(
    B187 &lt; INDEX(Assumptions!$C$3:$C$7, MATCH(C187, {"Virginia","Florida","Texas","New York","California"}, 0)),
    0,
    IF(
        B187 = INDEX(Assumptions!$C$3:$C$7, MATCH(C187, {"Virginia","Florida","Texas","New York","California"}, 0)),
        IF(C187 = "Virginia", Assumptions!$C$13, Assumptions!$C$14),
        ROUND(
            (INDEX(Assumptions!$C$15:$C$19, MATCH(C187, {"Virginia","Florida","Texas","New York","California"}, 0)) * Assumptions!$C$9 -
            SUMIF(C$2:C186, C187, D$2:D187)) /
            (1 + EXP(-0.2 * (B187 - INDEX(Assumptions!$C$3:$C$7, MATCH(C187, {"Virginia","Florida","Texas","New York","California"}, 0)) - 30))),
            0
        )
    )
)</f>
        <v>0</v>
      </c>
      <c r="E187" s="62">
        <f>IF(B187&lt;INDEX(Assumptions!$C$3:$C$7, MATCH(C187, {"Virginia","Florida","Texas","New York","California"}, 0)),
    0,
    IF(F187=0,
        0,
        F187 * Assumptions!$C$12
    )
)</f>
        <v>23.333333333333332</v>
      </c>
      <c r="F187" s="62" cm="1">
        <f t="array" ref="F187">IF(B187&lt;INDEX(Assumptions!$C$3:$C$7, MATCH(C187, {"Virginia","Florida","Texas","New York","California"}, 0)),
    0,
    IF(C187=C186,
        F186 + D187,
        IF(COUNTIF($C$2:C187, C187) = 1, D187, LOOKUP(2, 1/(C$1:C186=C187), F$1:F186) + D187)
    )
)</f>
        <v>5600</v>
      </c>
      <c r="G187" s="62" cm="1">
        <f t="array" ref="G187">IF(B187&lt;INDEX(Assumptions!$C$3:$C$7, MATCH(C187, {"Virginia","Florida","Texas","New York","California"}, 0)),
    0,
    IF(C187=C186,
        G186 + D187 - E187,
        IF(COUNTIF($C$2:C187, C187) = 1, D187, LOOKUP(2, 1/(C$1:C186=C187), G$1:G186) + D187 - E187)
    )
)</f>
        <v>5117.2916666666688</v>
      </c>
      <c r="H187" s="63">
        <f>IF(B187&lt;INDEX(Assumptions!$C$3:$C$7, MATCH(C187, {"Virginia","Florida","Texas","New York","California"}, 0)),
    0,
    (G187 / INDEX(Assumptions!$C$15:$C$19, MATCH(C187, {"Virginia","Florida","Texas","New York","California"}, 0)))
)</f>
        <v>7.3104166666666692E-2</v>
      </c>
      <c r="I187" s="43">
        <f>G187*'Unit Economics'!$B$19* INDEX(Assumptions!$C$38:$C$42, MATCH(C187, {"Virginia","Florida","Texas","New York","California"}, 0))</f>
        <v>1293748.5618750006</v>
      </c>
      <c r="J187" s="43">
        <f>D187*Assumptions!$C$21*INDEX(Assumptions!$C$38:$C$42,MATCH(C187,{"Virginia","Florida","Texas","New York","California"},0))</f>
        <v>0</v>
      </c>
      <c r="K187" s="43">
        <f>G187/Assumptions!$C$22*('Unit Economics'!$F$24+'Unit Economics'!$F$25+'Unit Economics'!$F$26)</f>
        <v>244012.03278186286</v>
      </c>
      <c r="L187" s="43">
        <f>D187*Assumptions!$C$29</f>
        <v>0</v>
      </c>
      <c r="M187" s="35">
        <f>G187*Assumptions!$C$27</f>
        <v>0</v>
      </c>
      <c r="N187" s="35">
        <f>G187*Assumptions!$C$28</f>
        <v>0</v>
      </c>
      <c r="O187" s="64">
        <f>IF( COUNTIF($B$2:B187, B187) = 1, MIN( Assumptions!$C$34 + INT(SUMIF($B$2:$B187, B187, G$2:G187) / 1000) * Assumptions!$C$37, Assumptions!$C$36 ), 0 )</f>
        <v>0</v>
      </c>
      <c r="P187" s="53">
        <f t="shared" si="7"/>
        <v>1537760.5946568635</v>
      </c>
      <c r="Q187" s="52">
        <f t="shared" si="8"/>
        <v>133282152.2308902</v>
      </c>
    </row>
    <row r="188" spans="1:17">
      <c r="A188" s="2">
        <f t="shared" si="6"/>
        <v>5</v>
      </c>
      <c r="B188" s="2">
        <v>52</v>
      </c>
      <c r="C188" s="2" t="s">
        <v>91</v>
      </c>
      <c r="D188" s="62">
        <f>IF(
    B188 &lt; INDEX(Assumptions!$C$3:$C$7, MATCH(C188, {"Virginia","Florida","Texas","New York","California"}, 0)),
    0,
    IF(
        B188 = INDEX(Assumptions!$C$3:$C$7, MATCH(C188, {"Virginia","Florida","Texas","New York","California"}, 0)),
        IF(C188 = "Virginia", Assumptions!$C$13, Assumptions!$C$14),
        ROUND(
            (INDEX(Assumptions!$C$15:$C$19, MATCH(C188, {"Virginia","Florida","Texas","New York","California"}, 0)) * Assumptions!$C$9 -
            SUMIF(C$2:C187, C188, D$2:D188)) /
            (1 + EXP(-0.2 * (B188 - INDEX(Assumptions!$C$3:$C$7, MATCH(C188, {"Virginia","Florida","Texas","New York","California"}, 0)) - 30))),
            0
        )
    )
)</f>
        <v>0</v>
      </c>
      <c r="E188" s="62">
        <f>IF(B188&lt;INDEX(Assumptions!$C$3:$C$7, MATCH(C188, {"Virginia","Florida","Texas","New York","California"}, 0)),
    0,
    IF(F188=0,
        0,
        F188 * Assumptions!$C$12
    )
)</f>
        <v>26.666666666666668</v>
      </c>
      <c r="F188" s="62" cm="1">
        <f t="array" ref="F188">IF(B188&lt;INDEX(Assumptions!$C$3:$C$7, MATCH(C188, {"Virginia","Florida","Texas","New York","California"}, 0)),
    0,
    IF(C188=C187,
        F187 + D188,
        IF(COUNTIF($C$2:C188, C188) = 1, D188, LOOKUP(2, 1/(C$1:C187=C188), F$1:F187) + D188)
    )
)</f>
        <v>6400</v>
      </c>
      <c r="G188" s="62" cm="1">
        <f t="array" ref="G188">IF(B188&lt;INDEX(Assumptions!$C$3:$C$7, MATCH(C188, {"Virginia","Florida","Texas","New York","California"}, 0)),
    0,
    IF(C188=C187,
        G187 + D188 - E188,
        IF(COUNTIF($C$2:C188, C188) = 1, D188, LOOKUP(2, 1/(C$1:C187=C188), G$1:G187) + D188 - E188)
    )
)</f>
        <v>5849.5249999999978</v>
      </c>
      <c r="H188" s="63">
        <f>IF(B188&lt;INDEX(Assumptions!$C$3:$C$7, MATCH(C188, {"Virginia","Florida","Texas","New York","California"}, 0)),
    0,
    (G188 / INDEX(Assumptions!$C$15:$C$19, MATCH(C188, {"Virginia","Florida","Texas","New York","California"}, 0)))
)</f>
        <v>7.3119062499999971E-2</v>
      </c>
      <c r="I188" s="43">
        <f>G188*'Unit Economics'!$B$19* INDEX(Assumptions!$C$38:$C$42, MATCH(C188, {"Virginia","Florida","Texas","New York","California"}, 0))</f>
        <v>1450702.0883849997</v>
      </c>
      <c r="J188" s="43">
        <f>D188*Assumptions!$C$21*INDEX(Assumptions!$C$38:$C$42,MATCH(C188,{"Virginia","Florida","Texas","New York","California"},0))</f>
        <v>0</v>
      </c>
      <c r="K188" s="43">
        <f>G188/Assumptions!$C$22*('Unit Economics'!$F$24+'Unit Economics'!$F$25+'Unit Economics'!$F$26)</f>
        <v>278927.71783088229</v>
      </c>
      <c r="L188" s="43">
        <f>D188*Assumptions!$C$29</f>
        <v>0</v>
      </c>
      <c r="M188" s="35">
        <f>G188*Assumptions!$C$27</f>
        <v>0</v>
      </c>
      <c r="N188" s="35">
        <f>G188*Assumptions!$C$28</f>
        <v>0</v>
      </c>
      <c r="O188" s="64">
        <f>IF( COUNTIF($B$2:B188, B188) = 1, MIN( Assumptions!$C$34 + INT(SUMIF($B$2:$B188, B188, G$2:G188) / 1000) * Assumptions!$C$37, Assumptions!$C$36 ), 0 )</f>
        <v>0</v>
      </c>
      <c r="P188" s="53">
        <f t="shared" si="7"/>
        <v>1729629.8062158818</v>
      </c>
      <c r="Q188" s="52">
        <f t="shared" si="8"/>
        <v>135011782.03710607</v>
      </c>
    </row>
    <row r="189" spans="1:17">
      <c r="A189" s="2">
        <f t="shared" si="6"/>
        <v>5</v>
      </c>
      <c r="B189" s="2">
        <v>52</v>
      </c>
      <c r="C189" s="2" t="s">
        <v>89</v>
      </c>
      <c r="D189" s="62">
        <f>IF(
    B189 &lt; INDEX(Assumptions!$C$3:$C$7, MATCH(C189, {"Virginia","Florida","Texas","New York","California"}, 0)),
    0,
    IF(
        B189 = INDEX(Assumptions!$C$3:$C$7, MATCH(C189, {"Virginia","Florida","Texas","New York","California"}, 0)),
        IF(C189 = "Virginia", Assumptions!$C$13, Assumptions!$C$14),
        ROUND(
            (INDEX(Assumptions!$C$15:$C$19, MATCH(C189, {"Virginia","Florida","Texas","New York","California"}, 0)) * Assumptions!$C$9 -
            SUMIF(C$2:C188, C189, D$2:D189)) /
            (1 + EXP(-0.2 * (B189 - INDEX(Assumptions!$C$3:$C$7, MATCH(C189, {"Virginia","Florida","Texas","New York","California"}, 0)) - 30))),
            0
        )
    )
)</f>
        <v>0</v>
      </c>
      <c r="E189" s="62">
        <f>IF(B189&lt;INDEX(Assumptions!$C$3:$C$7, MATCH(C189, {"Virginia","Florida","Texas","New York","California"}, 0)),
    0,
    IF(F189=0,
        0,
        F189 * Assumptions!$C$12
    )
)</f>
        <v>16.666666666666668</v>
      </c>
      <c r="F189" s="62" cm="1">
        <f t="array" ref="F189">IF(B189&lt;INDEX(Assumptions!$C$3:$C$7, MATCH(C189, {"Virginia","Florida","Texas","New York","California"}, 0)),
    0,
    IF(C189=C188,
        F188 + D189,
        IF(COUNTIF($C$2:C189, C189) = 1, D189, LOOKUP(2, 1/(C$1:C188=C189), F$1:F188) + D189)
    )
)</f>
        <v>4000</v>
      </c>
      <c r="G189" s="62" cm="1">
        <f t="array" ref="G189">IF(B189&lt;INDEX(Assumptions!$C$3:$C$7, MATCH(C189, {"Virginia","Florida","Texas","New York","California"}, 0)),
    0,
    IF(C189=C188,
        G188 + D189 - E189,
        IF(COUNTIF($C$2:C189, C189) = 1, D189, LOOKUP(2, 1/(C$1:C188=C189), G$1:G188) + D189 - E189)
    )
)</f>
        <v>3456.9541666666692</v>
      </c>
      <c r="H189" s="63">
        <f>IF(B189&lt;INDEX(Assumptions!$C$3:$C$7, MATCH(C189, {"Virginia","Florida","Texas","New York","California"}, 0)),
    0,
    (G189 / INDEX(Assumptions!$C$15:$C$19, MATCH(C189, {"Virginia","Florida","Texas","New York","California"}, 0)))
)</f>
        <v>6.9139083333333379E-2</v>
      </c>
      <c r="I189" s="43">
        <f>G189*'Unit Economics'!$B$19* INDEX(Assumptions!$C$38:$C$42, MATCH(C189, {"Virginia","Florida","Texas","New York","California"}, 0))</f>
        <v>832365.42425000062</v>
      </c>
      <c r="J189" s="43">
        <f>D189*Assumptions!$C$21*INDEX(Assumptions!$C$38:$C$42,MATCH(C189,{"Virginia","Florida","Texas","New York","California"},0))</f>
        <v>0</v>
      </c>
      <c r="K189" s="43">
        <f>G189/Assumptions!$C$22*('Unit Economics'!$F$24+'Unit Economics'!$F$25+'Unit Economics'!$F$26)</f>
        <v>164840.79243259816</v>
      </c>
      <c r="L189" s="43">
        <f>D189*Assumptions!$C$29</f>
        <v>0</v>
      </c>
      <c r="M189" s="35">
        <f>G189*Assumptions!$C$27</f>
        <v>0</v>
      </c>
      <c r="N189" s="35">
        <f>G189*Assumptions!$C$28</f>
        <v>0</v>
      </c>
      <c r="O189" s="64">
        <f>IF( COUNTIF($B$2:B189, B189) = 1, MIN( Assumptions!$C$34 + INT(SUMIF($B$2:$B189, B189, G$2:G189) / 1000) * Assumptions!$C$37, Assumptions!$C$36 ), 0 )</f>
        <v>0</v>
      </c>
      <c r="P189" s="53">
        <f t="shared" si="7"/>
        <v>997206.21668259881</v>
      </c>
      <c r="Q189" s="52">
        <f t="shared" si="8"/>
        <v>136008988.25378868</v>
      </c>
    </row>
    <row r="190" spans="1:17">
      <c r="A190" s="2">
        <f t="shared" si="6"/>
        <v>5</v>
      </c>
      <c r="B190" s="2">
        <v>53</v>
      </c>
      <c r="C190" s="2" t="s">
        <v>92</v>
      </c>
      <c r="D190" s="62">
        <f>IF(
    B190 &lt; INDEX(Assumptions!$C$3:$C$7, MATCH(C190, {"Virginia","Florida","Texas","New York","California"}, 0)),
    0,
    IF(
        B190 = INDEX(Assumptions!$C$3:$C$7, MATCH(C190, {"Virginia","Florida","Texas","New York","California"}, 0)),
        IF(C190 = "Virginia", Assumptions!$C$13, Assumptions!$C$14),
        ROUND(
            (INDEX(Assumptions!$C$15:$C$19, MATCH(C190, {"Virginia","Florida","Texas","New York","California"}, 0)) * Assumptions!$C$9 -
            SUMIF(C$2:C189, C190, D$2:D190)) /
            (1 + EXP(-0.2 * (B190 - INDEX(Assumptions!$C$3:$C$7, MATCH(C190, {"Virginia","Florida","Texas","New York","California"}, 0)) - 30))),
            0
        )
    )
)</f>
        <v>134</v>
      </c>
      <c r="E190" s="62">
        <f>IF(B190&lt;INDEX(Assumptions!$C$3:$C$7, MATCH(C190, {"Virginia","Florida","Texas","New York","California"}, 0)),
    0,
    IF(F190=0,
        0,
        F190 * Assumptions!$C$12
    )
)</f>
        <v>19.170833333333334</v>
      </c>
      <c r="F190" s="62" cm="1">
        <f t="array" ref="F190">IF(B190&lt;INDEX(Assumptions!$C$3:$C$7, MATCH(C190, {"Virginia","Florida","Texas","New York","California"}, 0)),
    0,
    IF(C190=C189,
        F189 + D190,
        IF(COUNTIF($C$2:C190, C190) = 1, D190, LOOKUP(2, 1/(C$1:C189=C190), F$1:F189) + D190)
    )
)</f>
        <v>4601</v>
      </c>
      <c r="G190" s="62" cm="1">
        <f t="array" ref="G190">IF(B190&lt;INDEX(Assumptions!$C$3:$C$7, MATCH(C190, {"Virginia","Florida","Texas","New York","California"}, 0)),
    0,
    IF(C190=C189,
        G189 + D190 - E190,
        IF(COUNTIF($C$2:C190, C190) = 1, D190, LOOKUP(2, 1/(C$1:C189=C190), G$1:G189) + D190 - E190)
    )
)</f>
        <v>4405.3416666666653</v>
      </c>
      <c r="H190" s="63">
        <f>IF(B190&lt;INDEX(Assumptions!$C$3:$C$7, MATCH(C190, {"Virginia","Florida","Texas","New York","California"}, 0)),
    0,
    (G190 / INDEX(Assumptions!$C$15:$C$19, MATCH(C190, {"Virginia","Florida","Texas","New York","California"}, 0)))
)</f>
        <v>7.3422361111111084E-2</v>
      </c>
      <c r="I190" s="43">
        <f>G190*'Unit Economics'!$B$19* INDEX(Assumptions!$C$38:$C$42, MATCH(C190, {"Virginia","Florida","Texas","New York","California"}, 0))</f>
        <v>1145575.6198199997</v>
      </c>
      <c r="J190" s="43">
        <f>D190*Assumptions!$C$21*INDEX(Assumptions!$C$38:$C$42,MATCH(C190,{"Virginia","Florida","Texas","New York","California"},0))</f>
        <v>37041.083999999995</v>
      </c>
      <c r="K190" s="43">
        <f>G190/Assumptions!$C$22*('Unit Economics'!$F$24+'Unit Economics'!$F$25+'Unit Economics'!$F$26)</f>
        <v>210063.53462009798</v>
      </c>
      <c r="L190" s="43">
        <f>D190*Assumptions!$C$29</f>
        <v>24790</v>
      </c>
      <c r="M190" s="35">
        <f>G190*Assumptions!$C$27</f>
        <v>0</v>
      </c>
      <c r="N190" s="35">
        <f>G190*Assumptions!$C$28</f>
        <v>0</v>
      </c>
      <c r="O190" s="64">
        <f>IF( COUNTIF($B$2:B190, B190) = 1, MIN( Assumptions!$C$34 + INT(SUMIF($B$2:$B190, B190, G$2:G190) / 1000) * Assumptions!$C$37, Assumptions!$C$36 ), 0 )</f>
        <v>100000</v>
      </c>
      <c r="P190" s="53">
        <f t="shared" si="7"/>
        <v>1267890.2384400978</v>
      </c>
      <c r="Q190" s="52">
        <f t="shared" si="8"/>
        <v>137276878.49222878</v>
      </c>
    </row>
    <row r="191" spans="1:17">
      <c r="A191" s="2">
        <f t="shared" si="6"/>
        <v>5</v>
      </c>
      <c r="B191" s="2">
        <v>53</v>
      </c>
      <c r="C191" s="2" t="s">
        <v>93</v>
      </c>
      <c r="D191" s="62">
        <f>IF(
    B191 &lt; INDEX(Assumptions!$C$3:$C$7, MATCH(C191, {"Virginia","Florida","Texas","New York","California"}, 0)),
    0,
    IF(
        B191 = INDEX(Assumptions!$C$3:$C$7, MATCH(C191, {"Virginia","Florida","Texas","New York","California"}, 0)),
        IF(C191 = "Virginia", Assumptions!$C$13, Assumptions!$C$14),
        ROUND(
            (INDEX(Assumptions!$C$15:$C$19, MATCH(C191, {"Virginia","Florida","Texas","New York","California"}, 0)) * Assumptions!$C$9 -
            SUMIF(C$2:C190, C191, D$2:D191)) /
            (1 + EXP(-0.2 * (B191 - INDEX(Assumptions!$C$3:$C$7, MATCH(C191, {"Virginia","Florida","Texas","New York","California"}, 0)) - 30))),
            0
        )
    )
)</f>
        <v>201</v>
      </c>
      <c r="E191" s="62">
        <f>IF(B191&lt;INDEX(Assumptions!$C$3:$C$7, MATCH(C191, {"Virginia","Florida","Texas","New York","California"}, 0)),
    0,
    IF(F191=0,
        0,
        F191 * Assumptions!$C$12
    )
)</f>
        <v>28.745833333333334</v>
      </c>
      <c r="F191" s="62" cm="1">
        <f t="array" ref="F191">IF(B191&lt;INDEX(Assumptions!$C$3:$C$7, MATCH(C191, {"Virginia","Florida","Texas","New York","California"}, 0)),
    0,
    IF(C191=C190,
        F190 + D191,
        IF(COUNTIF($C$2:C191, C191) = 1, D191, LOOKUP(2, 1/(C$1:C190=C191), F$1:F190) + D191)
    )
)</f>
        <v>6899</v>
      </c>
      <c r="G191" s="62" cm="1">
        <f t="array" ref="G191">IF(B191&lt;INDEX(Assumptions!$C$3:$C$7, MATCH(C191, {"Virginia","Florida","Texas","New York","California"}, 0)),
    0,
    IF(C191=C190,
        G190 + D191 - E191,
        IF(COUNTIF($C$2:C191, C191) = 1, D191, LOOKUP(2, 1/(C$1:C190=C191), G$1:G190) + D191 - E191)
    )
)</f>
        <v>6609.3458333333347</v>
      </c>
      <c r="H191" s="63">
        <f>IF(B191&lt;INDEX(Assumptions!$C$3:$C$7, MATCH(C191, {"Virginia","Florida","Texas","New York","California"}, 0)),
    0,
    (G191 / INDEX(Assumptions!$C$15:$C$19, MATCH(C191, {"Virginia","Florida","Texas","New York","California"}, 0)))
)</f>
        <v>7.343717592592594E-2</v>
      </c>
      <c r="I191" s="43">
        <f>G191*'Unit Economics'!$B$19* INDEX(Assumptions!$C$38:$C$42, MATCH(C191, {"Virginia","Florida","Texas","New York","California"}, 0))</f>
        <v>1750538.1187250004</v>
      </c>
      <c r="J191" s="43">
        <f>D191*Assumptions!$C$21*INDEX(Assumptions!$C$38:$C$42,MATCH(C191,{"Virginia","Florida","Texas","New York","California"},0))</f>
        <v>56590.544999999998</v>
      </c>
      <c r="K191" s="43">
        <f>G191/Assumptions!$C$22*('Unit Economics'!$F$24+'Unit Economics'!$F$25+'Unit Economics'!$F$26)</f>
        <v>315158.8803615197</v>
      </c>
      <c r="L191" s="43">
        <f>D191*Assumptions!$C$29</f>
        <v>37185</v>
      </c>
      <c r="M191" s="35">
        <f>G191*Assumptions!$C$27</f>
        <v>0</v>
      </c>
      <c r="N191" s="35">
        <f>G191*Assumptions!$C$28</f>
        <v>0</v>
      </c>
      <c r="O191" s="64">
        <f>IF( COUNTIF($B$2:B191, B191) = 1, MIN( Assumptions!$C$34 + INT(SUMIF($B$2:$B191, B191, G$2:G191) / 1000) * Assumptions!$C$37, Assumptions!$C$36 ), 0 )</f>
        <v>0</v>
      </c>
      <c r="P191" s="53">
        <f t="shared" si="7"/>
        <v>2085102.5440865201</v>
      </c>
      <c r="Q191" s="52">
        <f t="shared" si="8"/>
        <v>139361981.03631529</v>
      </c>
    </row>
    <row r="192" spans="1:17">
      <c r="A192" s="2">
        <f t="shared" si="6"/>
        <v>5</v>
      </c>
      <c r="B192" s="2">
        <v>53</v>
      </c>
      <c r="C192" s="2" t="s">
        <v>90</v>
      </c>
      <c r="D192" s="62">
        <f>IF(
    B192 &lt; INDEX(Assumptions!$C$3:$C$7, MATCH(C192, {"Virginia","Florida","Texas","New York","California"}, 0)),
    0,
    IF(
        B192 = INDEX(Assumptions!$C$3:$C$7, MATCH(C192, {"Virginia","Florida","Texas","New York","California"}, 0)),
        IF(C192 = "Virginia", Assumptions!$C$13, Assumptions!$C$14),
        ROUND(
            (INDEX(Assumptions!$C$15:$C$19, MATCH(C192, {"Virginia","Florida","Texas","New York","California"}, 0)) * Assumptions!$C$9 -
            SUMIF(C$2:C191, C192, D$2:D192)) /
            (1 + EXP(-0.2 * (B192 - INDEX(Assumptions!$C$3:$C$7, MATCH(C192, {"Virginia","Florida","Texas","New York","California"}, 0)) - 30))),
            0
        )
    )
)</f>
        <v>0</v>
      </c>
      <c r="E192" s="62">
        <f>IF(B192&lt;INDEX(Assumptions!$C$3:$C$7, MATCH(C192, {"Virginia","Florida","Texas","New York","California"}, 0)),
    0,
    IF(F192=0,
        0,
        F192 * Assumptions!$C$12
    )
)</f>
        <v>23.333333333333332</v>
      </c>
      <c r="F192" s="62" cm="1">
        <f t="array" ref="F192">IF(B192&lt;INDEX(Assumptions!$C$3:$C$7, MATCH(C192, {"Virginia","Florida","Texas","New York","California"}, 0)),
    0,
    IF(C192=C191,
        F191 + D192,
        IF(COUNTIF($C$2:C192, C192) = 1, D192, LOOKUP(2, 1/(C$1:C191=C192), F$1:F191) + D192)
    )
)</f>
        <v>5600</v>
      </c>
      <c r="G192" s="62" cm="1">
        <f t="array" ref="G192">IF(B192&lt;INDEX(Assumptions!$C$3:$C$7, MATCH(C192, {"Virginia","Florida","Texas","New York","California"}, 0)),
    0,
    IF(C192=C191,
        G191 + D192 - E192,
        IF(COUNTIF($C$2:C192, C192) = 1, D192, LOOKUP(2, 1/(C$1:C191=C192), G$1:G191) + D192 - E192)
    )
)</f>
        <v>5093.9583333333358</v>
      </c>
      <c r="H192" s="63">
        <f>IF(B192&lt;INDEX(Assumptions!$C$3:$C$7, MATCH(C192, {"Virginia","Florida","Texas","New York","California"}, 0)),
    0,
    (G192 / INDEX(Assumptions!$C$15:$C$19, MATCH(C192, {"Virginia","Florida","Texas","New York","California"}, 0)))
)</f>
        <v>7.2770833333333368E-2</v>
      </c>
      <c r="I192" s="43">
        <f>G192*'Unit Economics'!$B$19* INDEX(Assumptions!$C$38:$C$42, MATCH(C192, {"Virginia","Florida","Texas","New York","California"}, 0))</f>
        <v>1287849.4518750007</v>
      </c>
      <c r="J192" s="43">
        <f>D192*Assumptions!$C$21*INDEX(Assumptions!$C$38:$C$42,MATCH(C192,{"Virginia","Florida","Texas","New York","California"},0))</f>
        <v>0</v>
      </c>
      <c r="K192" s="43">
        <f>G192/Assumptions!$C$22*('Unit Economics'!$F$24+'Unit Economics'!$F$25+'Unit Economics'!$F$26)</f>
        <v>242899.41023284328</v>
      </c>
      <c r="L192" s="43">
        <f>D192*Assumptions!$C$29</f>
        <v>0</v>
      </c>
      <c r="M192" s="35">
        <f>G192*Assumptions!$C$27</f>
        <v>0</v>
      </c>
      <c r="N192" s="35">
        <f>G192*Assumptions!$C$28</f>
        <v>0</v>
      </c>
      <c r="O192" s="64">
        <f>IF( COUNTIF($B$2:B192, B192) = 1, MIN( Assumptions!$C$34 + INT(SUMIF($B$2:$B192, B192, G$2:G192) / 1000) * Assumptions!$C$37, Assumptions!$C$36 ), 0 )</f>
        <v>0</v>
      </c>
      <c r="P192" s="53">
        <f t="shared" si="7"/>
        <v>1530748.8621078441</v>
      </c>
      <c r="Q192" s="52">
        <f t="shared" si="8"/>
        <v>140892729.89842314</v>
      </c>
    </row>
    <row r="193" spans="1:17">
      <c r="A193" s="2">
        <f t="shared" si="6"/>
        <v>5</v>
      </c>
      <c r="B193" s="2">
        <v>53</v>
      </c>
      <c r="C193" s="2" t="s">
        <v>91</v>
      </c>
      <c r="D193" s="62">
        <f>IF(
    B193 &lt; INDEX(Assumptions!$C$3:$C$7, MATCH(C193, {"Virginia","Florida","Texas","New York","California"}, 0)),
    0,
    IF(
        B193 = INDEX(Assumptions!$C$3:$C$7, MATCH(C193, {"Virginia","Florida","Texas","New York","California"}, 0)),
        IF(C193 = "Virginia", Assumptions!$C$13, Assumptions!$C$14),
        ROUND(
            (INDEX(Assumptions!$C$15:$C$19, MATCH(C193, {"Virginia","Florida","Texas","New York","California"}, 0)) * Assumptions!$C$9 -
            SUMIF(C$2:C192, C193, D$2:D193)) /
            (1 + EXP(-0.2 * (B193 - INDEX(Assumptions!$C$3:$C$7, MATCH(C193, {"Virginia","Florida","Texas","New York","California"}, 0)) - 30))),
            0
        )
    )
)</f>
        <v>0</v>
      </c>
      <c r="E193" s="62">
        <f>IF(B193&lt;INDEX(Assumptions!$C$3:$C$7, MATCH(C193, {"Virginia","Florida","Texas","New York","California"}, 0)),
    0,
    IF(F193=0,
        0,
        F193 * Assumptions!$C$12
    )
)</f>
        <v>26.666666666666668</v>
      </c>
      <c r="F193" s="62" cm="1">
        <f t="array" ref="F193">IF(B193&lt;INDEX(Assumptions!$C$3:$C$7, MATCH(C193, {"Virginia","Florida","Texas","New York","California"}, 0)),
    0,
    IF(C193=C192,
        F192 + D193,
        IF(COUNTIF($C$2:C193, C193) = 1, D193, LOOKUP(2, 1/(C$1:C192=C193), F$1:F192) + D193)
    )
)</f>
        <v>6400</v>
      </c>
      <c r="G193" s="62" cm="1">
        <f t="array" ref="G193">IF(B193&lt;INDEX(Assumptions!$C$3:$C$7, MATCH(C193, {"Virginia","Florida","Texas","New York","California"}, 0)),
    0,
    IF(C193=C192,
        G192 + D193 - E193,
        IF(COUNTIF($C$2:C193, C193) = 1, D193, LOOKUP(2, 1/(C$1:C192=C193), G$1:G192) + D193 - E193)
    )
)</f>
        <v>5822.8583333333308</v>
      </c>
      <c r="H193" s="63">
        <f>IF(B193&lt;INDEX(Assumptions!$C$3:$C$7, MATCH(C193, {"Virginia","Florida","Texas","New York","California"}, 0)),
    0,
    (G193 / INDEX(Assumptions!$C$15:$C$19, MATCH(C193, {"Virginia","Florida","Texas","New York","California"}, 0)))
)</f>
        <v>7.2785729166666632E-2</v>
      </c>
      <c r="I193" s="43">
        <f>G193*'Unit Economics'!$B$19* INDEX(Assumptions!$C$38:$C$42, MATCH(C193, {"Virginia","Florida","Texas","New York","California"}, 0))</f>
        <v>1444088.6643849993</v>
      </c>
      <c r="J193" s="43">
        <f>D193*Assumptions!$C$21*INDEX(Assumptions!$C$38:$C$42,MATCH(C193,{"Virginia","Florida","Texas","New York","California"},0))</f>
        <v>0</v>
      </c>
      <c r="K193" s="43">
        <f>G193/Assumptions!$C$22*('Unit Economics'!$F$24+'Unit Economics'!$F$25+'Unit Economics'!$F$26)</f>
        <v>277656.14920343133</v>
      </c>
      <c r="L193" s="43">
        <f>D193*Assumptions!$C$29</f>
        <v>0</v>
      </c>
      <c r="M193" s="35">
        <f>G193*Assumptions!$C$27</f>
        <v>0</v>
      </c>
      <c r="N193" s="35">
        <f>G193*Assumptions!$C$28</f>
        <v>0</v>
      </c>
      <c r="O193" s="64">
        <f>IF( COUNTIF($B$2:B193, B193) = 1, MIN( Assumptions!$C$34 + INT(SUMIF($B$2:$B193, B193, G$2:G193) / 1000) * Assumptions!$C$37, Assumptions!$C$36 ), 0 )</f>
        <v>0</v>
      </c>
      <c r="P193" s="53">
        <f t="shared" si="7"/>
        <v>1721744.8135884306</v>
      </c>
      <c r="Q193" s="52">
        <f t="shared" si="8"/>
        <v>142614474.71201158</v>
      </c>
    </row>
    <row r="194" spans="1:17">
      <c r="A194" s="2">
        <f t="shared" si="6"/>
        <v>5</v>
      </c>
      <c r="B194" s="2">
        <v>53</v>
      </c>
      <c r="C194" s="2" t="s">
        <v>89</v>
      </c>
      <c r="D194" s="62">
        <f>IF(
    B194 &lt; INDEX(Assumptions!$C$3:$C$7, MATCH(C194, {"Virginia","Florida","Texas","New York","California"}, 0)),
    0,
    IF(
        B194 = INDEX(Assumptions!$C$3:$C$7, MATCH(C194, {"Virginia","Florida","Texas","New York","California"}, 0)),
        IF(C194 = "Virginia", Assumptions!$C$13, Assumptions!$C$14),
        ROUND(
            (INDEX(Assumptions!$C$15:$C$19, MATCH(C194, {"Virginia","Florida","Texas","New York","California"}, 0)) * Assumptions!$C$9 -
            SUMIF(C$2:C193, C194, D$2:D194)) /
            (1 + EXP(-0.2 * (B194 - INDEX(Assumptions!$C$3:$C$7, MATCH(C194, {"Virginia","Florida","Texas","New York","California"}, 0)) - 30))),
            0
        )
    )
)</f>
        <v>0</v>
      </c>
      <c r="E194" s="62">
        <f>IF(B194&lt;INDEX(Assumptions!$C$3:$C$7, MATCH(C194, {"Virginia","Florida","Texas","New York","California"}, 0)),
    0,
    IF(F194=0,
        0,
        F194 * Assumptions!$C$12
    )
)</f>
        <v>16.666666666666668</v>
      </c>
      <c r="F194" s="62" cm="1">
        <f t="array" ref="F194">IF(B194&lt;INDEX(Assumptions!$C$3:$C$7, MATCH(C194, {"Virginia","Florida","Texas","New York","California"}, 0)),
    0,
    IF(C194=C193,
        F193 + D194,
        IF(COUNTIF($C$2:C194, C194) = 1, D194, LOOKUP(2, 1/(C$1:C193=C194), F$1:F193) + D194)
    )
)</f>
        <v>4000</v>
      </c>
      <c r="G194" s="62" cm="1">
        <f t="array" ref="G194">IF(B194&lt;INDEX(Assumptions!$C$3:$C$7, MATCH(C194, {"Virginia","Florida","Texas","New York","California"}, 0)),
    0,
    IF(C194=C193,
        G193 + D194 - E194,
        IF(COUNTIF($C$2:C194, C194) = 1, D194, LOOKUP(2, 1/(C$1:C193=C194), G$1:G193) + D194 - E194)
    )
)</f>
        <v>3440.2875000000026</v>
      </c>
      <c r="H194" s="63">
        <f>IF(B194&lt;INDEX(Assumptions!$C$3:$C$7, MATCH(C194, {"Virginia","Florida","Texas","New York","California"}, 0)),
    0,
    (G194 / INDEX(Assumptions!$C$15:$C$19, MATCH(C194, {"Virginia","Florida","Texas","New York","California"}, 0)))
)</f>
        <v>6.8805750000000054E-2</v>
      </c>
      <c r="I194" s="43">
        <f>G194*'Unit Economics'!$B$19* INDEX(Assumptions!$C$38:$C$42, MATCH(C194, {"Virginia","Florida","Texas","New York","California"}, 0))</f>
        <v>828352.42425000062</v>
      </c>
      <c r="J194" s="43">
        <f>D194*Assumptions!$C$21*INDEX(Assumptions!$C$38:$C$42,MATCH(C194,{"Virginia","Florida","Texas","New York","California"},0))</f>
        <v>0</v>
      </c>
      <c r="K194" s="43">
        <f>G194/Assumptions!$C$22*('Unit Economics'!$F$24+'Unit Economics'!$F$25+'Unit Economics'!$F$26)</f>
        <v>164046.06204044132</v>
      </c>
      <c r="L194" s="43">
        <f>D194*Assumptions!$C$29</f>
        <v>0</v>
      </c>
      <c r="M194" s="35">
        <f>G194*Assumptions!$C$27</f>
        <v>0</v>
      </c>
      <c r="N194" s="35">
        <f>G194*Assumptions!$C$28</f>
        <v>0</v>
      </c>
      <c r="O194" s="64">
        <f>IF( COUNTIF($B$2:B194, B194) = 1, MIN( Assumptions!$C$34 + INT(SUMIF($B$2:$B194, B194, G$2:G194) / 1000) * Assumptions!$C$37, Assumptions!$C$36 ), 0 )</f>
        <v>0</v>
      </c>
      <c r="P194" s="53">
        <f t="shared" si="7"/>
        <v>992398.48629044194</v>
      </c>
      <c r="Q194" s="52">
        <f t="shared" si="8"/>
        <v>143606873.19830203</v>
      </c>
    </row>
    <row r="195" spans="1:17">
      <c r="A195" s="2">
        <f t="shared" ref="A195:A229" si="9">+INT((B195-1)/12)+1</f>
        <v>5</v>
      </c>
      <c r="B195" s="2">
        <v>54</v>
      </c>
      <c r="C195" s="2" t="s">
        <v>92</v>
      </c>
      <c r="D195" s="62">
        <f>IF(
    B195 &lt; INDEX(Assumptions!$C$3:$C$7, MATCH(C195, {"Virginia","Florida","Texas","New York","California"}, 0)),
    0,
    IF(
        B195 = INDEX(Assumptions!$C$3:$C$7, MATCH(C195, {"Virginia","Florida","Texas","New York","California"}, 0)),
        IF(C195 = "Virginia", Assumptions!$C$13, Assumptions!$C$14),
        ROUND(
            (INDEX(Assumptions!$C$15:$C$19, MATCH(C195, {"Virginia","Florida","Texas","New York","California"}, 0)) * Assumptions!$C$9 -
            SUMIF(C$2:C194, C195, D$2:D195)) /
            (1 + EXP(-0.2 * (B195 - INDEX(Assumptions!$C$3:$C$7, MATCH(C195, {"Virginia","Florida","Texas","New York","California"}, 0)) - 30))),
            0
        )
    )
)</f>
        <v>90</v>
      </c>
      <c r="E195" s="62">
        <f>IF(B195&lt;INDEX(Assumptions!$C$3:$C$7, MATCH(C195, {"Virginia","Florida","Texas","New York","California"}, 0)),
    0,
    IF(F195=0,
        0,
        F195 * Assumptions!$C$12
    )
)</f>
        <v>19.545833333333334</v>
      </c>
      <c r="F195" s="62" cm="1">
        <f t="array" ref="F195">IF(B195&lt;INDEX(Assumptions!$C$3:$C$7, MATCH(C195, {"Virginia","Florida","Texas","New York","California"}, 0)),
    0,
    IF(C195=C194,
        F194 + D195,
        IF(COUNTIF($C$2:C195, C195) = 1, D195, LOOKUP(2, 1/(C$1:C194=C195), F$1:F194) + D195)
    )
)</f>
        <v>4691</v>
      </c>
      <c r="G195" s="62" cm="1">
        <f t="array" ref="G195">IF(B195&lt;INDEX(Assumptions!$C$3:$C$7, MATCH(C195, {"Virginia","Florida","Texas","New York","California"}, 0)),
    0,
    IF(C195=C194,
        G194 + D195 - E195,
        IF(COUNTIF($C$2:C195, C195) = 1, D195, LOOKUP(2, 1/(C$1:C194=C195), G$1:G194) + D195 - E195)
    )
)</f>
        <v>4475.7958333333318</v>
      </c>
      <c r="H195" s="63">
        <f>IF(B195&lt;INDEX(Assumptions!$C$3:$C$7, MATCH(C195, {"Virginia","Florida","Texas","New York","California"}, 0)),
    0,
    (G195 / INDEX(Assumptions!$C$15:$C$19, MATCH(C195, {"Virginia","Florida","Texas","New York","California"}, 0)))
)</f>
        <v>7.45965972222222E-2</v>
      </c>
      <c r="I195" s="43">
        <f>G195*'Unit Economics'!$B$19* INDEX(Assumptions!$C$38:$C$42, MATCH(C195, {"Virginia","Florida","Texas","New York","California"}, 0))</f>
        <v>1163896.6904099996</v>
      </c>
      <c r="J195" s="43">
        <f>D195*Assumptions!$C$21*INDEX(Assumptions!$C$38:$C$42,MATCH(C195,{"Virginia","Florida","Texas","New York","California"},0))</f>
        <v>24878.34</v>
      </c>
      <c r="K195" s="43">
        <f>G195/Assumptions!$C$22*('Unit Economics'!$F$24+'Unit Economics'!$F$25+'Unit Economics'!$F$26)</f>
        <v>213423.05867034307</v>
      </c>
      <c r="L195" s="43">
        <f>D195*Assumptions!$C$29</f>
        <v>16650</v>
      </c>
      <c r="M195" s="35">
        <f>G195*Assumptions!$C$27</f>
        <v>0</v>
      </c>
      <c r="N195" s="35">
        <f>G195*Assumptions!$C$28</f>
        <v>0</v>
      </c>
      <c r="O195" s="64">
        <f>IF( COUNTIF($B$2:B195, B195) = 1, MIN( Assumptions!$C$34 + INT(SUMIF($B$2:$B195, B195, G$2:G195) / 1000) * Assumptions!$C$37, Assumptions!$C$36 ), 0 )</f>
        <v>100000</v>
      </c>
      <c r="P195" s="53">
        <f t="shared" ref="P195:P229" si="10">I195+J195+K195-L195-O195</f>
        <v>1285548.0890803428</v>
      </c>
      <c r="Q195" s="52">
        <f t="shared" si="8"/>
        <v>144892421.28738236</v>
      </c>
    </row>
    <row r="196" spans="1:17">
      <c r="A196" s="2">
        <f t="shared" si="9"/>
        <v>5</v>
      </c>
      <c r="B196" s="2">
        <v>54</v>
      </c>
      <c r="C196" s="2" t="s">
        <v>93</v>
      </c>
      <c r="D196" s="62">
        <f>IF(
    B196 &lt; INDEX(Assumptions!$C$3:$C$7, MATCH(C196, {"Virginia","Florida","Texas","New York","California"}, 0)),
    0,
    IF(
        B196 = INDEX(Assumptions!$C$3:$C$7, MATCH(C196, {"Virginia","Florida","Texas","New York","California"}, 0)),
        IF(C196 = "Virginia", Assumptions!$C$13, Assumptions!$C$14),
        ROUND(
            (INDEX(Assumptions!$C$15:$C$19, MATCH(C196, {"Virginia","Florida","Texas","New York","California"}, 0)) * Assumptions!$C$9 -
            SUMIF(C$2:C195, C196, D$2:D196)) /
            (1 + EXP(-0.2 * (B196 - INDEX(Assumptions!$C$3:$C$7, MATCH(C196, {"Virginia","Florida","Texas","New York","California"}, 0)) - 30))),
            0
        )
    )
)</f>
        <v>135</v>
      </c>
      <c r="E196" s="62">
        <f>IF(B196&lt;INDEX(Assumptions!$C$3:$C$7, MATCH(C196, {"Virginia","Florida","Texas","New York","California"}, 0)),
    0,
    IF(F196=0,
        0,
        F196 * Assumptions!$C$12
    )
)</f>
        <v>29.308333333333334</v>
      </c>
      <c r="F196" s="62" cm="1">
        <f t="array" ref="F196">IF(B196&lt;INDEX(Assumptions!$C$3:$C$7, MATCH(C196, {"Virginia","Florida","Texas","New York","California"}, 0)),
    0,
    IF(C196=C195,
        F195 + D196,
        IF(COUNTIF($C$2:C196, C196) = 1, D196, LOOKUP(2, 1/(C$1:C195=C196), F$1:F195) + D196)
    )
)</f>
        <v>7034</v>
      </c>
      <c r="G196" s="62" cm="1">
        <f t="array" ref="G196">IF(B196&lt;INDEX(Assumptions!$C$3:$C$7, MATCH(C196, {"Virginia","Florida","Texas","New York","California"}, 0)),
    0,
    IF(C196=C195,
        G195 + D196 - E196,
        IF(COUNTIF($C$2:C196, C196) = 1, D196, LOOKUP(2, 1/(C$1:C195=C196), G$1:G195) + D196 - E196)
    )
)</f>
        <v>6715.0375000000013</v>
      </c>
      <c r="H196" s="63">
        <f>IF(B196&lt;INDEX(Assumptions!$C$3:$C$7, MATCH(C196, {"Virginia","Florida","Texas","New York","California"}, 0)),
    0,
    (G196 / INDEX(Assumptions!$C$15:$C$19, MATCH(C196, {"Virginia","Florida","Texas","New York","California"}, 0)))
)</f>
        <v>7.4611527777777797E-2</v>
      </c>
      <c r="I196" s="43">
        <f>G196*'Unit Economics'!$B$19* INDEX(Assumptions!$C$38:$C$42, MATCH(C196, {"Virginia","Florida","Texas","New York","California"}, 0))</f>
        <v>1778531.4021750004</v>
      </c>
      <c r="J196" s="43">
        <f>D196*Assumptions!$C$21*INDEX(Assumptions!$C$38:$C$42,MATCH(C196,{"Virginia","Florida","Texas","New York","California"},0))</f>
        <v>38008.575000000004</v>
      </c>
      <c r="K196" s="43">
        <f>G196/Assumptions!$C$22*('Unit Economics'!$F$24+'Unit Economics'!$F$25+'Unit Economics'!$F$26)</f>
        <v>320198.66314338241</v>
      </c>
      <c r="L196" s="43">
        <f>D196*Assumptions!$C$29</f>
        <v>24975</v>
      </c>
      <c r="M196" s="35">
        <f>G196*Assumptions!$C$27</f>
        <v>0</v>
      </c>
      <c r="N196" s="35">
        <f>G196*Assumptions!$C$28</f>
        <v>0</v>
      </c>
      <c r="O196" s="64">
        <f>IF( COUNTIF($B$2:B196, B196) = 1, MIN( Assumptions!$C$34 + INT(SUMIF($B$2:$B196, B196, G$2:G196) / 1000) * Assumptions!$C$37, Assumptions!$C$36 ), 0 )</f>
        <v>0</v>
      </c>
      <c r="P196" s="53">
        <f t="shared" si="10"/>
        <v>2111763.6403183825</v>
      </c>
      <c r="Q196" s="52">
        <f t="shared" ref="Q196:Q229" si="11">Q195+P196</f>
        <v>147004184.92770076</v>
      </c>
    </row>
    <row r="197" spans="1:17">
      <c r="A197" s="2">
        <f t="shared" si="9"/>
        <v>5</v>
      </c>
      <c r="B197" s="2">
        <v>54</v>
      </c>
      <c r="C197" s="2" t="s">
        <v>90</v>
      </c>
      <c r="D197" s="62">
        <f>IF(
    B197 &lt; INDEX(Assumptions!$C$3:$C$7, MATCH(C197, {"Virginia","Florida","Texas","New York","California"}, 0)),
    0,
    IF(
        B197 = INDEX(Assumptions!$C$3:$C$7, MATCH(C197, {"Virginia","Florida","Texas","New York","California"}, 0)),
        IF(C197 = "Virginia", Assumptions!$C$13, Assumptions!$C$14),
        ROUND(
            (INDEX(Assumptions!$C$15:$C$19, MATCH(C197, {"Virginia","Florida","Texas","New York","California"}, 0)) * Assumptions!$C$9 -
            SUMIF(C$2:C196, C197, D$2:D197)) /
            (1 + EXP(-0.2 * (B197 - INDEX(Assumptions!$C$3:$C$7, MATCH(C197, {"Virginia","Florida","Texas","New York","California"}, 0)) - 30))),
            0
        )
    )
)</f>
        <v>0</v>
      </c>
      <c r="E197" s="62">
        <f>IF(B197&lt;INDEX(Assumptions!$C$3:$C$7, MATCH(C197, {"Virginia","Florida","Texas","New York","California"}, 0)),
    0,
    IF(F197=0,
        0,
        F197 * Assumptions!$C$12
    )
)</f>
        <v>23.333333333333332</v>
      </c>
      <c r="F197" s="62" cm="1">
        <f t="array" ref="F197">IF(B197&lt;INDEX(Assumptions!$C$3:$C$7, MATCH(C197, {"Virginia","Florida","Texas","New York","California"}, 0)),
    0,
    IF(C197=C196,
        F196 + D197,
        IF(COUNTIF($C$2:C197, C197) = 1, D197, LOOKUP(2, 1/(C$1:C196=C197), F$1:F196) + D197)
    )
)</f>
        <v>5600</v>
      </c>
      <c r="G197" s="62" cm="1">
        <f t="array" ref="G197">IF(B197&lt;INDEX(Assumptions!$C$3:$C$7, MATCH(C197, {"Virginia","Florida","Texas","New York","California"}, 0)),
    0,
    IF(C197=C196,
        G196 + D197 - E197,
        IF(COUNTIF($C$2:C197, C197) = 1, D197, LOOKUP(2, 1/(C$1:C196=C197), G$1:G196) + D197 - E197)
    )
)</f>
        <v>5070.6250000000027</v>
      </c>
      <c r="H197" s="63">
        <f>IF(B197&lt;INDEX(Assumptions!$C$3:$C$7, MATCH(C197, {"Virginia","Florida","Texas","New York","California"}, 0)),
    0,
    (G197 / INDEX(Assumptions!$C$15:$C$19, MATCH(C197, {"Virginia","Florida","Texas","New York","California"}, 0)))
)</f>
        <v>7.2437500000000044E-2</v>
      </c>
      <c r="I197" s="43">
        <f>G197*'Unit Economics'!$B$19* INDEX(Assumptions!$C$38:$C$42, MATCH(C197, {"Virginia","Florida","Texas","New York","California"}, 0))</f>
        <v>1281950.3418750006</v>
      </c>
      <c r="J197" s="43">
        <f>D197*Assumptions!$C$21*INDEX(Assumptions!$C$38:$C$42,MATCH(C197,{"Virginia","Florida","Texas","New York","California"},0))</f>
        <v>0</v>
      </c>
      <c r="K197" s="43">
        <f>G197/Assumptions!$C$22*('Unit Economics'!$F$24+'Unit Economics'!$F$25+'Unit Economics'!$F$26)</f>
        <v>241786.78768382367</v>
      </c>
      <c r="L197" s="43">
        <f>D197*Assumptions!$C$29</f>
        <v>0</v>
      </c>
      <c r="M197" s="35">
        <f>G197*Assumptions!$C$27</f>
        <v>0</v>
      </c>
      <c r="N197" s="35">
        <f>G197*Assumptions!$C$28</f>
        <v>0</v>
      </c>
      <c r="O197" s="64">
        <f>IF( COUNTIF($B$2:B197, B197) = 1, MIN( Assumptions!$C$34 + INT(SUMIF($B$2:$B197, B197, G$2:G197) / 1000) * Assumptions!$C$37, Assumptions!$C$36 ), 0 )</f>
        <v>0</v>
      </c>
      <c r="P197" s="53">
        <f t="shared" si="10"/>
        <v>1523737.1295588242</v>
      </c>
      <c r="Q197" s="52">
        <f t="shared" si="11"/>
        <v>148527922.05725959</v>
      </c>
    </row>
    <row r="198" spans="1:17">
      <c r="A198" s="2">
        <f t="shared" si="9"/>
        <v>5</v>
      </c>
      <c r="B198" s="2">
        <v>54</v>
      </c>
      <c r="C198" s="2" t="s">
        <v>91</v>
      </c>
      <c r="D198" s="62">
        <f>IF(
    B198 &lt; INDEX(Assumptions!$C$3:$C$7, MATCH(C198, {"Virginia","Florida","Texas","New York","California"}, 0)),
    0,
    IF(
        B198 = INDEX(Assumptions!$C$3:$C$7, MATCH(C198, {"Virginia","Florida","Texas","New York","California"}, 0)),
        IF(C198 = "Virginia", Assumptions!$C$13, Assumptions!$C$14),
        ROUND(
            (INDEX(Assumptions!$C$15:$C$19, MATCH(C198, {"Virginia","Florida","Texas","New York","California"}, 0)) * Assumptions!$C$9 -
            SUMIF(C$2:C197, C198, D$2:D198)) /
            (1 + EXP(-0.2 * (B198 - INDEX(Assumptions!$C$3:$C$7, MATCH(C198, {"Virginia","Florida","Texas","New York","California"}, 0)) - 30))),
            0
        )
    )
)</f>
        <v>0</v>
      </c>
      <c r="E198" s="62">
        <f>IF(B198&lt;INDEX(Assumptions!$C$3:$C$7, MATCH(C198, {"Virginia","Florida","Texas","New York","California"}, 0)),
    0,
    IF(F198=0,
        0,
        F198 * Assumptions!$C$12
    )
)</f>
        <v>26.666666666666668</v>
      </c>
      <c r="F198" s="62" cm="1">
        <f t="array" ref="F198">IF(B198&lt;INDEX(Assumptions!$C$3:$C$7, MATCH(C198, {"Virginia","Florida","Texas","New York","California"}, 0)),
    0,
    IF(C198=C197,
        F197 + D198,
        IF(COUNTIF($C$2:C198, C198) = 1, D198, LOOKUP(2, 1/(C$1:C197=C198), F$1:F197) + D198)
    )
)</f>
        <v>6400</v>
      </c>
      <c r="G198" s="62" cm="1">
        <f t="array" ref="G198">IF(B198&lt;INDEX(Assumptions!$C$3:$C$7, MATCH(C198, {"Virginia","Florida","Texas","New York","California"}, 0)),
    0,
    IF(C198=C197,
        G197 + D198 - E198,
        IF(COUNTIF($C$2:C198, C198) = 1, D198, LOOKUP(2, 1/(C$1:C197=C198), G$1:G197) + D198 - E198)
    )
)</f>
        <v>5796.1916666666639</v>
      </c>
      <c r="H198" s="63">
        <f>IF(B198&lt;INDEX(Assumptions!$C$3:$C$7, MATCH(C198, {"Virginia","Florida","Texas","New York","California"}, 0)),
    0,
    (G198 / INDEX(Assumptions!$C$15:$C$19, MATCH(C198, {"Virginia","Florida","Texas","New York","California"}, 0)))
)</f>
        <v>7.2452395833333294E-2</v>
      </c>
      <c r="I198" s="43">
        <f>G198*'Unit Economics'!$B$19* INDEX(Assumptions!$C$38:$C$42, MATCH(C198, {"Virginia","Florida","Texas","New York","California"}, 0))</f>
        <v>1437475.2403849992</v>
      </c>
      <c r="J198" s="43">
        <f>D198*Assumptions!$C$21*INDEX(Assumptions!$C$38:$C$42,MATCH(C198,{"Virginia","Florida","Texas","New York","California"},0))</f>
        <v>0</v>
      </c>
      <c r="K198" s="43">
        <f>G198/Assumptions!$C$22*('Unit Economics'!$F$24+'Unit Economics'!$F$25+'Unit Economics'!$F$26)</f>
        <v>276384.5805759803</v>
      </c>
      <c r="L198" s="43">
        <f>D198*Assumptions!$C$29</f>
        <v>0</v>
      </c>
      <c r="M198" s="35">
        <f>G198*Assumptions!$C$27</f>
        <v>0</v>
      </c>
      <c r="N198" s="35">
        <f>G198*Assumptions!$C$28</f>
        <v>0</v>
      </c>
      <c r="O198" s="64">
        <f>IF( COUNTIF($B$2:B198, B198) = 1, MIN( Assumptions!$C$34 + INT(SUMIF($B$2:$B198, B198, G$2:G198) / 1000) * Assumptions!$C$37, Assumptions!$C$36 ), 0 )</f>
        <v>0</v>
      </c>
      <c r="P198" s="53">
        <f t="shared" si="10"/>
        <v>1713859.8209609794</v>
      </c>
      <c r="Q198" s="52">
        <f t="shared" si="11"/>
        <v>150241781.87822056</v>
      </c>
    </row>
    <row r="199" spans="1:17">
      <c r="A199" s="2">
        <f t="shared" si="9"/>
        <v>5</v>
      </c>
      <c r="B199" s="2">
        <v>54</v>
      </c>
      <c r="C199" s="2" t="s">
        <v>89</v>
      </c>
      <c r="D199" s="62">
        <f>IF(
    B199 &lt; INDEX(Assumptions!$C$3:$C$7, MATCH(C199, {"Virginia","Florida","Texas","New York","California"}, 0)),
    0,
    IF(
        B199 = INDEX(Assumptions!$C$3:$C$7, MATCH(C199, {"Virginia","Florida","Texas","New York","California"}, 0)),
        IF(C199 = "Virginia", Assumptions!$C$13, Assumptions!$C$14),
        ROUND(
            (INDEX(Assumptions!$C$15:$C$19, MATCH(C199, {"Virginia","Florida","Texas","New York","California"}, 0)) * Assumptions!$C$9 -
            SUMIF(C$2:C198, C199, D$2:D199)) /
            (1 + EXP(-0.2 * (B199 - INDEX(Assumptions!$C$3:$C$7, MATCH(C199, {"Virginia","Florida","Texas","New York","California"}, 0)) - 30))),
            0
        )
    )
)</f>
        <v>0</v>
      </c>
      <c r="E199" s="62">
        <f>IF(B199&lt;INDEX(Assumptions!$C$3:$C$7, MATCH(C199, {"Virginia","Florida","Texas","New York","California"}, 0)),
    0,
    IF(F199=0,
        0,
        F199 * Assumptions!$C$12
    )
)</f>
        <v>16.666666666666668</v>
      </c>
      <c r="F199" s="62" cm="1">
        <f t="array" ref="F199">IF(B199&lt;INDEX(Assumptions!$C$3:$C$7, MATCH(C199, {"Virginia","Florida","Texas","New York","California"}, 0)),
    0,
    IF(C199=C198,
        F198 + D199,
        IF(COUNTIF($C$2:C199, C199) = 1, D199, LOOKUP(2, 1/(C$1:C198=C199), F$1:F198) + D199)
    )
)</f>
        <v>4000</v>
      </c>
      <c r="G199" s="62" cm="1">
        <f t="array" ref="G199">IF(B199&lt;INDEX(Assumptions!$C$3:$C$7, MATCH(C199, {"Virginia","Florida","Texas","New York","California"}, 0)),
    0,
    IF(C199=C198,
        G198 + D199 - E199,
        IF(COUNTIF($C$2:C199, C199) = 1, D199, LOOKUP(2, 1/(C$1:C198=C199), G$1:G198) + D199 - E199)
    )
)</f>
        <v>3423.6208333333361</v>
      </c>
      <c r="H199" s="63">
        <f>IF(B199&lt;INDEX(Assumptions!$C$3:$C$7, MATCH(C199, {"Virginia","Florida","Texas","New York","California"}, 0)),
    0,
    (G199 / INDEX(Assumptions!$C$15:$C$19, MATCH(C199, {"Virginia","Florida","Texas","New York","California"}, 0)))
)</f>
        <v>6.8472416666666716E-2</v>
      </c>
      <c r="I199" s="43">
        <f>G199*'Unit Economics'!$B$19* INDEX(Assumptions!$C$38:$C$42, MATCH(C199, {"Virginia","Florida","Texas","New York","California"}, 0))</f>
        <v>824339.42425000062</v>
      </c>
      <c r="J199" s="43">
        <f>D199*Assumptions!$C$21*INDEX(Assumptions!$C$38:$C$42,MATCH(C199,{"Virginia","Florida","Texas","New York","California"},0))</f>
        <v>0</v>
      </c>
      <c r="K199" s="43">
        <f>G199/Assumptions!$C$22*('Unit Economics'!$F$24+'Unit Economics'!$F$25+'Unit Economics'!$F$26)</f>
        <v>163251.33164828445</v>
      </c>
      <c r="L199" s="43">
        <f>D199*Assumptions!$C$29</f>
        <v>0</v>
      </c>
      <c r="M199" s="35">
        <f>G199*Assumptions!$C$27</f>
        <v>0</v>
      </c>
      <c r="N199" s="35">
        <f>G199*Assumptions!$C$28</f>
        <v>0</v>
      </c>
      <c r="O199" s="64">
        <f>IF( COUNTIF($B$2:B199, B199) = 1, MIN( Assumptions!$C$34 + INT(SUMIF($B$2:$B199, B199, G$2:G199) / 1000) * Assumptions!$C$37, Assumptions!$C$36 ), 0 )</f>
        <v>0</v>
      </c>
      <c r="P199" s="53">
        <f t="shared" si="10"/>
        <v>987590.75589828508</v>
      </c>
      <c r="Q199" s="52">
        <f t="shared" si="11"/>
        <v>151229372.63411885</v>
      </c>
    </row>
    <row r="200" spans="1:17">
      <c r="A200" s="2">
        <f t="shared" si="9"/>
        <v>5</v>
      </c>
      <c r="B200" s="2">
        <v>55</v>
      </c>
      <c r="C200" s="2" t="s">
        <v>92</v>
      </c>
      <c r="D200" s="62">
        <f>IF(
    B200 &lt; INDEX(Assumptions!$C$3:$C$7, MATCH(C200, {"Virginia","Florida","Texas","New York","California"}, 0)),
    0,
    IF(
        B200 = INDEX(Assumptions!$C$3:$C$7, MATCH(C200, {"Virginia","Florida","Texas","New York","California"}, 0)),
        IF(C200 = "Virginia", Assumptions!$C$13, Assumptions!$C$14),
        ROUND(
            (INDEX(Assumptions!$C$15:$C$19, MATCH(C200, {"Virginia","Florida","Texas","New York","California"}, 0)) * Assumptions!$C$9 -
            SUMIF(C$2:C199, C200, D$2:D200)) /
            (1 + EXP(-0.2 * (B200 - INDEX(Assumptions!$C$3:$C$7, MATCH(C200, {"Virginia","Florida","Texas","New York","California"}, 0)) - 30))),
            0
        )
    )
)</f>
        <v>55</v>
      </c>
      <c r="E200" s="62">
        <f>IF(B200&lt;INDEX(Assumptions!$C$3:$C$7, MATCH(C200, {"Virginia","Florida","Texas","New York","California"}, 0)),
    0,
    IF(F200=0,
        0,
        F200 * Assumptions!$C$12
    )
)</f>
        <v>19.774999999999999</v>
      </c>
      <c r="F200" s="62" cm="1">
        <f t="array" ref="F200">IF(B200&lt;INDEX(Assumptions!$C$3:$C$7, MATCH(C200, {"Virginia","Florida","Texas","New York","California"}, 0)),
    0,
    IF(C200=C199,
        F199 + D200,
        IF(COUNTIF($C$2:C200, C200) = 1, D200, LOOKUP(2, 1/(C$1:C199=C200), F$1:F199) + D200)
    )
)</f>
        <v>4746</v>
      </c>
      <c r="G200" s="62" cm="1">
        <f t="array" ref="G200">IF(B200&lt;INDEX(Assumptions!$C$3:$C$7, MATCH(C200, {"Virginia","Florida","Texas","New York","California"}, 0)),
    0,
    IF(C200=C199,
        G199 + D200 - E200,
        IF(COUNTIF($C$2:C200, C200) = 1, D200, LOOKUP(2, 1/(C$1:C199=C200), G$1:G199) + D200 - E200)
    )
)</f>
        <v>4511.0208333333321</v>
      </c>
      <c r="H200" s="63">
        <f>IF(B200&lt;INDEX(Assumptions!$C$3:$C$7, MATCH(C200, {"Virginia","Florida","Texas","New York","California"}, 0)),
    0,
    (G200 / INDEX(Assumptions!$C$15:$C$19, MATCH(C200, {"Virginia","Florida","Texas","New York","California"}, 0)))
)</f>
        <v>7.5183680555555535E-2</v>
      </c>
      <c r="I200" s="43">
        <f>G200*'Unit Economics'!$B$19* INDEX(Assumptions!$C$38:$C$42, MATCH(C200, {"Virginia","Florida","Texas","New York","California"}, 0))</f>
        <v>1173056.6839499997</v>
      </c>
      <c r="J200" s="43">
        <f>D200*Assumptions!$C$21*INDEX(Assumptions!$C$38:$C$42,MATCH(C200,{"Virginia","Florida","Texas","New York","California"},0))</f>
        <v>15203.43</v>
      </c>
      <c r="K200" s="43">
        <f>G200/Assumptions!$C$22*('Unit Economics'!$F$24+'Unit Economics'!$F$25+'Unit Economics'!$F$26)</f>
        <v>215102.72135416663</v>
      </c>
      <c r="L200" s="43">
        <f>D200*Assumptions!$C$29</f>
        <v>10175</v>
      </c>
      <c r="M200" s="35">
        <f>G200*Assumptions!$C$27</f>
        <v>0</v>
      </c>
      <c r="N200" s="35">
        <f>G200*Assumptions!$C$28</f>
        <v>0</v>
      </c>
      <c r="O200" s="64">
        <f>IF( COUNTIF($B$2:B200, B200) = 1, MIN( Assumptions!$C$34 + INT(SUMIF($B$2:$B200, B200, G$2:G200) / 1000) * Assumptions!$C$37, Assumptions!$C$36 ), 0 )</f>
        <v>100000</v>
      </c>
      <c r="P200" s="53">
        <f t="shared" si="10"/>
        <v>1293187.8353041662</v>
      </c>
      <c r="Q200" s="52">
        <f t="shared" si="11"/>
        <v>152522560.46942303</v>
      </c>
    </row>
    <row r="201" spans="1:17">
      <c r="A201" s="2">
        <f t="shared" si="9"/>
        <v>5</v>
      </c>
      <c r="B201" s="2">
        <v>55</v>
      </c>
      <c r="C201" s="2" t="s">
        <v>93</v>
      </c>
      <c r="D201" s="62">
        <f>IF(
    B201 &lt; INDEX(Assumptions!$C$3:$C$7, MATCH(C201, {"Virginia","Florida","Texas","New York","California"}, 0)),
    0,
    IF(
        B201 = INDEX(Assumptions!$C$3:$C$7, MATCH(C201, {"Virginia","Florida","Texas","New York","California"}, 0)),
        IF(C201 = "Virginia", Assumptions!$C$13, Assumptions!$C$14),
        ROUND(
            (INDEX(Assumptions!$C$15:$C$19, MATCH(C201, {"Virginia","Florida","Texas","New York","California"}, 0)) * Assumptions!$C$9 -
            SUMIF(C$2:C200, C201, D$2:D201)) /
            (1 + EXP(-0.2 * (B201 - INDEX(Assumptions!$C$3:$C$7, MATCH(C201, {"Virginia","Florida","Texas","New York","California"}, 0)) - 30))),
            0
        )
    )
)</f>
        <v>83</v>
      </c>
      <c r="E201" s="62">
        <f>IF(B201&lt;INDEX(Assumptions!$C$3:$C$7, MATCH(C201, {"Virginia","Florida","Texas","New York","California"}, 0)),
    0,
    IF(F201=0,
        0,
        F201 * Assumptions!$C$12
    )
)</f>
        <v>29.654166666666665</v>
      </c>
      <c r="F201" s="62" cm="1">
        <f t="array" ref="F201">IF(B201&lt;INDEX(Assumptions!$C$3:$C$7, MATCH(C201, {"Virginia","Florida","Texas","New York","California"}, 0)),
    0,
    IF(C201=C200,
        F200 + D201,
        IF(COUNTIF($C$2:C201, C201) = 1, D201, LOOKUP(2, 1/(C$1:C200=C201), F$1:F200) + D201)
    )
)</f>
        <v>7117</v>
      </c>
      <c r="G201" s="62" cm="1">
        <f t="array" ref="G201">IF(B201&lt;INDEX(Assumptions!$C$3:$C$7, MATCH(C201, {"Virginia","Florida","Texas","New York","California"}, 0)),
    0,
    IF(C201=C200,
        G200 + D201 - E201,
        IF(COUNTIF($C$2:C201, C201) = 1, D201, LOOKUP(2, 1/(C$1:C200=C201), G$1:G200) + D201 - E201)
    )
)</f>
        <v>6768.383333333335</v>
      </c>
      <c r="H201" s="63">
        <f>IF(B201&lt;INDEX(Assumptions!$C$3:$C$7, MATCH(C201, {"Virginia","Florida","Texas","New York","California"}, 0)),
    0,
    (G201 / INDEX(Assumptions!$C$15:$C$19, MATCH(C201, {"Virginia","Florida","Texas","New York","California"}, 0)))
)</f>
        <v>7.5204259259259276E-2</v>
      </c>
      <c r="I201" s="43">
        <f>G201*'Unit Economics'!$B$19* INDEX(Assumptions!$C$38:$C$42, MATCH(C201, {"Virginia","Florida","Texas","New York","California"}, 0))</f>
        <v>1792660.4729000006</v>
      </c>
      <c r="J201" s="43">
        <f>D201*Assumptions!$C$21*INDEX(Assumptions!$C$38:$C$42,MATCH(C201,{"Virginia","Florida","Texas","New York","California"},0))</f>
        <v>23368.235000000001</v>
      </c>
      <c r="K201" s="43">
        <f>G201/Assumptions!$C$22*('Unit Economics'!$F$24+'Unit Economics'!$F$25+'Unit Economics'!$F$26)</f>
        <v>322742.39644607855</v>
      </c>
      <c r="L201" s="43">
        <f>D201*Assumptions!$C$29</f>
        <v>15355</v>
      </c>
      <c r="M201" s="35">
        <f>G201*Assumptions!$C$27</f>
        <v>0</v>
      </c>
      <c r="N201" s="35">
        <f>G201*Assumptions!$C$28</f>
        <v>0</v>
      </c>
      <c r="O201" s="64">
        <f>IF( COUNTIF($B$2:B201, B201) = 1, MIN( Assumptions!$C$34 + INT(SUMIF($B$2:$B201, B201, G$2:G201) / 1000) * Assumptions!$C$37, Assumptions!$C$36 ), 0 )</f>
        <v>0</v>
      </c>
      <c r="P201" s="53">
        <f t="shared" si="10"/>
        <v>2123416.1043460793</v>
      </c>
      <c r="Q201" s="52">
        <f t="shared" si="11"/>
        <v>154645976.57376909</v>
      </c>
    </row>
    <row r="202" spans="1:17">
      <c r="A202" s="2">
        <f t="shared" si="9"/>
        <v>5</v>
      </c>
      <c r="B202" s="2">
        <v>55</v>
      </c>
      <c r="C202" s="2" t="s">
        <v>90</v>
      </c>
      <c r="D202" s="62">
        <f>IF(
    B202 &lt; INDEX(Assumptions!$C$3:$C$7, MATCH(C202, {"Virginia","Florida","Texas","New York","California"}, 0)),
    0,
    IF(
        B202 = INDEX(Assumptions!$C$3:$C$7, MATCH(C202, {"Virginia","Florida","Texas","New York","California"}, 0)),
        IF(C202 = "Virginia", Assumptions!$C$13, Assumptions!$C$14),
        ROUND(
            (INDEX(Assumptions!$C$15:$C$19, MATCH(C202, {"Virginia","Florida","Texas","New York","California"}, 0)) * Assumptions!$C$9 -
            SUMIF(C$2:C201, C202, D$2:D202)) /
            (1 + EXP(-0.2 * (B202 - INDEX(Assumptions!$C$3:$C$7, MATCH(C202, {"Virginia","Florida","Texas","New York","California"}, 0)) - 30))),
            0
        )
    )
)</f>
        <v>0</v>
      </c>
      <c r="E202" s="62">
        <f>IF(B202&lt;INDEX(Assumptions!$C$3:$C$7, MATCH(C202, {"Virginia","Florida","Texas","New York","California"}, 0)),
    0,
    IF(F202=0,
        0,
        F202 * Assumptions!$C$12
    )
)</f>
        <v>23.333333333333332</v>
      </c>
      <c r="F202" s="62" cm="1">
        <f t="array" ref="F202">IF(B202&lt;INDEX(Assumptions!$C$3:$C$7, MATCH(C202, {"Virginia","Florida","Texas","New York","California"}, 0)),
    0,
    IF(C202=C201,
        F201 + D202,
        IF(COUNTIF($C$2:C202, C202) = 1, D202, LOOKUP(2, 1/(C$1:C201=C202), F$1:F201) + D202)
    )
)</f>
        <v>5600</v>
      </c>
      <c r="G202" s="62" cm="1">
        <f t="array" ref="G202">IF(B202&lt;INDEX(Assumptions!$C$3:$C$7, MATCH(C202, {"Virginia","Florida","Texas","New York","California"}, 0)),
    0,
    IF(C202=C201,
        G201 + D202 - E202,
        IF(COUNTIF($C$2:C202, C202) = 1, D202, LOOKUP(2, 1/(C$1:C201=C202), G$1:G201) + D202 - E202)
    )
)</f>
        <v>5047.2916666666697</v>
      </c>
      <c r="H202" s="63">
        <f>IF(B202&lt;INDEX(Assumptions!$C$3:$C$7, MATCH(C202, {"Virginia","Florida","Texas","New York","California"}, 0)),
    0,
    (G202 / INDEX(Assumptions!$C$15:$C$19, MATCH(C202, {"Virginia","Florida","Texas","New York","California"}, 0)))
)</f>
        <v>7.2104166666666705E-2</v>
      </c>
      <c r="I202" s="43">
        <f>G202*'Unit Economics'!$B$19* INDEX(Assumptions!$C$38:$C$42, MATCH(C202, {"Virginia","Florida","Texas","New York","California"}, 0))</f>
        <v>1276051.2318750008</v>
      </c>
      <c r="J202" s="43">
        <f>D202*Assumptions!$C$21*INDEX(Assumptions!$C$38:$C$42,MATCH(C202,{"Virginia","Florida","Texas","New York","California"},0))</f>
        <v>0</v>
      </c>
      <c r="K202" s="43">
        <f>G202/Assumptions!$C$22*('Unit Economics'!$F$24+'Unit Economics'!$F$25+'Unit Economics'!$F$26)</f>
        <v>240674.16513480409</v>
      </c>
      <c r="L202" s="43">
        <f>D202*Assumptions!$C$29</f>
        <v>0</v>
      </c>
      <c r="M202" s="35">
        <f>G202*Assumptions!$C$27</f>
        <v>0</v>
      </c>
      <c r="N202" s="35">
        <f>G202*Assumptions!$C$28</f>
        <v>0</v>
      </c>
      <c r="O202" s="64">
        <f>IF( COUNTIF($B$2:B202, B202) = 1, MIN( Assumptions!$C$34 + INT(SUMIF($B$2:$B202, B202, G$2:G202) / 1000) * Assumptions!$C$37, Assumptions!$C$36 ), 0 )</f>
        <v>0</v>
      </c>
      <c r="P202" s="53">
        <f t="shared" si="10"/>
        <v>1516725.3970098048</v>
      </c>
      <c r="Q202" s="52">
        <f t="shared" si="11"/>
        <v>156162701.97077888</v>
      </c>
    </row>
    <row r="203" spans="1:17">
      <c r="A203" s="2">
        <f t="shared" si="9"/>
        <v>5</v>
      </c>
      <c r="B203" s="2">
        <v>55</v>
      </c>
      <c r="C203" s="2" t="s">
        <v>91</v>
      </c>
      <c r="D203" s="62">
        <f>IF(
    B203 &lt; INDEX(Assumptions!$C$3:$C$7, MATCH(C203, {"Virginia","Florida","Texas","New York","California"}, 0)),
    0,
    IF(
        B203 = INDEX(Assumptions!$C$3:$C$7, MATCH(C203, {"Virginia","Florida","Texas","New York","California"}, 0)),
        IF(C203 = "Virginia", Assumptions!$C$13, Assumptions!$C$14),
        ROUND(
            (INDEX(Assumptions!$C$15:$C$19, MATCH(C203, {"Virginia","Florida","Texas","New York","California"}, 0)) * Assumptions!$C$9 -
            SUMIF(C$2:C202, C203, D$2:D203)) /
            (1 + EXP(-0.2 * (B203 - INDEX(Assumptions!$C$3:$C$7, MATCH(C203, {"Virginia","Florida","Texas","New York","California"}, 0)) - 30))),
            0
        )
    )
)</f>
        <v>0</v>
      </c>
      <c r="E203" s="62">
        <f>IF(B203&lt;INDEX(Assumptions!$C$3:$C$7, MATCH(C203, {"Virginia","Florida","Texas","New York","California"}, 0)),
    0,
    IF(F203=0,
        0,
        F203 * Assumptions!$C$12
    )
)</f>
        <v>26.666666666666668</v>
      </c>
      <c r="F203" s="62" cm="1">
        <f t="array" ref="F203">IF(B203&lt;INDEX(Assumptions!$C$3:$C$7, MATCH(C203, {"Virginia","Florida","Texas","New York","California"}, 0)),
    0,
    IF(C203=C202,
        F202 + D203,
        IF(COUNTIF($C$2:C203, C203) = 1, D203, LOOKUP(2, 1/(C$1:C202=C203), F$1:F202) + D203)
    )
)</f>
        <v>6400</v>
      </c>
      <c r="G203" s="62" cm="1">
        <f t="array" ref="G203">IF(B203&lt;INDEX(Assumptions!$C$3:$C$7, MATCH(C203, {"Virginia","Florida","Texas","New York","California"}, 0)),
    0,
    IF(C203=C202,
        G202 + D203 - E203,
        IF(COUNTIF($C$2:C203, C203) = 1, D203, LOOKUP(2, 1/(C$1:C202=C203), G$1:G202) + D203 - E203)
    )
)</f>
        <v>5769.5249999999969</v>
      </c>
      <c r="H203" s="63">
        <f>IF(B203&lt;INDEX(Assumptions!$C$3:$C$7, MATCH(C203, {"Virginia","Florida","Texas","New York","California"}, 0)),
    0,
    (G203 / INDEX(Assumptions!$C$15:$C$19, MATCH(C203, {"Virginia","Florida","Texas","New York","California"}, 0)))
)</f>
        <v>7.2119062499999956E-2</v>
      </c>
      <c r="I203" s="43">
        <f>G203*'Unit Economics'!$B$19* INDEX(Assumptions!$C$38:$C$42, MATCH(C203, {"Virginia","Florida","Texas","New York","California"}, 0))</f>
        <v>1430861.8163849993</v>
      </c>
      <c r="J203" s="43">
        <f>D203*Assumptions!$C$21*INDEX(Assumptions!$C$38:$C$42,MATCH(C203,{"Virginia","Florida","Texas","New York","California"},0))</f>
        <v>0</v>
      </c>
      <c r="K203" s="43">
        <f>G203/Assumptions!$C$22*('Unit Economics'!$F$24+'Unit Economics'!$F$25+'Unit Economics'!$F$26)</f>
        <v>275113.01194852928</v>
      </c>
      <c r="L203" s="43">
        <f>D203*Assumptions!$C$29</f>
        <v>0</v>
      </c>
      <c r="M203" s="35">
        <f>G203*Assumptions!$C$27</f>
        <v>0</v>
      </c>
      <c r="N203" s="35">
        <f>G203*Assumptions!$C$28</f>
        <v>0</v>
      </c>
      <c r="O203" s="64">
        <f>IF( COUNTIF($B$2:B203, B203) = 1, MIN( Assumptions!$C$34 + INT(SUMIF($B$2:$B203, B203, G$2:G203) / 1000) * Assumptions!$C$37, Assumptions!$C$36 ), 0 )</f>
        <v>0</v>
      </c>
      <c r="P203" s="53">
        <f t="shared" si="10"/>
        <v>1705974.8283335287</v>
      </c>
      <c r="Q203" s="52">
        <f t="shared" si="11"/>
        <v>157868676.79911241</v>
      </c>
    </row>
    <row r="204" spans="1:17">
      <c r="A204" s="2">
        <f t="shared" si="9"/>
        <v>5</v>
      </c>
      <c r="B204" s="2">
        <v>55</v>
      </c>
      <c r="C204" s="2" t="s">
        <v>89</v>
      </c>
      <c r="D204" s="62">
        <f>IF(
    B204 &lt; INDEX(Assumptions!$C$3:$C$7, MATCH(C204, {"Virginia","Florida","Texas","New York","California"}, 0)),
    0,
    IF(
        B204 = INDEX(Assumptions!$C$3:$C$7, MATCH(C204, {"Virginia","Florida","Texas","New York","California"}, 0)),
        IF(C204 = "Virginia", Assumptions!$C$13, Assumptions!$C$14),
        ROUND(
            (INDEX(Assumptions!$C$15:$C$19, MATCH(C204, {"Virginia","Florida","Texas","New York","California"}, 0)) * Assumptions!$C$9 -
            SUMIF(C$2:C203, C204, D$2:D204)) /
            (1 + EXP(-0.2 * (B204 - INDEX(Assumptions!$C$3:$C$7, MATCH(C204, {"Virginia","Florida","Texas","New York","California"}, 0)) - 30))),
            0
        )
    )
)</f>
        <v>0</v>
      </c>
      <c r="E204" s="62">
        <f>IF(B204&lt;INDEX(Assumptions!$C$3:$C$7, MATCH(C204, {"Virginia","Florida","Texas","New York","California"}, 0)),
    0,
    IF(F204=0,
        0,
        F204 * Assumptions!$C$12
    )
)</f>
        <v>16.666666666666668</v>
      </c>
      <c r="F204" s="62" cm="1">
        <f t="array" ref="F204">IF(B204&lt;INDEX(Assumptions!$C$3:$C$7, MATCH(C204, {"Virginia","Florida","Texas","New York","California"}, 0)),
    0,
    IF(C204=C203,
        F203 + D204,
        IF(COUNTIF($C$2:C204, C204) = 1, D204, LOOKUP(2, 1/(C$1:C203=C204), F$1:F203) + D204)
    )
)</f>
        <v>4000</v>
      </c>
      <c r="G204" s="62" cm="1">
        <f t="array" ref="G204">IF(B204&lt;INDEX(Assumptions!$C$3:$C$7, MATCH(C204, {"Virginia","Florida","Texas","New York","California"}, 0)),
    0,
    IF(C204=C203,
        G203 + D204 - E204,
        IF(COUNTIF($C$2:C204, C204) = 1, D204, LOOKUP(2, 1/(C$1:C203=C204), G$1:G203) + D204 - E204)
    )
)</f>
        <v>3406.9541666666696</v>
      </c>
      <c r="H204" s="63">
        <f>IF(B204&lt;INDEX(Assumptions!$C$3:$C$7, MATCH(C204, {"Virginia","Florida","Texas","New York","California"}, 0)),
    0,
    (G204 / INDEX(Assumptions!$C$15:$C$19, MATCH(C204, {"Virginia","Florida","Texas","New York","California"}, 0)))
)</f>
        <v>6.8139083333333392E-2</v>
      </c>
      <c r="I204" s="43">
        <f>G204*'Unit Economics'!$B$19* INDEX(Assumptions!$C$38:$C$42, MATCH(C204, {"Virginia","Florida","Texas","New York","California"}, 0))</f>
        <v>820326.42425000074</v>
      </c>
      <c r="J204" s="43">
        <f>D204*Assumptions!$C$21*INDEX(Assumptions!$C$38:$C$42,MATCH(C204,{"Virginia","Florida","Texas","New York","California"},0))</f>
        <v>0</v>
      </c>
      <c r="K204" s="43">
        <f>G204/Assumptions!$C$22*('Unit Economics'!$F$24+'Unit Economics'!$F$25+'Unit Economics'!$F$26)</f>
        <v>162456.60125612761</v>
      </c>
      <c r="L204" s="43">
        <f>D204*Assumptions!$C$29</f>
        <v>0</v>
      </c>
      <c r="M204" s="35">
        <f>G204*Assumptions!$C$27</f>
        <v>0</v>
      </c>
      <c r="N204" s="35">
        <f>G204*Assumptions!$C$28</f>
        <v>0</v>
      </c>
      <c r="O204" s="64">
        <f>IF( COUNTIF($B$2:B204, B204) = 1, MIN( Assumptions!$C$34 + INT(SUMIF($B$2:$B204, B204, G$2:G204) / 1000) * Assumptions!$C$37, Assumptions!$C$36 ), 0 )</f>
        <v>0</v>
      </c>
      <c r="P204" s="53">
        <f t="shared" si="10"/>
        <v>982783.02550612832</v>
      </c>
      <c r="Q204" s="52">
        <f t="shared" si="11"/>
        <v>158851459.82461855</v>
      </c>
    </row>
    <row r="205" spans="1:17">
      <c r="A205" s="2">
        <f t="shared" si="9"/>
        <v>5</v>
      </c>
      <c r="B205" s="2">
        <v>56</v>
      </c>
      <c r="C205" s="2" t="s">
        <v>92</v>
      </c>
      <c r="D205" s="62">
        <f>IF(
    B205 &lt; INDEX(Assumptions!$C$3:$C$7, MATCH(C205, {"Virginia","Florida","Texas","New York","California"}, 0)),
    0,
    IF(
        B205 = INDEX(Assumptions!$C$3:$C$7, MATCH(C205, {"Virginia","Florida","Texas","New York","California"}, 0)),
        IF(C205 = "Virginia", Assumptions!$C$13, Assumptions!$C$14),
        ROUND(
            (INDEX(Assumptions!$C$15:$C$19, MATCH(C205, {"Virginia","Florida","Texas","New York","California"}, 0)) * Assumptions!$C$9 -
            SUMIF(C$2:C204, C205, D$2:D205)) /
            (1 + EXP(-0.2 * (B205 - INDEX(Assumptions!$C$3:$C$7, MATCH(C205, {"Virginia","Florida","Texas","New York","California"}, 0)) - 30))),
            0
        )
    )
)</f>
        <v>30</v>
      </c>
      <c r="E205" s="62">
        <f>IF(B205&lt;INDEX(Assumptions!$C$3:$C$7, MATCH(C205, {"Virginia","Florida","Texas","New York","California"}, 0)),
    0,
    IF(F205=0,
        0,
        F205 * Assumptions!$C$12
    )
)</f>
        <v>19.899999999999999</v>
      </c>
      <c r="F205" s="62" cm="1">
        <f t="array" ref="F205">IF(B205&lt;INDEX(Assumptions!$C$3:$C$7, MATCH(C205, {"Virginia","Florida","Texas","New York","California"}, 0)),
    0,
    IF(C205=C204,
        F204 + D205,
        IF(COUNTIF($C$2:C205, C205) = 1, D205, LOOKUP(2, 1/(C$1:C204=C205), F$1:F204) + D205)
    )
)</f>
        <v>4776</v>
      </c>
      <c r="G205" s="62" cm="1">
        <f t="array" ref="G205">IF(B205&lt;INDEX(Assumptions!$C$3:$C$7, MATCH(C205, {"Virginia","Florida","Texas","New York","California"}, 0)),
    0,
    IF(C205=C204,
        G204 + D205 - E205,
        IF(COUNTIF($C$2:C205, C205) = 1, D205, LOOKUP(2, 1/(C$1:C204=C205), G$1:G204) + D205 - E205)
    )
)</f>
        <v>4521.1208333333325</v>
      </c>
      <c r="H205" s="63">
        <f>IF(B205&lt;INDEX(Assumptions!$C$3:$C$7, MATCH(C205, {"Virginia","Florida","Texas","New York","California"}, 0)),
    0,
    (G205 / INDEX(Assumptions!$C$15:$C$19, MATCH(C205, {"Virginia","Florida","Texas","New York","California"}, 0)))
)</f>
        <v>7.5352013888888875E-2</v>
      </c>
      <c r="I205" s="43">
        <f>G205*'Unit Economics'!$B$19* INDEX(Assumptions!$C$38:$C$42, MATCH(C205, {"Virginia","Florida","Texas","New York","California"}, 0))</f>
        <v>1175683.1121899998</v>
      </c>
      <c r="J205" s="43">
        <f>D205*Assumptions!$C$21*INDEX(Assumptions!$C$38:$C$42,MATCH(C205,{"Virginia","Florida","Texas","New York","California"},0))</f>
        <v>8292.7800000000007</v>
      </c>
      <c r="K205" s="43">
        <f>G205/Assumptions!$C$22*('Unit Economics'!$F$24+'Unit Economics'!$F$25+'Unit Economics'!$F$26)</f>
        <v>215584.32797181371</v>
      </c>
      <c r="L205" s="43">
        <f>D205*Assumptions!$C$29</f>
        <v>5550</v>
      </c>
      <c r="M205" s="35">
        <f>G205*Assumptions!$C$27</f>
        <v>0</v>
      </c>
      <c r="N205" s="35">
        <f>G205*Assumptions!$C$28</f>
        <v>0</v>
      </c>
      <c r="O205" s="64">
        <f>IF( COUNTIF($B$2:B205, B205) = 1, MIN( Assumptions!$C$34 + INT(SUMIF($B$2:$B205, B205, G$2:G205) / 1000) * Assumptions!$C$37, Assumptions!$C$36 ), 0 )</f>
        <v>100000</v>
      </c>
      <c r="P205" s="53">
        <f t="shared" si="10"/>
        <v>1294010.2201618135</v>
      </c>
      <c r="Q205" s="52">
        <f t="shared" si="11"/>
        <v>160145470.04478037</v>
      </c>
    </row>
    <row r="206" spans="1:17">
      <c r="A206" s="2">
        <f t="shared" si="9"/>
        <v>5</v>
      </c>
      <c r="B206" s="2">
        <v>56</v>
      </c>
      <c r="C206" s="2" t="s">
        <v>93</v>
      </c>
      <c r="D206" s="62">
        <f>IF(
    B206 &lt; INDEX(Assumptions!$C$3:$C$7, MATCH(C206, {"Virginia","Florida","Texas","New York","California"}, 0)),
    0,
    IF(
        B206 = INDEX(Assumptions!$C$3:$C$7, MATCH(C206, {"Virginia","Florida","Texas","New York","California"}, 0)),
        IF(C206 = "Virginia", Assumptions!$C$13, Assumptions!$C$14),
        ROUND(
            (INDEX(Assumptions!$C$15:$C$19, MATCH(C206, {"Virginia","Florida","Texas","New York","California"}, 0)) * Assumptions!$C$9 -
            SUMIF(C$2:C205, C206, D$2:D206)) /
            (1 + EXP(-0.2 * (B206 - INDEX(Assumptions!$C$3:$C$7, MATCH(C206, {"Virginia","Florida","Texas","New York","California"}, 0)) - 30))),
            0
        )
    )
)</f>
        <v>46</v>
      </c>
      <c r="E206" s="62">
        <f>IF(B206&lt;INDEX(Assumptions!$C$3:$C$7, MATCH(C206, {"Virginia","Florida","Texas","New York","California"}, 0)),
    0,
    IF(F206=0,
        0,
        F206 * Assumptions!$C$12
    )
)</f>
        <v>29.845833333333331</v>
      </c>
      <c r="F206" s="62" cm="1">
        <f t="array" ref="F206">IF(B206&lt;INDEX(Assumptions!$C$3:$C$7, MATCH(C206, {"Virginia","Florida","Texas","New York","California"}, 0)),
    0,
    IF(C206=C205,
        F205 + D206,
        IF(COUNTIF($C$2:C206, C206) = 1, D206, LOOKUP(2, 1/(C$1:C205=C206), F$1:F205) + D206)
    )
)</f>
        <v>7163</v>
      </c>
      <c r="G206" s="62" cm="1">
        <f t="array" ref="G206">IF(B206&lt;INDEX(Assumptions!$C$3:$C$7, MATCH(C206, {"Virginia","Florida","Texas","New York","California"}, 0)),
    0,
    IF(C206=C205,
        G205 + D206 - E206,
        IF(COUNTIF($C$2:C206, C206) = 1, D206, LOOKUP(2, 1/(C$1:C205=C206), G$1:G205) + D206 - E206)
    )
)</f>
        <v>6784.5375000000013</v>
      </c>
      <c r="H206" s="63">
        <f>IF(B206&lt;INDEX(Assumptions!$C$3:$C$7, MATCH(C206, {"Virginia","Florida","Texas","New York","California"}, 0)),
    0,
    (G206 / INDEX(Assumptions!$C$15:$C$19, MATCH(C206, {"Virginia","Florida","Texas","New York","California"}, 0)))
)</f>
        <v>7.5383750000000013E-2</v>
      </c>
      <c r="I206" s="43">
        <f>G206*'Unit Economics'!$B$19* INDEX(Assumptions!$C$38:$C$42, MATCH(C206, {"Virginia","Florida","Texas","New York","California"}, 0))</f>
        <v>1796939.0331750005</v>
      </c>
      <c r="J206" s="43">
        <f>D206*Assumptions!$C$21*INDEX(Assumptions!$C$38:$C$42,MATCH(C206,{"Virginia","Florida","Texas","New York","California"},0))</f>
        <v>12951.07</v>
      </c>
      <c r="K206" s="43">
        <f>G206/Assumptions!$C$22*('Unit Economics'!$F$24+'Unit Economics'!$F$25+'Unit Economics'!$F$26)</f>
        <v>323512.68887867656</v>
      </c>
      <c r="L206" s="43">
        <f>D206*Assumptions!$C$29</f>
        <v>8510</v>
      </c>
      <c r="M206" s="35">
        <f>G206*Assumptions!$C$27</f>
        <v>0</v>
      </c>
      <c r="N206" s="35">
        <f>G206*Assumptions!$C$28</f>
        <v>0</v>
      </c>
      <c r="O206" s="64">
        <f>IF( COUNTIF($B$2:B206, B206) = 1, MIN( Assumptions!$C$34 + INT(SUMIF($B$2:$B206, B206, G$2:G206) / 1000) * Assumptions!$C$37, Assumptions!$C$36 ), 0 )</f>
        <v>0</v>
      </c>
      <c r="P206" s="53">
        <f t="shared" si="10"/>
        <v>2124892.7920536771</v>
      </c>
      <c r="Q206" s="52">
        <f t="shared" si="11"/>
        <v>162270362.83683404</v>
      </c>
    </row>
    <row r="207" spans="1:17">
      <c r="A207" s="2">
        <f t="shared" si="9"/>
        <v>5</v>
      </c>
      <c r="B207" s="2">
        <v>56</v>
      </c>
      <c r="C207" s="2" t="s">
        <v>90</v>
      </c>
      <c r="D207" s="62">
        <f>IF(
    B207 &lt; INDEX(Assumptions!$C$3:$C$7, MATCH(C207, {"Virginia","Florida","Texas","New York","California"}, 0)),
    0,
    IF(
        B207 = INDEX(Assumptions!$C$3:$C$7, MATCH(C207, {"Virginia","Florida","Texas","New York","California"}, 0)),
        IF(C207 = "Virginia", Assumptions!$C$13, Assumptions!$C$14),
        ROUND(
            (INDEX(Assumptions!$C$15:$C$19, MATCH(C207, {"Virginia","Florida","Texas","New York","California"}, 0)) * Assumptions!$C$9 -
            SUMIF(C$2:C206, C207, D$2:D207)) /
            (1 + EXP(-0.2 * (B207 - INDEX(Assumptions!$C$3:$C$7, MATCH(C207, {"Virginia","Florida","Texas","New York","California"}, 0)) - 30))),
            0
        )
    )
)</f>
        <v>0</v>
      </c>
      <c r="E207" s="62">
        <f>IF(B207&lt;INDEX(Assumptions!$C$3:$C$7, MATCH(C207, {"Virginia","Florida","Texas","New York","California"}, 0)),
    0,
    IF(F207=0,
        0,
        F207 * Assumptions!$C$12
    )
)</f>
        <v>23.333333333333332</v>
      </c>
      <c r="F207" s="62" cm="1">
        <f t="array" ref="F207">IF(B207&lt;INDEX(Assumptions!$C$3:$C$7, MATCH(C207, {"Virginia","Florida","Texas","New York","California"}, 0)),
    0,
    IF(C207=C206,
        F206 + D207,
        IF(COUNTIF($C$2:C207, C207) = 1, D207, LOOKUP(2, 1/(C$1:C206=C207), F$1:F206) + D207)
    )
)</f>
        <v>5600</v>
      </c>
      <c r="G207" s="62" cm="1">
        <f t="array" ref="G207">IF(B207&lt;INDEX(Assumptions!$C$3:$C$7, MATCH(C207, {"Virginia","Florida","Texas","New York","California"}, 0)),
    0,
    IF(C207=C206,
        G206 + D207 - E207,
        IF(COUNTIF($C$2:C207, C207) = 1, D207, LOOKUP(2, 1/(C$1:C206=C207), G$1:G206) + D207 - E207)
    )
)</f>
        <v>5023.9583333333367</v>
      </c>
      <c r="H207" s="63">
        <f>IF(B207&lt;INDEX(Assumptions!$C$3:$C$7, MATCH(C207, {"Virginia","Florida","Texas","New York","California"}, 0)),
    0,
    (G207 / INDEX(Assumptions!$C$15:$C$19, MATCH(C207, {"Virginia","Florida","Texas","New York","California"}, 0)))
)</f>
        <v>7.1770833333333381E-2</v>
      </c>
      <c r="I207" s="43">
        <f>G207*'Unit Economics'!$B$19* INDEX(Assumptions!$C$38:$C$42, MATCH(C207, {"Virginia","Florida","Texas","New York","California"}, 0))</f>
        <v>1270152.1218750009</v>
      </c>
      <c r="J207" s="43">
        <f>D207*Assumptions!$C$21*INDEX(Assumptions!$C$38:$C$42,MATCH(C207,{"Virginia","Florida","Texas","New York","California"},0))</f>
        <v>0</v>
      </c>
      <c r="K207" s="43">
        <f>G207/Assumptions!$C$22*('Unit Economics'!$F$24+'Unit Economics'!$F$25+'Unit Economics'!$F$26)</f>
        <v>239561.54258578448</v>
      </c>
      <c r="L207" s="43">
        <f>D207*Assumptions!$C$29</f>
        <v>0</v>
      </c>
      <c r="M207" s="35">
        <f>G207*Assumptions!$C$27</f>
        <v>0</v>
      </c>
      <c r="N207" s="35">
        <f>G207*Assumptions!$C$28</f>
        <v>0</v>
      </c>
      <c r="O207" s="64">
        <f>IF( COUNTIF($B$2:B207, B207) = 1, MIN( Assumptions!$C$34 + INT(SUMIF($B$2:$B207, B207, G$2:G207) / 1000) * Assumptions!$C$37, Assumptions!$C$36 ), 0 )</f>
        <v>0</v>
      </c>
      <c r="P207" s="53">
        <f t="shared" si="10"/>
        <v>1509713.6644607855</v>
      </c>
      <c r="Q207" s="52">
        <f t="shared" si="11"/>
        <v>163780076.50129482</v>
      </c>
    </row>
    <row r="208" spans="1:17">
      <c r="A208" s="2">
        <f t="shared" si="9"/>
        <v>5</v>
      </c>
      <c r="B208" s="2">
        <v>56</v>
      </c>
      <c r="C208" s="2" t="s">
        <v>91</v>
      </c>
      <c r="D208" s="62">
        <f>IF(
    B208 &lt; INDEX(Assumptions!$C$3:$C$7, MATCH(C208, {"Virginia","Florida","Texas","New York","California"}, 0)),
    0,
    IF(
        B208 = INDEX(Assumptions!$C$3:$C$7, MATCH(C208, {"Virginia","Florida","Texas","New York","California"}, 0)),
        IF(C208 = "Virginia", Assumptions!$C$13, Assumptions!$C$14),
        ROUND(
            (INDEX(Assumptions!$C$15:$C$19, MATCH(C208, {"Virginia","Florida","Texas","New York","California"}, 0)) * Assumptions!$C$9 -
            SUMIF(C$2:C207, C208, D$2:D208)) /
            (1 + EXP(-0.2 * (B208 - INDEX(Assumptions!$C$3:$C$7, MATCH(C208, {"Virginia","Florida","Texas","New York","California"}, 0)) - 30))),
            0
        )
    )
)</f>
        <v>0</v>
      </c>
      <c r="E208" s="62">
        <f>IF(B208&lt;INDEX(Assumptions!$C$3:$C$7, MATCH(C208, {"Virginia","Florida","Texas","New York","California"}, 0)),
    0,
    IF(F208=0,
        0,
        F208 * Assumptions!$C$12
    )
)</f>
        <v>26.666666666666668</v>
      </c>
      <c r="F208" s="62" cm="1">
        <f t="array" ref="F208">IF(B208&lt;INDEX(Assumptions!$C$3:$C$7, MATCH(C208, {"Virginia","Florida","Texas","New York","California"}, 0)),
    0,
    IF(C208=C207,
        F207 + D208,
        IF(COUNTIF($C$2:C208, C208) = 1, D208, LOOKUP(2, 1/(C$1:C207=C208), F$1:F207) + D208)
    )
)</f>
        <v>6400</v>
      </c>
      <c r="G208" s="62" cm="1">
        <f t="array" ref="G208">IF(B208&lt;INDEX(Assumptions!$C$3:$C$7, MATCH(C208, {"Virginia","Florida","Texas","New York","California"}, 0)),
    0,
    IF(C208=C207,
        G207 + D208 - E208,
        IF(COUNTIF($C$2:C208, C208) = 1, D208, LOOKUP(2, 1/(C$1:C207=C208), G$1:G207) + D208 - E208)
    )
)</f>
        <v>5742.8583333333299</v>
      </c>
      <c r="H208" s="63">
        <f>IF(B208&lt;INDEX(Assumptions!$C$3:$C$7, MATCH(C208, {"Virginia","Florida","Texas","New York","California"}, 0)),
    0,
    (G208 / INDEX(Assumptions!$C$15:$C$19, MATCH(C208, {"Virginia","Florida","Texas","New York","California"}, 0)))
)</f>
        <v>7.1785729166666618E-2</v>
      </c>
      <c r="I208" s="43">
        <f>G208*'Unit Economics'!$B$19* INDEX(Assumptions!$C$38:$C$42, MATCH(C208, {"Virginia","Florida","Texas","New York","California"}, 0))</f>
        <v>1424248.3923849992</v>
      </c>
      <c r="J208" s="43">
        <f>D208*Assumptions!$C$21*INDEX(Assumptions!$C$38:$C$42,MATCH(C208,{"Virginia","Florida","Texas","New York","California"},0))</f>
        <v>0</v>
      </c>
      <c r="K208" s="43">
        <f>G208/Assumptions!$C$22*('Unit Economics'!$F$24+'Unit Economics'!$F$25+'Unit Economics'!$F$26)</f>
        <v>273841.44332107832</v>
      </c>
      <c r="L208" s="43">
        <f>D208*Assumptions!$C$29</f>
        <v>0</v>
      </c>
      <c r="M208" s="35">
        <f>G208*Assumptions!$C$27</f>
        <v>0</v>
      </c>
      <c r="N208" s="35">
        <f>G208*Assumptions!$C$28</f>
        <v>0</v>
      </c>
      <c r="O208" s="64">
        <f>IF( COUNTIF($B$2:B208, B208) = 1, MIN( Assumptions!$C$34 + INT(SUMIF($B$2:$B208, B208, G$2:G208) / 1000) * Assumptions!$C$37, Assumptions!$C$36 ), 0 )</f>
        <v>0</v>
      </c>
      <c r="P208" s="53">
        <f t="shared" si="10"/>
        <v>1698089.8357060775</v>
      </c>
      <c r="Q208" s="52">
        <f t="shared" si="11"/>
        <v>165478166.33700091</v>
      </c>
    </row>
    <row r="209" spans="1:17">
      <c r="A209" s="2">
        <f t="shared" si="9"/>
        <v>5</v>
      </c>
      <c r="B209" s="2">
        <v>56</v>
      </c>
      <c r="C209" s="2" t="s">
        <v>89</v>
      </c>
      <c r="D209" s="62">
        <f>IF(
    B209 &lt; INDEX(Assumptions!$C$3:$C$7, MATCH(C209, {"Virginia","Florida","Texas","New York","California"}, 0)),
    0,
    IF(
        B209 = INDEX(Assumptions!$C$3:$C$7, MATCH(C209, {"Virginia","Florida","Texas","New York","California"}, 0)),
        IF(C209 = "Virginia", Assumptions!$C$13, Assumptions!$C$14),
        ROUND(
            (INDEX(Assumptions!$C$15:$C$19, MATCH(C209, {"Virginia","Florida","Texas","New York","California"}, 0)) * Assumptions!$C$9 -
            SUMIF(C$2:C208, C209, D$2:D209)) /
            (1 + EXP(-0.2 * (B209 - INDEX(Assumptions!$C$3:$C$7, MATCH(C209, {"Virginia","Florida","Texas","New York","California"}, 0)) - 30))),
            0
        )
    )
)</f>
        <v>0</v>
      </c>
      <c r="E209" s="62">
        <f>IF(B209&lt;INDEX(Assumptions!$C$3:$C$7, MATCH(C209, {"Virginia","Florida","Texas","New York","California"}, 0)),
    0,
    IF(F209=0,
        0,
        F209 * Assumptions!$C$12
    )
)</f>
        <v>16.666666666666668</v>
      </c>
      <c r="F209" s="62" cm="1">
        <f t="array" ref="F209">IF(B209&lt;INDEX(Assumptions!$C$3:$C$7, MATCH(C209, {"Virginia","Florida","Texas","New York","California"}, 0)),
    0,
    IF(C209=C208,
        F208 + D209,
        IF(COUNTIF($C$2:C209, C209) = 1, D209, LOOKUP(2, 1/(C$1:C208=C209), F$1:F208) + D209)
    )
)</f>
        <v>4000</v>
      </c>
      <c r="G209" s="62" cm="1">
        <f t="array" ref="G209">IF(B209&lt;INDEX(Assumptions!$C$3:$C$7, MATCH(C209, {"Virginia","Florida","Texas","New York","California"}, 0)),
    0,
    IF(C209=C208,
        G208 + D209 - E209,
        IF(COUNTIF($C$2:C209, C209) = 1, D209, LOOKUP(2, 1/(C$1:C208=C209), G$1:G208) + D209 - E209)
    )
)</f>
        <v>3390.2875000000031</v>
      </c>
      <c r="H209" s="63">
        <f>IF(B209&lt;INDEX(Assumptions!$C$3:$C$7, MATCH(C209, {"Virginia","Florida","Texas","New York","California"}, 0)),
    0,
    (G209 / INDEX(Assumptions!$C$15:$C$19, MATCH(C209, {"Virginia","Florida","Texas","New York","California"}, 0)))
)</f>
        <v>6.7805750000000067E-2</v>
      </c>
      <c r="I209" s="43">
        <f>G209*'Unit Economics'!$B$19* INDEX(Assumptions!$C$38:$C$42, MATCH(C209, {"Virginia","Florida","Texas","New York","California"}, 0))</f>
        <v>816313.42425000074</v>
      </c>
      <c r="J209" s="43">
        <f>D209*Assumptions!$C$21*INDEX(Assumptions!$C$38:$C$42,MATCH(C209,{"Virginia","Florida","Texas","New York","California"},0))</f>
        <v>0</v>
      </c>
      <c r="K209" s="43">
        <f>G209/Assumptions!$C$22*('Unit Economics'!$F$24+'Unit Economics'!$F$25+'Unit Economics'!$F$26)</f>
        <v>161661.87086397075</v>
      </c>
      <c r="L209" s="43">
        <f>D209*Assumptions!$C$29</f>
        <v>0</v>
      </c>
      <c r="M209" s="35">
        <f>G209*Assumptions!$C$27</f>
        <v>0</v>
      </c>
      <c r="N209" s="35">
        <f>G209*Assumptions!$C$28</f>
        <v>0</v>
      </c>
      <c r="O209" s="64">
        <f>IF( COUNTIF($B$2:B209, B209) = 1, MIN( Assumptions!$C$34 + INT(SUMIF($B$2:$B209, B209, G$2:G209) / 1000) * Assumptions!$C$37, Assumptions!$C$36 ), 0 )</f>
        <v>0</v>
      </c>
      <c r="P209" s="53">
        <f t="shared" si="10"/>
        <v>977975.29511397146</v>
      </c>
      <c r="Q209" s="52">
        <f t="shared" si="11"/>
        <v>166456141.63211489</v>
      </c>
    </row>
    <row r="210" spans="1:17">
      <c r="A210" s="2">
        <f t="shared" si="9"/>
        <v>5</v>
      </c>
      <c r="B210" s="2">
        <v>57</v>
      </c>
      <c r="C210" s="2" t="s">
        <v>92</v>
      </c>
      <c r="D210" s="62">
        <f>IF(
    B210 &lt; INDEX(Assumptions!$C$3:$C$7, MATCH(C210, {"Virginia","Florida","Texas","New York","California"}, 0)),
    0,
    IF(
        B210 = INDEX(Assumptions!$C$3:$C$7, MATCH(C210, {"Virginia","Florida","Texas","New York","California"}, 0)),
        IF(C210 = "Virginia", Assumptions!$C$13, Assumptions!$C$14),
        ROUND(
            (INDEX(Assumptions!$C$15:$C$19, MATCH(C210, {"Virginia","Florida","Texas","New York","California"}, 0)) * Assumptions!$C$9 -
            SUMIF(C$2:C209, C210, D$2:D210)) /
            (1 + EXP(-0.2 * (B210 - INDEX(Assumptions!$C$3:$C$7, MATCH(C210, {"Virginia","Florida","Texas","New York","California"}, 0)) - 30))),
            0
        )
    )
)</f>
        <v>14</v>
      </c>
      <c r="E210" s="62">
        <f>IF(B210&lt;INDEX(Assumptions!$C$3:$C$7, MATCH(C210, {"Virginia","Florida","Texas","New York","California"}, 0)),
    0,
    IF(F210=0,
        0,
        F210 * Assumptions!$C$12
    )
)</f>
        <v>19.958333333333332</v>
      </c>
      <c r="F210" s="62" cm="1">
        <f t="array" ref="F210">IF(B210&lt;INDEX(Assumptions!$C$3:$C$7, MATCH(C210, {"Virginia","Florida","Texas","New York","California"}, 0)),
    0,
    IF(C210=C209,
        F209 + D210,
        IF(COUNTIF($C$2:C210, C210) = 1, D210, LOOKUP(2, 1/(C$1:C209=C210), F$1:F209) + D210)
    )
)</f>
        <v>4790</v>
      </c>
      <c r="G210" s="62" cm="1">
        <f t="array" ref="G210">IF(B210&lt;INDEX(Assumptions!$C$3:$C$7, MATCH(C210, {"Virginia","Florida","Texas","New York","California"}, 0)),
    0,
    IF(C210=C209,
        G209 + D210 - E210,
        IF(COUNTIF($C$2:C210, C210) = 1, D210, LOOKUP(2, 1/(C$1:C209=C210), G$1:G209) + D210 - E210)
    )
)</f>
        <v>4515.1624999999995</v>
      </c>
      <c r="H210" s="63">
        <f>IF(B210&lt;INDEX(Assumptions!$C$3:$C$7, MATCH(C210, {"Virginia","Florida","Texas","New York","California"}, 0)),
    0,
    (G210 / INDEX(Assumptions!$C$15:$C$19, MATCH(C210, {"Virginia","Florida","Texas","New York","California"}, 0)))
)</f>
        <v>7.5252708333333321E-2</v>
      </c>
      <c r="I210" s="43">
        <f>G210*'Unit Economics'!$B$19* INDEX(Assumptions!$C$38:$C$42, MATCH(C210, {"Virginia","Florida","Texas","New York","California"}, 0))</f>
        <v>1174133.6928899998</v>
      </c>
      <c r="J210" s="43">
        <f>D210*Assumptions!$C$21*INDEX(Assumptions!$C$38:$C$42,MATCH(C210,{"Virginia","Florida","Texas","New York","California"},0))</f>
        <v>3869.9639999999999</v>
      </c>
      <c r="K210" s="43">
        <f>G210/Assumptions!$C$22*('Unit Economics'!$F$24+'Unit Economics'!$F$25+'Unit Economics'!$F$26)</f>
        <v>215300.21185661765</v>
      </c>
      <c r="L210" s="43">
        <f>D210*Assumptions!$C$29</f>
        <v>2590</v>
      </c>
      <c r="M210" s="35">
        <f>G210*Assumptions!$C$27</f>
        <v>0</v>
      </c>
      <c r="N210" s="35">
        <f>G210*Assumptions!$C$28</f>
        <v>0</v>
      </c>
      <c r="O210" s="64">
        <f>IF( COUNTIF($B$2:B210, B210) = 1, MIN( Assumptions!$C$34 + INT(SUMIF($B$2:$B210, B210, G$2:G210) / 1000) * Assumptions!$C$37, Assumptions!$C$36 ), 0 )</f>
        <v>100000</v>
      </c>
      <c r="P210" s="53">
        <f t="shared" si="10"/>
        <v>1290713.8687466173</v>
      </c>
      <c r="Q210" s="52">
        <f t="shared" si="11"/>
        <v>167746855.5008615</v>
      </c>
    </row>
    <row r="211" spans="1:17">
      <c r="A211" s="2">
        <f t="shared" si="9"/>
        <v>5</v>
      </c>
      <c r="B211" s="2">
        <v>57</v>
      </c>
      <c r="C211" s="2" t="s">
        <v>93</v>
      </c>
      <c r="D211" s="62">
        <f>IF(
    B211 &lt; INDEX(Assumptions!$C$3:$C$7, MATCH(C211, {"Virginia","Florida","Texas","New York","California"}, 0)),
    0,
    IF(
        B211 = INDEX(Assumptions!$C$3:$C$7, MATCH(C211, {"Virginia","Florida","Texas","New York","California"}, 0)),
        IF(C211 = "Virginia", Assumptions!$C$13, Assumptions!$C$14),
        ROUND(
            (INDEX(Assumptions!$C$15:$C$19, MATCH(C211, {"Virginia","Florida","Texas","New York","California"}, 0)) * Assumptions!$C$9 -
            SUMIF(C$2:C210, C211, D$2:D211)) /
            (1 + EXP(-0.2 * (B211 - INDEX(Assumptions!$C$3:$C$7, MATCH(C211, {"Virginia","Florida","Texas","New York","California"}, 0)) - 30))),
            0
        )
    )
)</f>
        <v>22</v>
      </c>
      <c r="E211" s="62">
        <f>IF(B211&lt;INDEX(Assumptions!$C$3:$C$7, MATCH(C211, {"Virginia","Florida","Texas","New York","California"}, 0)),
    0,
    IF(F211=0,
        0,
        F211 * Assumptions!$C$12
    )
)</f>
        <v>29.9375</v>
      </c>
      <c r="F211" s="62" cm="1">
        <f t="array" ref="F211">IF(B211&lt;INDEX(Assumptions!$C$3:$C$7, MATCH(C211, {"Virginia","Florida","Texas","New York","California"}, 0)),
    0,
    IF(C211=C210,
        F210 + D211,
        IF(COUNTIF($C$2:C211, C211) = 1, D211, LOOKUP(2, 1/(C$1:C210=C211), F$1:F210) + D211)
    )
)</f>
        <v>7185</v>
      </c>
      <c r="G211" s="62" cm="1">
        <f t="array" ref="G211">IF(B211&lt;INDEX(Assumptions!$C$3:$C$7, MATCH(C211, {"Virginia","Florida","Texas","New York","California"}, 0)),
    0,
    IF(C211=C210,
        G210 + D211 - E211,
        IF(COUNTIF($C$2:C211, C211) = 1, D211, LOOKUP(2, 1/(C$1:C210=C211), G$1:G210) + D211 - E211)
    )
)</f>
        <v>6776.6000000000013</v>
      </c>
      <c r="H211" s="63">
        <f>IF(B211&lt;INDEX(Assumptions!$C$3:$C$7, MATCH(C211, {"Virginia","Florida","Texas","New York","California"}, 0)),
    0,
    (G211 / INDEX(Assumptions!$C$15:$C$19, MATCH(C211, {"Virginia","Florida","Texas","New York","California"}, 0)))
)</f>
        <v>7.5295555555555574E-2</v>
      </c>
      <c r="I211" s="43">
        <f>G211*'Unit Economics'!$B$19* INDEX(Assumptions!$C$38:$C$42, MATCH(C211, {"Virginia","Florida","Texas","New York","California"}, 0))</f>
        <v>1794836.7228000006</v>
      </c>
      <c r="J211" s="43">
        <f>D211*Assumptions!$C$21*INDEX(Assumptions!$C$38:$C$42,MATCH(C211,{"Virginia","Florida","Texas","New York","California"},0))</f>
        <v>6193.99</v>
      </c>
      <c r="K211" s="43">
        <f>G211/Assumptions!$C$22*('Unit Economics'!$F$24+'Unit Economics'!$F$25+'Unit Economics'!$F$26)</f>
        <v>323134.19852941186</v>
      </c>
      <c r="L211" s="43">
        <f>D211*Assumptions!$C$29</f>
        <v>4070</v>
      </c>
      <c r="M211" s="35">
        <f>G211*Assumptions!$C$27</f>
        <v>0</v>
      </c>
      <c r="N211" s="35">
        <f>G211*Assumptions!$C$28</f>
        <v>0</v>
      </c>
      <c r="O211" s="64">
        <f>IF( COUNTIF($B$2:B211, B211) = 1, MIN( Assumptions!$C$34 + INT(SUMIF($B$2:$B211, B211, G$2:G211) / 1000) * Assumptions!$C$37, Assumptions!$C$36 ), 0 )</f>
        <v>0</v>
      </c>
      <c r="P211" s="53">
        <f t="shared" si="10"/>
        <v>2120094.9113294124</v>
      </c>
      <c r="Q211" s="52">
        <f t="shared" si="11"/>
        <v>169866950.41219091</v>
      </c>
    </row>
    <row r="212" spans="1:17">
      <c r="A212" s="2">
        <f t="shared" si="9"/>
        <v>5</v>
      </c>
      <c r="B212" s="2">
        <v>57</v>
      </c>
      <c r="C212" s="2" t="s">
        <v>90</v>
      </c>
      <c r="D212" s="62">
        <f>IF(
    B212 &lt; INDEX(Assumptions!$C$3:$C$7, MATCH(C212, {"Virginia","Florida","Texas","New York","California"}, 0)),
    0,
    IF(
        B212 = INDEX(Assumptions!$C$3:$C$7, MATCH(C212, {"Virginia","Florida","Texas","New York","California"}, 0)),
        IF(C212 = "Virginia", Assumptions!$C$13, Assumptions!$C$14),
        ROUND(
            (INDEX(Assumptions!$C$15:$C$19, MATCH(C212, {"Virginia","Florida","Texas","New York","California"}, 0)) * Assumptions!$C$9 -
            SUMIF(C$2:C211, C212, D$2:D212)) /
            (1 + EXP(-0.2 * (B212 - INDEX(Assumptions!$C$3:$C$7, MATCH(C212, {"Virginia","Florida","Texas","New York","California"}, 0)) - 30))),
            0
        )
    )
)</f>
        <v>0</v>
      </c>
      <c r="E212" s="62">
        <f>IF(B212&lt;INDEX(Assumptions!$C$3:$C$7, MATCH(C212, {"Virginia","Florida","Texas","New York","California"}, 0)),
    0,
    IF(F212=0,
        0,
        F212 * Assumptions!$C$12
    )
)</f>
        <v>23.333333333333332</v>
      </c>
      <c r="F212" s="62" cm="1">
        <f t="array" ref="F212">IF(B212&lt;INDEX(Assumptions!$C$3:$C$7, MATCH(C212, {"Virginia","Florida","Texas","New York","California"}, 0)),
    0,
    IF(C212=C211,
        F211 + D212,
        IF(COUNTIF($C$2:C212, C212) = 1, D212, LOOKUP(2, 1/(C$1:C211=C212), F$1:F211) + D212)
    )
)</f>
        <v>5600</v>
      </c>
      <c r="G212" s="62" cm="1">
        <f t="array" ref="G212">IF(B212&lt;INDEX(Assumptions!$C$3:$C$7, MATCH(C212, {"Virginia","Florida","Texas","New York","California"}, 0)),
    0,
    IF(C212=C211,
        G211 + D212 - E212,
        IF(COUNTIF($C$2:C212, C212) = 1, D212, LOOKUP(2, 1/(C$1:C211=C212), G$1:G211) + D212 - E212)
    )
)</f>
        <v>5000.6250000000036</v>
      </c>
      <c r="H212" s="63">
        <f>IF(B212&lt;INDEX(Assumptions!$C$3:$C$7, MATCH(C212, {"Virginia","Florida","Texas","New York","California"}, 0)),
    0,
    (G212 / INDEX(Assumptions!$C$15:$C$19, MATCH(C212, {"Virginia","Florida","Texas","New York","California"}, 0)))
)</f>
        <v>7.1437500000000057E-2</v>
      </c>
      <c r="I212" s="43">
        <f>G212*'Unit Economics'!$B$19* INDEX(Assumptions!$C$38:$C$42, MATCH(C212, {"Virginia","Florida","Texas","New York","California"}, 0))</f>
        <v>1264253.011875001</v>
      </c>
      <c r="J212" s="43">
        <f>D212*Assumptions!$C$21*INDEX(Assumptions!$C$38:$C$42,MATCH(C212,{"Virginia","Florida","Texas","New York","California"},0))</f>
        <v>0</v>
      </c>
      <c r="K212" s="43">
        <f>G212/Assumptions!$C$22*('Unit Economics'!$F$24+'Unit Economics'!$F$25+'Unit Economics'!$F$26)</f>
        <v>238448.9200367649</v>
      </c>
      <c r="L212" s="43">
        <f>D212*Assumptions!$C$29</f>
        <v>0</v>
      </c>
      <c r="M212" s="35">
        <f>G212*Assumptions!$C$27</f>
        <v>0</v>
      </c>
      <c r="N212" s="35">
        <f>G212*Assumptions!$C$28</f>
        <v>0</v>
      </c>
      <c r="O212" s="64">
        <f>IF( COUNTIF($B$2:B212, B212) = 1, MIN( Assumptions!$C$34 + INT(SUMIF($B$2:$B212, B212, G$2:G212) / 1000) * Assumptions!$C$37, Assumptions!$C$36 ), 0 )</f>
        <v>0</v>
      </c>
      <c r="P212" s="53">
        <f t="shared" si="10"/>
        <v>1502701.9319117658</v>
      </c>
      <c r="Q212" s="52">
        <f t="shared" si="11"/>
        <v>171369652.34410268</v>
      </c>
    </row>
    <row r="213" spans="1:17">
      <c r="A213" s="2">
        <f t="shared" si="9"/>
        <v>5</v>
      </c>
      <c r="B213" s="2">
        <v>57</v>
      </c>
      <c r="C213" s="2" t="s">
        <v>91</v>
      </c>
      <c r="D213" s="62">
        <f>IF(
    B213 &lt; INDEX(Assumptions!$C$3:$C$7, MATCH(C213, {"Virginia","Florida","Texas","New York","California"}, 0)),
    0,
    IF(
        B213 = INDEX(Assumptions!$C$3:$C$7, MATCH(C213, {"Virginia","Florida","Texas","New York","California"}, 0)),
        IF(C213 = "Virginia", Assumptions!$C$13, Assumptions!$C$14),
        ROUND(
            (INDEX(Assumptions!$C$15:$C$19, MATCH(C213, {"Virginia","Florida","Texas","New York","California"}, 0)) * Assumptions!$C$9 -
            SUMIF(C$2:C212, C213, D$2:D213)) /
            (1 + EXP(-0.2 * (B213 - INDEX(Assumptions!$C$3:$C$7, MATCH(C213, {"Virginia","Florida","Texas","New York","California"}, 0)) - 30))),
            0
        )
    )
)</f>
        <v>0</v>
      </c>
      <c r="E213" s="62">
        <f>IF(B213&lt;INDEX(Assumptions!$C$3:$C$7, MATCH(C213, {"Virginia","Florida","Texas","New York","California"}, 0)),
    0,
    IF(F213=0,
        0,
        F213 * Assumptions!$C$12
    )
)</f>
        <v>26.666666666666668</v>
      </c>
      <c r="F213" s="62" cm="1">
        <f t="array" ref="F213">IF(B213&lt;INDEX(Assumptions!$C$3:$C$7, MATCH(C213, {"Virginia","Florida","Texas","New York","California"}, 0)),
    0,
    IF(C213=C212,
        F212 + D213,
        IF(COUNTIF($C$2:C213, C213) = 1, D213, LOOKUP(2, 1/(C$1:C212=C213), F$1:F212) + D213)
    )
)</f>
        <v>6400</v>
      </c>
      <c r="G213" s="62" cm="1">
        <f t="array" ref="G213">IF(B213&lt;INDEX(Assumptions!$C$3:$C$7, MATCH(C213, {"Virginia","Florida","Texas","New York","California"}, 0)),
    0,
    IF(C213=C212,
        G212 + D213 - E213,
        IF(COUNTIF($C$2:C213, C213) = 1, D213, LOOKUP(2, 1/(C$1:C212=C213), G$1:G212) + D213 - E213)
    )
)</f>
        <v>5716.191666666663</v>
      </c>
      <c r="H213" s="63">
        <f>IF(B213&lt;INDEX(Assumptions!$C$3:$C$7, MATCH(C213, {"Virginia","Florida","Texas","New York","California"}, 0)),
    0,
    (G213 / INDEX(Assumptions!$C$15:$C$19, MATCH(C213, {"Virginia","Florida","Texas","New York","California"}, 0)))
)</f>
        <v>7.1452395833333293E-2</v>
      </c>
      <c r="I213" s="43">
        <f>G213*'Unit Economics'!$B$19* INDEX(Assumptions!$C$38:$C$42, MATCH(C213, {"Virginia","Florida","Texas","New York","California"}, 0))</f>
        <v>1417634.9683849991</v>
      </c>
      <c r="J213" s="43">
        <f>D213*Assumptions!$C$21*INDEX(Assumptions!$C$38:$C$42,MATCH(C213,{"Virginia","Florida","Texas","New York","California"},0))</f>
        <v>0</v>
      </c>
      <c r="K213" s="43">
        <f>G213/Assumptions!$C$22*('Unit Economics'!$F$24+'Unit Economics'!$F$25+'Unit Economics'!$F$26)</f>
        <v>272569.87469362729</v>
      </c>
      <c r="L213" s="43">
        <f>D213*Assumptions!$C$29</f>
        <v>0</v>
      </c>
      <c r="M213" s="35">
        <f>G213*Assumptions!$C$27</f>
        <v>0</v>
      </c>
      <c r="N213" s="35">
        <f>G213*Assumptions!$C$28</f>
        <v>0</v>
      </c>
      <c r="O213" s="64">
        <f>IF( COUNTIF($B$2:B213, B213) = 1, MIN( Assumptions!$C$34 + INT(SUMIF($B$2:$B213, B213, G$2:G213) / 1000) * Assumptions!$C$37, Assumptions!$C$36 ), 0 )</f>
        <v>0</v>
      </c>
      <c r="P213" s="53">
        <f t="shared" si="10"/>
        <v>1690204.8430786263</v>
      </c>
      <c r="Q213" s="52">
        <f t="shared" si="11"/>
        <v>173059857.18718129</v>
      </c>
    </row>
    <row r="214" spans="1:17">
      <c r="A214" s="2">
        <f t="shared" si="9"/>
        <v>5</v>
      </c>
      <c r="B214" s="2">
        <v>57</v>
      </c>
      <c r="C214" s="2" t="s">
        <v>89</v>
      </c>
      <c r="D214" s="62">
        <f>IF(
    B214 &lt; INDEX(Assumptions!$C$3:$C$7, MATCH(C214, {"Virginia","Florida","Texas","New York","California"}, 0)),
    0,
    IF(
        B214 = INDEX(Assumptions!$C$3:$C$7, MATCH(C214, {"Virginia","Florida","Texas","New York","California"}, 0)),
        IF(C214 = "Virginia", Assumptions!$C$13, Assumptions!$C$14),
        ROUND(
            (INDEX(Assumptions!$C$15:$C$19, MATCH(C214, {"Virginia","Florida","Texas","New York","California"}, 0)) * Assumptions!$C$9 -
            SUMIF(C$2:C213, C214, D$2:D214)) /
            (1 + EXP(-0.2 * (B214 - INDEX(Assumptions!$C$3:$C$7, MATCH(C214, {"Virginia","Florida","Texas","New York","California"}, 0)) - 30))),
            0
        )
    )
)</f>
        <v>0</v>
      </c>
      <c r="E214" s="62">
        <f>IF(B214&lt;INDEX(Assumptions!$C$3:$C$7, MATCH(C214, {"Virginia","Florida","Texas","New York","California"}, 0)),
    0,
    IF(F214=0,
        0,
        F214 * Assumptions!$C$12
    )
)</f>
        <v>16.666666666666668</v>
      </c>
      <c r="F214" s="62" cm="1">
        <f t="array" ref="F214">IF(B214&lt;INDEX(Assumptions!$C$3:$C$7, MATCH(C214, {"Virginia","Florida","Texas","New York","California"}, 0)),
    0,
    IF(C214=C213,
        F213 + D214,
        IF(COUNTIF($C$2:C214, C214) = 1, D214, LOOKUP(2, 1/(C$1:C213=C214), F$1:F213) + D214)
    )
)</f>
        <v>4000</v>
      </c>
      <c r="G214" s="62" cm="1">
        <f t="array" ref="G214">IF(B214&lt;INDEX(Assumptions!$C$3:$C$7, MATCH(C214, {"Virginia","Florida","Texas","New York","California"}, 0)),
    0,
    IF(C214=C213,
        G213 + D214 - E214,
        IF(COUNTIF($C$2:C214, C214) = 1, D214, LOOKUP(2, 1/(C$1:C213=C214), G$1:G213) + D214 - E214)
    )
)</f>
        <v>3373.6208333333366</v>
      </c>
      <c r="H214" s="63">
        <f>IF(B214&lt;INDEX(Assumptions!$C$3:$C$7, MATCH(C214, {"Virginia","Florida","Texas","New York","California"}, 0)),
    0,
    (G214 / INDEX(Assumptions!$C$15:$C$19, MATCH(C214, {"Virginia","Florida","Texas","New York","California"}, 0)))
)</f>
        <v>6.7472416666666729E-2</v>
      </c>
      <c r="I214" s="43">
        <f>G214*'Unit Economics'!$B$19* INDEX(Assumptions!$C$38:$C$42, MATCH(C214, {"Virginia","Florida","Texas","New York","California"}, 0))</f>
        <v>812300.42425000074</v>
      </c>
      <c r="J214" s="43">
        <f>D214*Assumptions!$C$21*INDEX(Assumptions!$C$38:$C$42,MATCH(C214,{"Virginia","Florida","Texas","New York","California"},0))</f>
        <v>0</v>
      </c>
      <c r="K214" s="43">
        <f>G214/Assumptions!$C$22*('Unit Economics'!$F$24+'Unit Economics'!$F$25+'Unit Economics'!$F$26)</f>
        <v>160867.14047181388</v>
      </c>
      <c r="L214" s="43">
        <f>D214*Assumptions!$C$29</f>
        <v>0</v>
      </c>
      <c r="M214" s="35">
        <f>G214*Assumptions!$C$27</f>
        <v>0</v>
      </c>
      <c r="N214" s="35">
        <f>G214*Assumptions!$C$28</f>
        <v>0</v>
      </c>
      <c r="O214" s="64">
        <f>IF( COUNTIF($B$2:B214, B214) = 1, MIN( Assumptions!$C$34 + INT(SUMIF($B$2:$B214, B214, G$2:G214) / 1000) * Assumptions!$C$37, Assumptions!$C$36 ), 0 )</f>
        <v>0</v>
      </c>
      <c r="P214" s="53">
        <f t="shared" si="10"/>
        <v>973167.56472181459</v>
      </c>
      <c r="Q214" s="52">
        <f t="shared" si="11"/>
        <v>174033024.75190312</v>
      </c>
    </row>
    <row r="215" spans="1:17">
      <c r="A215" s="2">
        <f t="shared" si="9"/>
        <v>5</v>
      </c>
      <c r="B215" s="2">
        <v>58</v>
      </c>
      <c r="C215" s="2" t="s">
        <v>92</v>
      </c>
      <c r="D215" s="62">
        <f>IF(
    B215 &lt; INDEX(Assumptions!$C$3:$C$7, MATCH(C215, {"Virginia","Florida","Texas","New York","California"}, 0)),
    0,
    IF(
        B215 = INDEX(Assumptions!$C$3:$C$7, MATCH(C215, {"Virginia","Florida","Texas","New York","California"}, 0)),
        IF(C215 = "Virginia", Assumptions!$C$13, Assumptions!$C$14),
        ROUND(
            (INDEX(Assumptions!$C$15:$C$19, MATCH(C215, {"Virginia","Florida","Texas","New York","California"}, 0)) * Assumptions!$C$9 -
            SUMIF(C$2:C214, C215, D$2:D215)) /
            (1 + EXP(-0.2 * (B215 - INDEX(Assumptions!$C$3:$C$7, MATCH(C215, {"Virginia","Florida","Texas","New York","California"}, 0)) - 30))),
            0
        )
    )
)</f>
        <v>6</v>
      </c>
      <c r="E215" s="62">
        <f>IF(B215&lt;INDEX(Assumptions!$C$3:$C$7, MATCH(C215, {"Virginia","Florida","Texas","New York","California"}, 0)),
    0,
    IF(F215=0,
        0,
        F215 * Assumptions!$C$12
    )
)</f>
        <v>19.983333333333334</v>
      </c>
      <c r="F215" s="62" cm="1">
        <f t="array" ref="F215">IF(B215&lt;INDEX(Assumptions!$C$3:$C$7, MATCH(C215, {"Virginia","Florida","Texas","New York","California"}, 0)),
    0,
    IF(C215=C214,
        F214 + D215,
        IF(COUNTIF($C$2:C215, C215) = 1, D215, LOOKUP(2, 1/(C$1:C214=C215), F$1:F214) + D215)
    )
)</f>
        <v>4796</v>
      </c>
      <c r="G215" s="62" cm="1">
        <f t="array" ref="G215">IF(B215&lt;INDEX(Assumptions!$C$3:$C$7, MATCH(C215, {"Virginia","Florida","Texas","New York","California"}, 0)),
    0,
    IF(C215=C214,
        G214 + D215 - E215,
        IF(COUNTIF($C$2:C215, C215) = 1, D215, LOOKUP(2, 1/(C$1:C214=C215), G$1:G214) + D215 - E215)
    )
)</f>
        <v>4501.1791666666659</v>
      </c>
      <c r="H215" s="63">
        <f>IF(B215&lt;INDEX(Assumptions!$C$3:$C$7, MATCH(C215, {"Virginia","Florida","Texas","New York","California"}, 0)),
    0,
    (G215 / INDEX(Assumptions!$C$15:$C$19, MATCH(C215, {"Virginia","Florida","Texas","New York","California"}, 0)))
)</f>
        <v>7.5019652777777765E-2</v>
      </c>
      <c r="I215" s="43">
        <f>G215*'Unit Economics'!$B$19* INDEX(Assumptions!$C$38:$C$42, MATCH(C215, {"Virginia","Florida","Texas","New York","California"}, 0))</f>
        <v>1170497.4333299999</v>
      </c>
      <c r="J215" s="43">
        <f>D215*Assumptions!$C$21*INDEX(Assumptions!$C$38:$C$42,MATCH(C215,{"Virginia","Florida","Texas","New York","California"},0))</f>
        <v>1658.5559999999998</v>
      </c>
      <c r="K215" s="43">
        <f>G215/Assumptions!$C$22*('Unit Economics'!$F$24+'Unit Economics'!$F$25+'Unit Economics'!$F$26)</f>
        <v>214633.43305759804</v>
      </c>
      <c r="L215" s="43">
        <f>D215*Assumptions!$C$29</f>
        <v>1110</v>
      </c>
      <c r="M215" s="35">
        <f>G215*Assumptions!$C$27</f>
        <v>0</v>
      </c>
      <c r="N215" s="35">
        <f>G215*Assumptions!$C$28</f>
        <v>0</v>
      </c>
      <c r="O215" s="64">
        <f>IF( COUNTIF($B$2:B215, B215) = 1, MIN( Assumptions!$C$34 + INT(SUMIF($B$2:$B215, B215, G$2:G215) / 1000) * Assumptions!$C$37, Assumptions!$C$36 ), 0 )</f>
        <v>100000</v>
      </c>
      <c r="P215" s="53">
        <f t="shared" si="10"/>
        <v>1285679.4223875981</v>
      </c>
      <c r="Q215" s="52">
        <f t="shared" si="11"/>
        <v>175318704.17429072</v>
      </c>
    </row>
    <row r="216" spans="1:17">
      <c r="A216" s="2">
        <f t="shared" si="9"/>
        <v>5</v>
      </c>
      <c r="B216" s="2">
        <v>58</v>
      </c>
      <c r="C216" s="2" t="s">
        <v>93</v>
      </c>
      <c r="D216" s="62">
        <f>IF(
    B216 &lt; INDEX(Assumptions!$C$3:$C$7, MATCH(C216, {"Virginia","Florida","Texas","New York","California"}, 0)),
    0,
    IF(
        B216 = INDEX(Assumptions!$C$3:$C$7, MATCH(C216, {"Virginia","Florida","Texas","New York","California"}, 0)),
        IF(C216 = "Virginia", Assumptions!$C$13, Assumptions!$C$14),
        ROUND(
            (INDEX(Assumptions!$C$15:$C$19, MATCH(C216, {"Virginia","Florida","Texas","New York","California"}, 0)) * Assumptions!$C$9 -
            SUMIF(C$2:C215, C216, D$2:D216)) /
            (1 + EXP(-0.2 * (B216 - INDEX(Assumptions!$C$3:$C$7, MATCH(C216, {"Virginia","Florida","Texas","New York","California"}, 0)) - 30))),
            0
        )
    )
)</f>
        <v>10</v>
      </c>
      <c r="E216" s="62">
        <f>IF(B216&lt;INDEX(Assumptions!$C$3:$C$7, MATCH(C216, {"Virginia","Florida","Texas","New York","California"}, 0)),
    0,
    IF(F216=0,
        0,
        F216 * Assumptions!$C$12
    )
)</f>
        <v>29.979166666666668</v>
      </c>
      <c r="F216" s="62" cm="1">
        <f t="array" ref="F216">IF(B216&lt;INDEX(Assumptions!$C$3:$C$7, MATCH(C216, {"Virginia","Florida","Texas","New York","California"}, 0)),
    0,
    IF(C216=C215,
        F215 + D216,
        IF(COUNTIF($C$2:C216, C216) = 1, D216, LOOKUP(2, 1/(C$1:C215=C216), F$1:F215) + D216)
    )
)</f>
        <v>7195</v>
      </c>
      <c r="G216" s="62" cm="1">
        <f t="array" ref="G216">IF(B216&lt;INDEX(Assumptions!$C$3:$C$7, MATCH(C216, {"Virginia","Florida","Texas","New York","California"}, 0)),
    0,
    IF(C216=C215,
        G215 + D216 - E216,
        IF(COUNTIF($C$2:C216, C216) = 1, D216, LOOKUP(2, 1/(C$1:C215=C216), G$1:G215) + D216 - E216)
    )
)</f>
        <v>6756.6208333333343</v>
      </c>
      <c r="H216" s="63">
        <f>IF(B216&lt;INDEX(Assumptions!$C$3:$C$7, MATCH(C216, {"Virginia","Florida","Texas","New York","California"}, 0)),
    0,
    (G216 / INDEX(Assumptions!$C$15:$C$19, MATCH(C216, {"Virginia","Florida","Texas","New York","California"}, 0)))
)</f>
        <v>7.5073564814814822E-2</v>
      </c>
      <c r="I216" s="43">
        <f>G216*'Unit Economics'!$B$19* INDEX(Assumptions!$C$38:$C$42, MATCH(C216, {"Virginia","Florida","Texas","New York","California"}, 0))</f>
        <v>1789545.0806750003</v>
      </c>
      <c r="J216" s="43">
        <f>D216*Assumptions!$C$21*INDEX(Assumptions!$C$38:$C$42,MATCH(C216,{"Virginia","Florida","Texas","New York","California"},0))</f>
        <v>2815.4500000000003</v>
      </c>
      <c r="K216" s="43">
        <f>G216/Assumptions!$C$22*('Unit Economics'!$F$24+'Unit Economics'!$F$25+'Unit Economics'!$F$26)</f>
        <v>322181.51547181385</v>
      </c>
      <c r="L216" s="43">
        <f>D216*Assumptions!$C$29</f>
        <v>1850</v>
      </c>
      <c r="M216" s="35">
        <f>G216*Assumptions!$C$27</f>
        <v>0</v>
      </c>
      <c r="N216" s="35">
        <f>G216*Assumptions!$C$28</f>
        <v>0</v>
      </c>
      <c r="O216" s="64">
        <f>IF( COUNTIF($B$2:B216, B216) = 1, MIN( Assumptions!$C$34 + INT(SUMIF($B$2:$B216, B216, G$2:G216) / 1000) * Assumptions!$C$37, Assumptions!$C$36 ), 0 )</f>
        <v>0</v>
      </c>
      <c r="P216" s="53">
        <f t="shared" si="10"/>
        <v>2112692.0461468142</v>
      </c>
      <c r="Q216" s="52">
        <f t="shared" si="11"/>
        <v>177431396.22043753</v>
      </c>
    </row>
    <row r="217" spans="1:17">
      <c r="A217" s="2">
        <f t="shared" si="9"/>
        <v>5</v>
      </c>
      <c r="B217" s="2">
        <v>58</v>
      </c>
      <c r="C217" s="2" t="s">
        <v>90</v>
      </c>
      <c r="D217" s="62">
        <f>IF(
    B217 &lt; INDEX(Assumptions!$C$3:$C$7, MATCH(C217, {"Virginia","Florida","Texas","New York","California"}, 0)),
    0,
    IF(
        B217 = INDEX(Assumptions!$C$3:$C$7, MATCH(C217, {"Virginia","Florida","Texas","New York","California"}, 0)),
        IF(C217 = "Virginia", Assumptions!$C$13, Assumptions!$C$14),
        ROUND(
            (INDEX(Assumptions!$C$15:$C$19, MATCH(C217, {"Virginia","Florida","Texas","New York","California"}, 0)) * Assumptions!$C$9 -
            SUMIF(C$2:C216, C217, D$2:D217)) /
            (1 + EXP(-0.2 * (B217 - INDEX(Assumptions!$C$3:$C$7, MATCH(C217, {"Virginia","Florida","Texas","New York","California"}, 0)) - 30))),
            0
        )
    )
)</f>
        <v>0</v>
      </c>
      <c r="E217" s="62">
        <f>IF(B217&lt;INDEX(Assumptions!$C$3:$C$7, MATCH(C217, {"Virginia","Florida","Texas","New York","California"}, 0)),
    0,
    IF(F217=0,
        0,
        F217 * Assumptions!$C$12
    )
)</f>
        <v>23.333333333333332</v>
      </c>
      <c r="F217" s="62" cm="1">
        <f t="array" ref="F217">IF(B217&lt;INDEX(Assumptions!$C$3:$C$7, MATCH(C217, {"Virginia","Florida","Texas","New York","California"}, 0)),
    0,
    IF(C217=C216,
        F216 + D217,
        IF(COUNTIF($C$2:C217, C217) = 1, D217, LOOKUP(2, 1/(C$1:C216=C217), F$1:F216) + D217)
    )
)</f>
        <v>5600</v>
      </c>
      <c r="G217" s="62" cm="1">
        <f t="array" ref="G217">IF(B217&lt;INDEX(Assumptions!$C$3:$C$7, MATCH(C217, {"Virginia","Florida","Texas","New York","California"}, 0)),
    0,
    IF(C217=C216,
        G216 + D217 - E217,
        IF(COUNTIF($C$2:C217, C217) = 1, D217, LOOKUP(2, 1/(C$1:C216=C217), G$1:G216) + D217 - E217)
    )
)</f>
        <v>4977.2916666666706</v>
      </c>
      <c r="H217" s="63">
        <f>IF(B217&lt;INDEX(Assumptions!$C$3:$C$7, MATCH(C217, {"Virginia","Florida","Texas","New York","California"}, 0)),
    0,
    (G217 / INDEX(Assumptions!$C$15:$C$19, MATCH(C217, {"Virginia","Florida","Texas","New York","California"}, 0)))
)</f>
        <v>7.1104166666666718E-2</v>
      </c>
      <c r="I217" s="43">
        <f>G217*'Unit Economics'!$B$19* INDEX(Assumptions!$C$38:$C$42, MATCH(C217, {"Virginia","Florida","Texas","New York","California"}, 0))</f>
        <v>1258353.9018750011</v>
      </c>
      <c r="J217" s="43">
        <f>D217*Assumptions!$C$21*INDEX(Assumptions!$C$38:$C$42,MATCH(C217,{"Virginia","Florida","Texas","New York","California"},0))</f>
        <v>0</v>
      </c>
      <c r="K217" s="43">
        <f>G217/Assumptions!$C$22*('Unit Economics'!$F$24+'Unit Economics'!$F$25+'Unit Economics'!$F$26)</f>
        <v>237336.29748774529</v>
      </c>
      <c r="L217" s="43">
        <f>D217*Assumptions!$C$29</f>
        <v>0</v>
      </c>
      <c r="M217" s="35">
        <f>G217*Assumptions!$C$27</f>
        <v>0</v>
      </c>
      <c r="N217" s="35">
        <f>G217*Assumptions!$C$28</f>
        <v>0</v>
      </c>
      <c r="O217" s="64">
        <f>IF( COUNTIF($B$2:B217, B217) = 1, MIN( Assumptions!$C$34 + INT(SUMIF($B$2:$B217, B217, G$2:G217) / 1000) * Assumptions!$C$37, Assumptions!$C$36 ), 0 )</f>
        <v>0</v>
      </c>
      <c r="P217" s="53">
        <f t="shared" si="10"/>
        <v>1495690.1993627464</v>
      </c>
      <c r="Q217" s="52">
        <f t="shared" si="11"/>
        <v>178927086.41980028</v>
      </c>
    </row>
    <row r="218" spans="1:17">
      <c r="A218" s="2">
        <f t="shared" si="9"/>
        <v>5</v>
      </c>
      <c r="B218" s="2">
        <v>58</v>
      </c>
      <c r="C218" s="2" t="s">
        <v>91</v>
      </c>
      <c r="D218" s="62">
        <f>IF(
    B218 &lt; INDEX(Assumptions!$C$3:$C$7, MATCH(C218, {"Virginia","Florida","Texas","New York","California"}, 0)),
    0,
    IF(
        B218 = INDEX(Assumptions!$C$3:$C$7, MATCH(C218, {"Virginia","Florida","Texas","New York","California"}, 0)),
        IF(C218 = "Virginia", Assumptions!$C$13, Assumptions!$C$14),
        ROUND(
            (INDEX(Assumptions!$C$15:$C$19, MATCH(C218, {"Virginia","Florida","Texas","New York","California"}, 0)) * Assumptions!$C$9 -
            SUMIF(C$2:C217, C218, D$2:D218)) /
            (1 + EXP(-0.2 * (B218 - INDEX(Assumptions!$C$3:$C$7, MATCH(C218, {"Virginia","Florida","Texas","New York","California"}, 0)) - 30))),
            0
        )
    )
)</f>
        <v>0</v>
      </c>
      <c r="E218" s="62">
        <f>IF(B218&lt;INDEX(Assumptions!$C$3:$C$7, MATCH(C218, {"Virginia","Florida","Texas","New York","California"}, 0)),
    0,
    IF(F218=0,
        0,
        F218 * Assumptions!$C$12
    )
)</f>
        <v>26.666666666666668</v>
      </c>
      <c r="F218" s="62" cm="1">
        <f t="array" ref="F218">IF(B218&lt;INDEX(Assumptions!$C$3:$C$7, MATCH(C218, {"Virginia","Florida","Texas","New York","California"}, 0)),
    0,
    IF(C218=C217,
        F217 + D218,
        IF(COUNTIF($C$2:C218, C218) = 1, D218, LOOKUP(2, 1/(C$1:C217=C218), F$1:F217) + D218)
    )
)</f>
        <v>6400</v>
      </c>
      <c r="G218" s="62" cm="1">
        <f t="array" ref="G218">IF(B218&lt;INDEX(Assumptions!$C$3:$C$7, MATCH(C218, {"Virginia","Florida","Texas","New York","California"}, 0)),
    0,
    IF(C218=C217,
        G217 + D218 - E218,
        IF(COUNTIF($C$2:C218, C218) = 1, D218, LOOKUP(2, 1/(C$1:C217=C218), G$1:G217) + D218 - E218)
    )
)</f>
        <v>5689.524999999996</v>
      </c>
      <c r="H218" s="63">
        <f>IF(B218&lt;INDEX(Assumptions!$C$3:$C$7, MATCH(C218, {"Virginia","Florida","Texas","New York","California"}, 0)),
    0,
    (G218 / INDEX(Assumptions!$C$15:$C$19, MATCH(C218, {"Virginia","Florida","Texas","New York","California"}, 0)))
)</f>
        <v>7.1119062499999955E-2</v>
      </c>
      <c r="I218" s="43">
        <f>G218*'Unit Economics'!$B$19* INDEX(Assumptions!$C$38:$C$42, MATCH(C218, {"Virginia","Florida","Texas","New York","California"}, 0))</f>
        <v>1411021.544384999</v>
      </c>
      <c r="J218" s="43">
        <f>D218*Assumptions!$C$21*INDEX(Assumptions!$C$38:$C$42,MATCH(C218,{"Virginia","Florida","Texas","New York","California"},0))</f>
        <v>0</v>
      </c>
      <c r="K218" s="43">
        <f>G218/Assumptions!$C$22*('Unit Economics'!$F$24+'Unit Economics'!$F$25+'Unit Economics'!$F$26)</f>
        <v>271298.30606617633</v>
      </c>
      <c r="L218" s="43">
        <f>D218*Assumptions!$C$29</f>
        <v>0</v>
      </c>
      <c r="M218" s="35">
        <f>G218*Assumptions!$C$27</f>
        <v>0</v>
      </c>
      <c r="N218" s="35">
        <f>G218*Assumptions!$C$28</f>
        <v>0</v>
      </c>
      <c r="O218" s="64">
        <f>IF( COUNTIF($B$2:B218, B218) = 1, MIN( Assumptions!$C$34 + INT(SUMIF($B$2:$B218, B218, G$2:G218) / 1000) * Assumptions!$C$37, Assumptions!$C$36 ), 0 )</f>
        <v>0</v>
      </c>
      <c r="P218" s="53">
        <f t="shared" si="10"/>
        <v>1682319.8504511754</v>
      </c>
      <c r="Q218" s="52">
        <f t="shared" si="11"/>
        <v>180609406.27025145</v>
      </c>
    </row>
    <row r="219" spans="1:17">
      <c r="A219" s="2">
        <f t="shared" si="9"/>
        <v>5</v>
      </c>
      <c r="B219" s="2">
        <v>58</v>
      </c>
      <c r="C219" s="2" t="s">
        <v>89</v>
      </c>
      <c r="D219" s="62">
        <f>IF(
    B219 &lt; INDEX(Assumptions!$C$3:$C$7, MATCH(C219, {"Virginia","Florida","Texas","New York","California"}, 0)),
    0,
    IF(
        B219 = INDEX(Assumptions!$C$3:$C$7, MATCH(C219, {"Virginia","Florida","Texas","New York","California"}, 0)),
        IF(C219 = "Virginia", Assumptions!$C$13, Assumptions!$C$14),
        ROUND(
            (INDEX(Assumptions!$C$15:$C$19, MATCH(C219, {"Virginia","Florida","Texas","New York","California"}, 0)) * Assumptions!$C$9 -
            SUMIF(C$2:C218, C219, D$2:D219)) /
            (1 + EXP(-0.2 * (B219 - INDEX(Assumptions!$C$3:$C$7, MATCH(C219, {"Virginia","Florida","Texas","New York","California"}, 0)) - 30))),
            0
        )
    )
)</f>
        <v>0</v>
      </c>
      <c r="E219" s="62">
        <f>IF(B219&lt;INDEX(Assumptions!$C$3:$C$7, MATCH(C219, {"Virginia","Florida","Texas","New York","California"}, 0)),
    0,
    IF(F219=0,
        0,
        F219 * Assumptions!$C$12
    )
)</f>
        <v>16.666666666666668</v>
      </c>
      <c r="F219" s="62" cm="1">
        <f t="array" ref="F219">IF(B219&lt;INDEX(Assumptions!$C$3:$C$7, MATCH(C219, {"Virginia","Florida","Texas","New York","California"}, 0)),
    0,
    IF(C219=C218,
        F218 + D219,
        IF(COUNTIF($C$2:C219, C219) = 1, D219, LOOKUP(2, 1/(C$1:C218=C219), F$1:F218) + D219)
    )
)</f>
        <v>4000</v>
      </c>
      <c r="G219" s="62" cm="1">
        <f t="array" ref="G219">IF(B219&lt;INDEX(Assumptions!$C$3:$C$7, MATCH(C219, {"Virginia","Florida","Texas","New York","California"}, 0)),
    0,
    IF(C219=C218,
        G218 + D219 - E219,
        IF(COUNTIF($C$2:C219, C219) = 1, D219, LOOKUP(2, 1/(C$1:C218=C219), G$1:G218) + D219 - E219)
    )
)</f>
        <v>3356.9541666666701</v>
      </c>
      <c r="H219" s="63">
        <f>IF(B219&lt;INDEX(Assumptions!$C$3:$C$7, MATCH(C219, {"Virginia","Florida","Texas","New York","California"}, 0)),
    0,
    (G219 / INDEX(Assumptions!$C$15:$C$19, MATCH(C219, {"Virginia","Florida","Texas","New York","California"}, 0)))
)</f>
        <v>6.7139083333333405E-2</v>
      </c>
      <c r="I219" s="43">
        <f>G219*'Unit Economics'!$B$19* INDEX(Assumptions!$C$38:$C$42, MATCH(C219, {"Virginia","Florida","Texas","New York","California"}, 0))</f>
        <v>808287.42425000085</v>
      </c>
      <c r="J219" s="43">
        <f>D219*Assumptions!$C$21*INDEX(Assumptions!$C$38:$C$42,MATCH(C219,{"Virginia","Florida","Texas","New York","California"},0))</f>
        <v>0</v>
      </c>
      <c r="K219" s="43">
        <f>G219/Assumptions!$C$22*('Unit Economics'!$F$24+'Unit Economics'!$F$25+'Unit Economics'!$F$26)</f>
        <v>160072.41007965704</v>
      </c>
      <c r="L219" s="43">
        <f>D219*Assumptions!$C$29</f>
        <v>0</v>
      </c>
      <c r="M219" s="35">
        <f>G219*Assumptions!$C$27</f>
        <v>0</v>
      </c>
      <c r="N219" s="35">
        <f>G219*Assumptions!$C$28</f>
        <v>0</v>
      </c>
      <c r="O219" s="64">
        <f>IF( COUNTIF($B$2:B219, B219) = 1, MIN( Assumptions!$C$34 + INT(SUMIF($B$2:$B219, B219, G$2:G219) / 1000) * Assumptions!$C$37, Assumptions!$C$36 ), 0 )</f>
        <v>0</v>
      </c>
      <c r="P219" s="53">
        <f t="shared" si="10"/>
        <v>968359.83432965796</v>
      </c>
      <c r="Q219" s="52">
        <f t="shared" si="11"/>
        <v>181577766.10458112</v>
      </c>
    </row>
    <row r="220" spans="1:17">
      <c r="A220" s="2">
        <f t="shared" si="9"/>
        <v>5</v>
      </c>
      <c r="B220" s="2">
        <v>59</v>
      </c>
      <c r="C220" s="2" t="s">
        <v>92</v>
      </c>
      <c r="D220" s="62">
        <f>IF(
    B220 &lt; INDEX(Assumptions!$C$3:$C$7, MATCH(C220, {"Virginia","Florida","Texas","New York","California"}, 0)),
    0,
    IF(
        B220 = INDEX(Assumptions!$C$3:$C$7, MATCH(C220, {"Virginia","Florida","Texas","New York","California"}, 0)),
        IF(C220 = "Virginia", Assumptions!$C$13, Assumptions!$C$14),
        ROUND(
            (INDEX(Assumptions!$C$15:$C$19, MATCH(C220, {"Virginia","Florida","Texas","New York","California"}, 0)) * Assumptions!$C$9 -
            SUMIF(C$2:C219, C220, D$2:D220)) /
            (1 + EXP(-0.2 * (B220 - INDEX(Assumptions!$C$3:$C$7, MATCH(C220, {"Virginia","Florida","Texas","New York","California"}, 0)) - 30))),
            0
        )
    )
)</f>
        <v>3</v>
      </c>
      <c r="E220" s="62">
        <f>IF(B220&lt;INDEX(Assumptions!$C$3:$C$7, MATCH(C220, {"Virginia","Florida","Texas","New York","California"}, 0)),
    0,
    IF(F220=0,
        0,
        F220 * Assumptions!$C$12
    )
)</f>
        <v>19.995833333333334</v>
      </c>
      <c r="F220" s="62" cm="1">
        <f t="array" ref="F220">IF(B220&lt;INDEX(Assumptions!$C$3:$C$7, MATCH(C220, {"Virginia","Florida","Texas","New York","California"}, 0)),
    0,
    IF(C220=C219,
        F219 + D220,
        IF(COUNTIF($C$2:C220, C220) = 1, D220, LOOKUP(2, 1/(C$1:C219=C220), F$1:F219) + D220)
    )
)</f>
        <v>4799</v>
      </c>
      <c r="G220" s="62" cm="1">
        <f t="array" ref="G220">IF(B220&lt;INDEX(Assumptions!$C$3:$C$7, MATCH(C220, {"Virginia","Florida","Texas","New York","California"}, 0)),
    0,
    IF(C220=C219,
        G219 + D220 - E220,
        IF(COUNTIF($C$2:C220, C220) = 1, D220, LOOKUP(2, 1/(C$1:C219=C220), G$1:G219) + D220 - E220)
    )
)</f>
        <v>4484.1833333333325</v>
      </c>
      <c r="H220" s="63">
        <f>IF(B220&lt;INDEX(Assumptions!$C$3:$C$7, MATCH(C220, {"Virginia","Florida","Texas","New York","California"}, 0)),
    0,
    (G220 / INDEX(Assumptions!$C$15:$C$19, MATCH(C220, {"Virginia","Florida","Texas","New York","California"}, 0)))
)</f>
        <v>7.473638888888888E-2</v>
      </c>
      <c r="I220" s="43">
        <f>G220*'Unit Economics'!$B$19* INDEX(Assumptions!$C$38:$C$42, MATCH(C220, {"Virginia","Florida","Texas","New York","California"}, 0))</f>
        <v>1166077.7960399997</v>
      </c>
      <c r="J220" s="43">
        <f>D220*Assumptions!$C$21*INDEX(Assumptions!$C$38:$C$42,MATCH(C220,{"Virginia","Florida","Texas","New York","California"},0))</f>
        <v>829.27799999999991</v>
      </c>
      <c r="K220" s="43">
        <f>G220/Assumptions!$C$22*('Unit Economics'!$F$24+'Unit Economics'!$F$25+'Unit Economics'!$F$26)</f>
        <v>213823.00674019606</v>
      </c>
      <c r="L220" s="43">
        <f>D220*Assumptions!$C$29</f>
        <v>555</v>
      </c>
      <c r="M220" s="35">
        <f>G220*Assumptions!$C$27</f>
        <v>0</v>
      </c>
      <c r="N220" s="35">
        <f>G220*Assumptions!$C$28</f>
        <v>0</v>
      </c>
      <c r="O220" s="64">
        <f>IF( COUNTIF($B$2:B220, B220) = 1, MIN( Assumptions!$C$34 + INT(SUMIF($B$2:$B220, B220, G$2:G220) / 1000) * Assumptions!$C$37, Assumptions!$C$36 ), 0 )</f>
        <v>100000</v>
      </c>
      <c r="P220" s="53">
        <f t="shared" si="10"/>
        <v>1280175.0807801958</v>
      </c>
      <c r="Q220" s="52">
        <f t="shared" si="11"/>
        <v>182857941.18536133</v>
      </c>
    </row>
    <row r="221" spans="1:17">
      <c r="A221" s="2">
        <f t="shared" si="9"/>
        <v>5</v>
      </c>
      <c r="B221" s="2">
        <v>59</v>
      </c>
      <c r="C221" s="2" t="s">
        <v>93</v>
      </c>
      <c r="D221" s="62">
        <f>IF(
    B221 &lt; INDEX(Assumptions!$C$3:$C$7, MATCH(C221, {"Virginia","Florida","Texas","New York","California"}, 0)),
    0,
    IF(
        B221 = INDEX(Assumptions!$C$3:$C$7, MATCH(C221, {"Virginia","Florida","Texas","New York","California"}, 0)),
        IF(C221 = "Virginia", Assumptions!$C$13, Assumptions!$C$14),
        ROUND(
            (INDEX(Assumptions!$C$15:$C$19, MATCH(C221, {"Virginia","Florida","Texas","New York","California"}, 0)) * Assumptions!$C$9 -
            SUMIF(C$2:C220, C221, D$2:D221)) /
            (1 + EXP(-0.2 * (B221 - INDEX(Assumptions!$C$3:$C$7, MATCH(C221, {"Virginia","Florida","Texas","New York","California"}, 0)) - 30))),
            0
        )
    )
)</f>
        <v>3</v>
      </c>
      <c r="E221" s="62">
        <f>IF(B221&lt;INDEX(Assumptions!$C$3:$C$7, MATCH(C221, {"Virginia","Florida","Texas","New York","California"}, 0)),
    0,
    IF(F221=0,
        0,
        F221 * Assumptions!$C$12
    )
)</f>
        <v>29.991666666666667</v>
      </c>
      <c r="F221" s="62" cm="1">
        <f t="array" ref="F221">IF(B221&lt;INDEX(Assumptions!$C$3:$C$7, MATCH(C221, {"Virginia","Florida","Texas","New York","California"}, 0)),
    0,
    IF(C221=C220,
        F220 + D221,
        IF(COUNTIF($C$2:C221, C221) = 1, D221, LOOKUP(2, 1/(C$1:C220=C221), F$1:F220) + D221)
    )
)</f>
        <v>7198</v>
      </c>
      <c r="G221" s="62" cm="1">
        <f t="array" ref="G221">IF(B221&lt;INDEX(Assumptions!$C$3:$C$7, MATCH(C221, {"Virginia","Florida","Texas","New York","California"}, 0)),
    0,
    IF(C221=C220,
        G220 + D221 - E221,
        IF(COUNTIF($C$2:C221, C221) = 1, D221, LOOKUP(2, 1/(C$1:C220=C221), G$1:G220) + D221 - E221)
    )
)</f>
        <v>6729.6291666666675</v>
      </c>
      <c r="H221" s="63">
        <f>IF(B221&lt;INDEX(Assumptions!$C$3:$C$7, MATCH(C221, {"Virginia","Florida","Texas","New York","California"}, 0)),
    0,
    (G221 / INDEX(Assumptions!$C$15:$C$19, MATCH(C221, {"Virginia","Florida","Texas","New York","California"}, 0)))
)</f>
        <v>7.4773657407407421E-2</v>
      </c>
      <c r="I221" s="43">
        <f>G221*'Unit Economics'!$B$19* INDEX(Assumptions!$C$38:$C$42, MATCH(C221, {"Virginia","Florida","Texas","New York","California"}, 0))</f>
        <v>1782396.1218250005</v>
      </c>
      <c r="J221" s="43">
        <f>D221*Assumptions!$C$21*INDEX(Assumptions!$C$38:$C$42,MATCH(C221,{"Virginia","Florida","Texas","New York","California"},0))</f>
        <v>844.63499999999999</v>
      </c>
      <c r="K221" s="43">
        <f>G221/Assumptions!$C$22*('Unit Economics'!$F$24+'Unit Economics'!$F$25+'Unit Economics'!$F$26)</f>
        <v>320894.44960171578</v>
      </c>
      <c r="L221" s="43">
        <f>D221*Assumptions!$C$29</f>
        <v>555</v>
      </c>
      <c r="M221" s="35">
        <f>G221*Assumptions!$C$27</f>
        <v>0</v>
      </c>
      <c r="N221" s="35">
        <f>G221*Assumptions!$C$28</f>
        <v>0</v>
      </c>
      <c r="O221" s="64">
        <f>IF( COUNTIF($B$2:B221, B221) = 1, MIN( Assumptions!$C$34 + INT(SUMIF($B$2:$B221, B221, G$2:G221) / 1000) * Assumptions!$C$37, Assumptions!$C$36 ), 0 )</f>
        <v>0</v>
      </c>
      <c r="P221" s="53">
        <f t="shared" si="10"/>
        <v>2103580.2064267164</v>
      </c>
      <c r="Q221" s="52">
        <f t="shared" si="11"/>
        <v>184961521.39178804</v>
      </c>
    </row>
    <row r="222" spans="1:17">
      <c r="A222" s="2">
        <f t="shared" si="9"/>
        <v>5</v>
      </c>
      <c r="B222" s="2">
        <v>59</v>
      </c>
      <c r="C222" s="2" t="s">
        <v>90</v>
      </c>
      <c r="D222" s="62">
        <f>IF(
    B222 &lt; INDEX(Assumptions!$C$3:$C$7, MATCH(C222, {"Virginia","Florida","Texas","New York","California"}, 0)),
    0,
    IF(
        B222 = INDEX(Assumptions!$C$3:$C$7, MATCH(C222, {"Virginia","Florida","Texas","New York","California"}, 0)),
        IF(C222 = "Virginia", Assumptions!$C$13, Assumptions!$C$14),
        ROUND(
            (INDEX(Assumptions!$C$15:$C$19, MATCH(C222, {"Virginia","Florida","Texas","New York","California"}, 0)) * Assumptions!$C$9 -
            SUMIF(C$2:C221, C222, D$2:D222)) /
            (1 + EXP(-0.2 * (B222 - INDEX(Assumptions!$C$3:$C$7, MATCH(C222, {"Virginia","Florida","Texas","New York","California"}, 0)) - 30))),
            0
        )
    )
)</f>
        <v>0</v>
      </c>
      <c r="E222" s="62">
        <f>IF(B222&lt;INDEX(Assumptions!$C$3:$C$7, MATCH(C222, {"Virginia","Florida","Texas","New York","California"}, 0)),
    0,
    IF(F222=0,
        0,
        F222 * Assumptions!$C$12
    )
)</f>
        <v>23.333333333333332</v>
      </c>
      <c r="F222" s="62" cm="1">
        <f t="array" ref="F222">IF(B222&lt;INDEX(Assumptions!$C$3:$C$7, MATCH(C222, {"Virginia","Florida","Texas","New York","California"}, 0)),
    0,
    IF(C222=C221,
        F221 + D222,
        IF(COUNTIF($C$2:C222, C222) = 1, D222, LOOKUP(2, 1/(C$1:C221=C222), F$1:F221) + D222)
    )
)</f>
        <v>5600</v>
      </c>
      <c r="G222" s="62" cm="1">
        <f t="array" ref="G222">IF(B222&lt;INDEX(Assumptions!$C$3:$C$7, MATCH(C222, {"Virginia","Florida","Texas","New York","California"}, 0)),
    0,
    IF(C222=C221,
        G221 + D222 - E222,
        IF(COUNTIF($C$2:C222, C222) = 1, D222, LOOKUP(2, 1/(C$1:C221=C222), G$1:G221) + D222 - E222)
    )
)</f>
        <v>4953.9583333333376</v>
      </c>
      <c r="H222" s="63">
        <f>IF(B222&lt;INDEX(Assumptions!$C$3:$C$7, MATCH(C222, {"Virginia","Florida","Texas","New York","California"}, 0)),
    0,
    (G222 / INDEX(Assumptions!$C$15:$C$19, MATCH(C222, {"Virginia","Florida","Texas","New York","California"}, 0)))
)</f>
        <v>7.0770833333333394E-2</v>
      </c>
      <c r="I222" s="43">
        <f>G222*'Unit Economics'!$B$19* INDEX(Assumptions!$C$38:$C$42, MATCH(C222, {"Virginia","Florida","Texas","New York","California"}, 0))</f>
        <v>1252454.7918750013</v>
      </c>
      <c r="J222" s="43">
        <f>D222*Assumptions!$C$21*INDEX(Assumptions!$C$38:$C$42,MATCH(C222,{"Virginia","Florida","Texas","New York","California"},0))</f>
        <v>0</v>
      </c>
      <c r="K222" s="43">
        <f>G222/Assumptions!$C$22*('Unit Economics'!$F$24+'Unit Economics'!$F$25+'Unit Economics'!$F$26)</f>
        <v>236223.67493872572</v>
      </c>
      <c r="L222" s="43">
        <f>D222*Assumptions!$C$29</f>
        <v>0</v>
      </c>
      <c r="M222" s="35">
        <f>G222*Assumptions!$C$27</f>
        <v>0</v>
      </c>
      <c r="N222" s="35">
        <f>G222*Assumptions!$C$28</f>
        <v>0</v>
      </c>
      <c r="O222" s="64">
        <f>IF( COUNTIF($B$2:B222, B222) = 1, MIN( Assumptions!$C$34 + INT(SUMIF($B$2:$B222, B222, G$2:G222) / 1000) * Assumptions!$C$37, Assumptions!$C$36 ), 0 )</f>
        <v>0</v>
      </c>
      <c r="P222" s="53">
        <f t="shared" si="10"/>
        <v>1488678.466813727</v>
      </c>
      <c r="Q222" s="52">
        <f t="shared" si="11"/>
        <v>186450199.85860175</v>
      </c>
    </row>
    <row r="223" spans="1:17">
      <c r="A223" s="2">
        <f t="shared" si="9"/>
        <v>5</v>
      </c>
      <c r="B223" s="2">
        <v>59</v>
      </c>
      <c r="C223" s="2" t="s">
        <v>91</v>
      </c>
      <c r="D223" s="62">
        <f>IF(
    B223 &lt; INDEX(Assumptions!$C$3:$C$7, MATCH(C223, {"Virginia","Florida","Texas","New York","California"}, 0)),
    0,
    IF(
        B223 = INDEX(Assumptions!$C$3:$C$7, MATCH(C223, {"Virginia","Florida","Texas","New York","California"}, 0)),
        IF(C223 = "Virginia", Assumptions!$C$13, Assumptions!$C$14),
        ROUND(
            (INDEX(Assumptions!$C$15:$C$19, MATCH(C223, {"Virginia","Florida","Texas","New York","California"}, 0)) * Assumptions!$C$9 -
            SUMIF(C$2:C222, C223, D$2:D223)) /
            (1 + EXP(-0.2 * (B223 - INDEX(Assumptions!$C$3:$C$7, MATCH(C223, {"Virginia","Florida","Texas","New York","California"}, 0)) - 30))),
            0
        )
    )
)</f>
        <v>0</v>
      </c>
      <c r="E223" s="62">
        <f>IF(B223&lt;INDEX(Assumptions!$C$3:$C$7, MATCH(C223, {"Virginia","Florida","Texas","New York","California"}, 0)),
    0,
    IF(F223=0,
        0,
        F223 * Assumptions!$C$12
    )
)</f>
        <v>26.666666666666668</v>
      </c>
      <c r="F223" s="62" cm="1">
        <f t="array" ref="F223">IF(B223&lt;INDEX(Assumptions!$C$3:$C$7, MATCH(C223, {"Virginia","Florida","Texas","New York","California"}, 0)),
    0,
    IF(C223=C222,
        F222 + D223,
        IF(COUNTIF($C$2:C223, C223) = 1, D223, LOOKUP(2, 1/(C$1:C222=C223), F$1:F222) + D223)
    )
)</f>
        <v>6400</v>
      </c>
      <c r="G223" s="62" cm="1">
        <f t="array" ref="G223">IF(B223&lt;INDEX(Assumptions!$C$3:$C$7, MATCH(C223, {"Virginia","Florida","Texas","New York","California"}, 0)),
    0,
    IF(C223=C222,
        G222 + D223 - E223,
        IF(COUNTIF($C$2:C223, C223) = 1, D223, LOOKUP(2, 1/(C$1:C222=C223), G$1:G222) + D223 - E223)
    )
)</f>
        <v>5662.858333333329</v>
      </c>
      <c r="H223" s="63">
        <f>IF(B223&lt;INDEX(Assumptions!$C$3:$C$7, MATCH(C223, {"Virginia","Florida","Texas","New York","California"}, 0)),
    0,
    (G223 / INDEX(Assumptions!$C$15:$C$19, MATCH(C223, {"Virginia","Florida","Texas","New York","California"}, 0)))
)</f>
        <v>7.0785729166666617E-2</v>
      </c>
      <c r="I223" s="43">
        <f>G223*'Unit Economics'!$B$19* INDEX(Assumptions!$C$38:$C$42, MATCH(C223, {"Virginia","Florida","Texas","New York","California"}, 0))</f>
        <v>1404408.1203849991</v>
      </c>
      <c r="J223" s="43">
        <f>D223*Assumptions!$C$21*INDEX(Assumptions!$C$38:$C$42,MATCH(C223,{"Virginia","Florida","Texas","New York","California"},0))</f>
        <v>0</v>
      </c>
      <c r="K223" s="43">
        <f>G223/Assumptions!$C$22*('Unit Economics'!$F$24+'Unit Economics'!$F$25+'Unit Economics'!$F$26)</f>
        <v>270026.73743872531</v>
      </c>
      <c r="L223" s="43">
        <f>D223*Assumptions!$C$29</f>
        <v>0</v>
      </c>
      <c r="M223" s="35">
        <f>G223*Assumptions!$C$27</f>
        <v>0</v>
      </c>
      <c r="N223" s="35">
        <f>G223*Assumptions!$C$28</f>
        <v>0</v>
      </c>
      <c r="O223" s="64">
        <f>IF( COUNTIF($B$2:B223, B223) = 1, MIN( Assumptions!$C$34 + INT(SUMIF($B$2:$B223, B223, G$2:G223) / 1000) * Assumptions!$C$37, Assumptions!$C$36 ), 0 )</f>
        <v>0</v>
      </c>
      <c r="P223" s="53">
        <f t="shared" si="10"/>
        <v>1674434.8578237244</v>
      </c>
      <c r="Q223" s="52">
        <f t="shared" si="11"/>
        <v>188124634.71642548</v>
      </c>
    </row>
    <row r="224" spans="1:17">
      <c r="A224" s="2">
        <f t="shared" si="9"/>
        <v>5</v>
      </c>
      <c r="B224" s="2">
        <v>59</v>
      </c>
      <c r="C224" s="2" t="s">
        <v>89</v>
      </c>
      <c r="D224" s="62">
        <f>IF(
    B224 &lt; INDEX(Assumptions!$C$3:$C$7, MATCH(C224, {"Virginia","Florida","Texas","New York","California"}, 0)),
    0,
    IF(
        B224 = INDEX(Assumptions!$C$3:$C$7, MATCH(C224, {"Virginia","Florida","Texas","New York","California"}, 0)),
        IF(C224 = "Virginia", Assumptions!$C$13, Assumptions!$C$14),
        ROUND(
            (INDEX(Assumptions!$C$15:$C$19, MATCH(C224, {"Virginia","Florida","Texas","New York","California"}, 0)) * Assumptions!$C$9 -
            SUMIF(C$2:C223, C224, D$2:D224)) /
            (1 + EXP(-0.2 * (B224 - INDEX(Assumptions!$C$3:$C$7, MATCH(C224, {"Virginia","Florida","Texas","New York","California"}, 0)) - 30))),
            0
        )
    )
)</f>
        <v>0</v>
      </c>
      <c r="E224" s="62">
        <f>IF(B224&lt;INDEX(Assumptions!$C$3:$C$7, MATCH(C224, {"Virginia","Florida","Texas","New York","California"}, 0)),
    0,
    IF(F224=0,
        0,
        F224 * Assumptions!$C$12
    )
)</f>
        <v>16.666666666666668</v>
      </c>
      <c r="F224" s="62" cm="1">
        <f t="array" ref="F224">IF(B224&lt;INDEX(Assumptions!$C$3:$C$7, MATCH(C224, {"Virginia","Florida","Texas","New York","California"}, 0)),
    0,
    IF(C224=C223,
        F223 + D224,
        IF(COUNTIF($C$2:C224, C224) = 1, D224, LOOKUP(2, 1/(C$1:C223=C224), F$1:F223) + D224)
    )
)</f>
        <v>4000</v>
      </c>
      <c r="G224" s="62" cm="1">
        <f t="array" ref="G224">IF(B224&lt;INDEX(Assumptions!$C$3:$C$7, MATCH(C224, {"Virginia","Florida","Texas","New York","California"}, 0)),
    0,
    IF(C224=C223,
        G223 + D224 - E224,
        IF(COUNTIF($C$2:C224, C224) = 1, D224, LOOKUP(2, 1/(C$1:C223=C224), G$1:G223) + D224 - E224)
    )
)</f>
        <v>3340.2875000000035</v>
      </c>
      <c r="H224" s="63">
        <f>IF(B224&lt;INDEX(Assumptions!$C$3:$C$7, MATCH(C224, {"Virginia","Florida","Texas","New York","California"}, 0)),
    0,
    (G224 / INDEX(Assumptions!$C$15:$C$19, MATCH(C224, {"Virginia","Florida","Texas","New York","California"}, 0)))
)</f>
        <v>6.6805750000000066E-2</v>
      </c>
      <c r="I224" s="43">
        <f>G224*'Unit Economics'!$B$19* INDEX(Assumptions!$C$38:$C$42, MATCH(C224, {"Virginia","Florida","Texas","New York","California"}, 0))</f>
        <v>804274.42425000085</v>
      </c>
      <c r="J224" s="43">
        <f>D224*Assumptions!$C$21*INDEX(Assumptions!$C$38:$C$42,MATCH(C224,{"Virginia","Florida","Texas","New York","California"},0))</f>
        <v>0</v>
      </c>
      <c r="K224" s="43">
        <f>G224/Assumptions!$C$22*('Unit Economics'!$F$24+'Unit Economics'!$F$25+'Unit Economics'!$F$26)</f>
        <v>159277.67968750017</v>
      </c>
      <c r="L224" s="43">
        <f>D224*Assumptions!$C$29</f>
        <v>0</v>
      </c>
      <c r="M224" s="35">
        <f>G224*Assumptions!$C$27</f>
        <v>0</v>
      </c>
      <c r="N224" s="35">
        <f>G224*Assumptions!$C$28</f>
        <v>0</v>
      </c>
      <c r="O224" s="64">
        <f>IF( COUNTIF($B$2:B224, B224) = 1, MIN( Assumptions!$C$34 + INT(SUMIF($B$2:$B224, B224, G$2:G224) / 1000) * Assumptions!$C$37, Assumptions!$C$36 ), 0 )</f>
        <v>0</v>
      </c>
      <c r="P224" s="53">
        <f t="shared" si="10"/>
        <v>963552.10393750109</v>
      </c>
      <c r="Q224" s="52">
        <f t="shared" si="11"/>
        <v>189088186.82036299</v>
      </c>
    </row>
    <row r="225" spans="1:17">
      <c r="A225" s="2">
        <f t="shared" si="9"/>
        <v>5</v>
      </c>
      <c r="B225" s="2">
        <v>60</v>
      </c>
      <c r="C225" s="2" t="s">
        <v>92</v>
      </c>
      <c r="D225" s="62">
        <f>IF(
    B225 &lt; INDEX(Assumptions!$C$3:$C$7, MATCH(C225, {"Virginia","Florida","Texas","New York","California"}, 0)),
    0,
    IF(
        B225 = INDEX(Assumptions!$C$3:$C$7, MATCH(C225, {"Virginia","Florida","Texas","New York","California"}, 0)),
        IF(C225 = "Virginia", Assumptions!$C$13, Assumptions!$C$14),
        ROUND(
            (INDEX(Assumptions!$C$15:$C$19, MATCH(C225, {"Virginia","Florida","Texas","New York","California"}, 0)) * Assumptions!$C$9 -
            SUMIF(C$2:C224, C225, D$2:D225)) /
            (1 + EXP(-0.2 * (B225 - INDEX(Assumptions!$C$3:$C$7, MATCH(C225, {"Virginia","Florida","Texas","New York","California"}, 0)) - 30))),
            0
        )
    )
)</f>
        <v>1</v>
      </c>
      <c r="E225" s="62">
        <f>IF(B225&lt;INDEX(Assumptions!$C$3:$C$7, MATCH(C225, {"Virginia","Florida","Texas","New York","California"}, 0)),
    0,
    IF(F225=0,
        0,
        F225 * Assumptions!$C$12
    )
)</f>
        <v>20</v>
      </c>
      <c r="F225" s="62" cm="1">
        <f t="array" ref="F225">IF(B225&lt;INDEX(Assumptions!$C$3:$C$7, MATCH(C225, {"Virginia","Florida","Texas","New York","California"}, 0)),
    0,
    IF(C225=C224,
        F224 + D225,
        IF(COUNTIF($C$2:C225, C225) = 1, D225, LOOKUP(2, 1/(C$1:C224=C225), F$1:F224) + D225)
    )
)</f>
        <v>4800</v>
      </c>
      <c r="G225" s="62" cm="1">
        <f t="array" ref="G225">IF(B225&lt;INDEX(Assumptions!$C$3:$C$7, MATCH(C225, {"Virginia","Florida","Texas","New York","California"}, 0)),
    0,
    IF(C225=C224,
        G224 + D225 - E225,
        IF(COUNTIF($C$2:C225, C225) = 1, D225, LOOKUP(2, 1/(C$1:C224=C225), G$1:G224) + D225 - E225)
    )
)</f>
        <v>4465.1833333333325</v>
      </c>
      <c r="H225" s="63">
        <f>IF(B225&lt;INDEX(Assumptions!$C$3:$C$7, MATCH(C225, {"Virginia","Florida","Texas","New York","California"}, 0)),
    0,
    (G225 / INDEX(Assumptions!$C$15:$C$19, MATCH(C225, {"Virginia","Florida","Texas","New York","California"}, 0)))
)</f>
        <v>7.4419722222222207E-2</v>
      </c>
      <c r="I225" s="43">
        <f>G225*'Unit Economics'!$B$19* INDEX(Assumptions!$C$38:$C$42, MATCH(C225, {"Virginia","Florida","Texas","New York","California"}, 0))</f>
        <v>1161136.9904399998</v>
      </c>
      <c r="J225" s="43">
        <f>D225*Assumptions!$C$21*INDEX(Assumptions!$C$38:$C$42,MATCH(C225,{"Virginia","Florida","Texas","New York","California"},0))</f>
        <v>276.42599999999999</v>
      </c>
      <c r="K225" s="43">
        <f>G225/Assumptions!$C$22*('Unit Economics'!$F$24+'Unit Economics'!$F$25+'Unit Economics'!$F$26)</f>
        <v>212917.01409313723</v>
      </c>
      <c r="L225" s="43">
        <f>D225*Assumptions!$C$29</f>
        <v>185</v>
      </c>
      <c r="M225" s="35">
        <f>G225*Assumptions!$C$27</f>
        <v>0</v>
      </c>
      <c r="N225" s="35">
        <f>G225*Assumptions!$C$28</f>
        <v>0</v>
      </c>
      <c r="O225" s="64">
        <f>IF( COUNTIF($B$2:B225, B225) = 1, MIN( Assumptions!$C$34 + INT(SUMIF($B$2:$B225, B225, G$2:G225) / 1000) * Assumptions!$C$37, Assumptions!$C$36 ), 0 )</f>
        <v>100000</v>
      </c>
      <c r="P225" s="53">
        <f t="shared" si="10"/>
        <v>1274145.4305331372</v>
      </c>
      <c r="Q225" s="52">
        <f t="shared" si="11"/>
        <v>190362332.25089613</v>
      </c>
    </row>
    <row r="226" spans="1:17">
      <c r="A226" s="2">
        <f t="shared" si="9"/>
        <v>5</v>
      </c>
      <c r="B226" s="2">
        <v>60</v>
      </c>
      <c r="C226" s="2" t="s">
        <v>93</v>
      </c>
      <c r="D226" s="62">
        <f>IF(
    B226 &lt; INDEX(Assumptions!$C$3:$C$7, MATCH(C226, {"Virginia","Florida","Texas","New York","California"}, 0)),
    0,
    IF(
        B226 = INDEX(Assumptions!$C$3:$C$7, MATCH(C226, {"Virginia","Florida","Texas","New York","California"}, 0)),
        IF(C226 = "Virginia", Assumptions!$C$13, Assumptions!$C$14),
        ROUND(
            (INDEX(Assumptions!$C$15:$C$19, MATCH(C226, {"Virginia","Florida","Texas","New York","California"}, 0)) * Assumptions!$C$9 -
            SUMIF(C$2:C225, C226, D$2:D226)) /
            (1 + EXP(-0.2 * (B226 - INDEX(Assumptions!$C$3:$C$7, MATCH(C226, {"Virginia","Florida","Texas","New York","California"}, 0)) - 30))),
            0
        )
    )
)</f>
        <v>1</v>
      </c>
      <c r="E226" s="62">
        <f>IF(B226&lt;INDEX(Assumptions!$C$3:$C$7, MATCH(C226, {"Virginia","Florida","Texas","New York","California"}, 0)),
    0,
    IF(F226=0,
        0,
        F226 * Assumptions!$C$12
    )
)</f>
        <v>29.995833333333334</v>
      </c>
      <c r="F226" s="62" cm="1">
        <f t="array" ref="F226">IF(B226&lt;INDEX(Assumptions!$C$3:$C$7, MATCH(C226, {"Virginia","Florida","Texas","New York","California"}, 0)),
    0,
    IF(C226=C225,
        F225 + D226,
        IF(COUNTIF($C$2:C226, C226) = 1, D226, LOOKUP(2, 1/(C$1:C225=C226), F$1:F225) + D226)
    )
)</f>
        <v>7199</v>
      </c>
      <c r="G226" s="62" cm="1">
        <f t="array" ref="G226">IF(B226&lt;INDEX(Assumptions!$C$3:$C$7, MATCH(C226, {"Virginia","Florida","Texas","New York","California"}, 0)),
    0,
    IF(C226=C225,
        G225 + D226 - E226,
        IF(COUNTIF($C$2:C226, C226) = 1, D226, LOOKUP(2, 1/(C$1:C225=C226), G$1:G225) + D226 - E226)
    )
)</f>
        <v>6700.6333333333341</v>
      </c>
      <c r="H226" s="63">
        <f>IF(B226&lt;INDEX(Assumptions!$C$3:$C$7, MATCH(C226, {"Virginia","Florida","Texas","New York","California"}, 0)),
    0,
    (G226 / INDEX(Assumptions!$C$15:$C$19, MATCH(C226, {"Virginia","Florida","Texas","New York","California"}, 0)))
)</f>
        <v>7.4451481481481493E-2</v>
      </c>
      <c r="I226" s="43">
        <f>G226*'Unit Economics'!$B$19* INDEX(Assumptions!$C$38:$C$42, MATCH(C226, {"Virginia","Florida","Texas","New York","California"}, 0))</f>
        <v>1774716.3434000004</v>
      </c>
      <c r="J226" s="43">
        <f>D226*Assumptions!$C$21*INDEX(Assumptions!$C$38:$C$42,MATCH(C226,{"Virginia","Florida","Texas","New York","California"},0))</f>
        <v>281.54500000000002</v>
      </c>
      <c r="K226" s="43">
        <f>G226/Assumptions!$C$22*('Unit Economics'!$F$24+'Unit Economics'!$F$25+'Unit Economics'!$F$26)</f>
        <v>319511.81740196084</v>
      </c>
      <c r="L226" s="43">
        <f>D226*Assumptions!$C$29</f>
        <v>185</v>
      </c>
      <c r="M226" s="35">
        <f>G226*Assumptions!$C$27</f>
        <v>0</v>
      </c>
      <c r="N226" s="35">
        <f>G226*Assumptions!$C$28</f>
        <v>0</v>
      </c>
      <c r="O226" s="64">
        <f>IF( COUNTIF($B$2:B226, B226) = 1, MIN( Assumptions!$C$34 + INT(SUMIF($B$2:$B226, B226, G$2:G226) / 1000) * Assumptions!$C$37, Assumptions!$C$36 ), 0 )</f>
        <v>0</v>
      </c>
      <c r="P226" s="53">
        <f t="shared" si="10"/>
        <v>2094324.705801961</v>
      </c>
      <c r="Q226" s="52">
        <f t="shared" si="11"/>
        <v>192456656.95669809</v>
      </c>
    </row>
    <row r="227" spans="1:17">
      <c r="A227" s="2">
        <f t="shared" si="9"/>
        <v>5</v>
      </c>
      <c r="B227" s="2">
        <v>60</v>
      </c>
      <c r="C227" s="2" t="s">
        <v>90</v>
      </c>
      <c r="D227" s="62">
        <f>IF(
    B227 &lt; INDEX(Assumptions!$C$3:$C$7, MATCH(C227, {"Virginia","Florida","Texas","New York","California"}, 0)),
    0,
    IF(
        B227 = INDEX(Assumptions!$C$3:$C$7, MATCH(C227, {"Virginia","Florida","Texas","New York","California"}, 0)),
        IF(C227 = "Virginia", Assumptions!$C$13, Assumptions!$C$14),
        ROUND(
            (INDEX(Assumptions!$C$15:$C$19, MATCH(C227, {"Virginia","Florida","Texas","New York","California"}, 0)) * Assumptions!$C$9 -
            SUMIF(C$2:C226, C227, D$2:D227)) /
            (1 + EXP(-0.2 * (B227 - INDEX(Assumptions!$C$3:$C$7, MATCH(C227, {"Virginia","Florida","Texas","New York","California"}, 0)) - 30))),
            0
        )
    )
)</f>
        <v>0</v>
      </c>
      <c r="E227" s="62">
        <f>IF(B227&lt;INDEX(Assumptions!$C$3:$C$7, MATCH(C227, {"Virginia","Florida","Texas","New York","California"}, 0)),
    0,
    IF(F227=0,
        0,
        F227 * Assumptions!$C$12
    )
)</f>
        <v>23.333333333333332</v>
      </c>
      <c r="F227" s="62" cm="1">
        <f t="array" ref="F227">IF(B227&lt;INDEX(Assumptions!$C$3:$C$7, MATCH(C227, {"Virginia","Florida","Texas","New York","California"}, 0)),
    0,
    IF(C227=C226,
        F226 + D227,
        IF(COUNTIF($C$2:C227, C227) = 1, D227, LOOKUP(2, 1/(C$1:C226=C227), F$1:F226) + D227)
    )
)</f>
        <v>5600</v>
      </c>
      <c r="G227" s="62" cm="1">
        <f t="array" ref="G227">IF(B227&lt;INDEX(Assumptions!$C$3:$C$7, MATCH(C227, {"Virginia","Florida","Texas","New York","California"}, 0)),
    0,
    IF(C227=C226,
        G226 + D227 - E227,
        IF(COUNTIF($C$2:C227, C227) = 1, D227, LOOKUP(2, 1/(C$1:C226=C227), G$1:G226) + D227 - E227)
    )
)</f>
        <v>4930.6250000000045</v>
      </c>
      <c r="H227" s="63">
        <f>IF(B227&lt;INDEX(Assumptions!$C$3:$C$7, MATCH(C227, {"Virginia","Florida","Texas","New York","California"}, 0)),
    0,
    (G227 / INDEX(Assumptions!$C$15:$C$19, MATCH(C227, {"Virginia","Florida","Texas","New York","California"}, 0)))
)</f>
        <v>7.0437500000000069E-2</v>
      </c>
      <c r="I227" s="43">
        <f>G227*'Unit Economics'!$B$19* INDEX(Assumptions!$C$38:$C$42, MATCH(C227, {"Virginia","Florida","Texas","New York","California"}, 0))</f>
        <v>1246555.6818750012</v>
      </c>
      <c r="J227" s="43">
        <f>D227*Assumptions!$C$21*INDEX(Assumptions!$C$38:$C$42,MATCH(C227,{"Virginia","Florida","Texas","New York","California"},0))</f>
        <v>0</v>
      </c>
      <c r="K227" s="43">
        <f>G227/Assumptions!$C$22*('Unit Economics'!$F$24+'Unit Economics'!$F$25+'Unit Economics'!$F$26)</f>
        <v>235111.05238970614</v>
      </c>
      <c r="L227" s="43">
        <f>D227*Assumptions!$C$29</f>
        <v>0</v>
      </c>
      <c r="M227" s="35">
        <f>G227*Assumptions!$C$27</f>
        <v>0</v>
      </c>
      <c r="N227" s="35">
        <f>G227*Assumptions!$C$28</f>
        <v>0</v>
      </c>
      <c r="O227" s="64">
        <f>IF( COUNTIF($B$2:B227, B227) = 1, MIN( Assumptions!$C$34 + INT(SUMIF($B$2:$B227, B227, G$2:G227) / 1000) * Assumptions!$C$37, Assumptions!$C$36 ), 0 )</f>
        <v>0</v>
      </c>
      <c r="P227" s="53">
        <f t="shared" si="10"/>
        <v>1481666.7342647072</v>
      </c>
      <c r="Q227" s="52">
        <f t="shared" si="11"/>
        <v>193938323.69096279</v>
      </c>
    </row>
    <row r="228" spans="1:17">
      <c r="A228" s="2">
        <f t="shared" si="9"/>
        <v>5</v>
      </c>
      <c r="B228" s="2">
        <v>60</v>
      </c>
      <c r="C228" s="2" t="s">
        <v>91</v>
      </c>
      <c r="D228" s="62">
        <f>IF(
    B228 &lt; INDEX(Assumptions!$C$3:$C$7, MATCH(C228, {"Virginia","Florida","Texas","New York","California"}, 0)),
    0,
    IF(
        B228 = INDEX(Assumptions!$C$3:$C$7, MATCH(C228, {"Virginia","Florida","Texas","New York","California"}, 0)),
        IF(C228 = "Virginia", Assumptions!$C$13, Assumptions!$C$14),
        ROUND(
            (INDEX(Assumptions!$C$15:$C$19, MATCH(C228, {"Virginia","Florida","Texas","New York","California"}, 0)) * Assumptions!$C$9 -
            SUMIF(C$2:C227, C228, D$2:D228)) /
            (1 + EXP(-0.2 * (B228 - INDEX(Assumptions!$C$3:$C$7, MATCH(C228, {"Virginia","Florida","Texas","New York","California"}, 0)) - 30))),
            0
        )
    )
)</f>
        <v>0</v>
      </c>
      <c r="E228" s="62">
        <f>IF(B228&lt;INDEX(Assumptions!$C$3:$C$7, MATCH(C228, {"Virginia","Florida","Texas","New York","California"}, 0)),
    0,
    IF(F228=0,
        0,
        F228 * Assumptions!$C$12
    )
)</f>
        <v>26.666666666666668</v>
      </c>
      <c r="F228" s="62" cm="1">
        <f t="array" ref="F228">IF(B228&lt;INDEX(Assumptions!$C$3:$C$7, MATCH(C228, {"Virginia","Florida","Texas","New York","California"}, 0)),
    0,
    IF(C228=C227,
        F227 + D228,
        IF(COUNTIF($C$2:C228, C228) = 1, D228, LOOKUP(2, 1/(C$1:C227=C228), F$1:F227) + D228)
    )
)</f>
        <v>6400</v>
      </c>
      <c r="G228" s="62" cm="1">
        <f t="array" ref="G228">IF(B228&lt;INDEX(Assumptions!$C$3:$C$7, MATCH(C228, {"Virginia","Florida","Texas","New York","California"}, 0)),
    0,
    IF(C228=C227,
        G227 + D228 - E228,
        IF(COUNTIF($C$2:C228, C228) = 1, D228, LOOKUP(2, 1/(C$1:C227=C228), G$1:G227) + D228 - E228)
    )
)</f>
        <v>5636.1916666666621</v>
      </c>
      <c r="H228" s="63">
        <f>IF(B228&lt;INDEX(Assumptions!$C$3:$C$7, MATCH(C228, {"Virginia","Florida","Texas","New York","California"}, 0)),
    0,
    (G228 / INDEX(Assumptions!$C$15:$C$19, MATCH(C228, {"Virginia","Florida","Texas","New York","California"}, 0)))
)</f>
        <v>7.0452395833333278E-2</v>
      </c>
      <c r="I228" s="43">
        <f>G228*'Unit Economics'!$B$19* INDEX(Assumptions!$C$38:$C$42, MATCH(C228, {"Virginia","Florida","Texas","New York","California"}, 0))</f>
        <v>1397794.696384999</v>
      </c>
      <c r="J228" s="43">
        <f>D228*Assumptions!$C$21*INDEX(Assumptions!$C$38:$C$42,MATCH(C228,{"Virginia","Florida","Texas","New York","California"},0))</f>
        <v>0</v>
      </c>
      <c r="K228" s="43">
        <f>G228/Assumptions!$C$22*('Unit Economics'!$F$24+'Unit Economics'!$F$25+'Unit Economics'!$F$26)</f>
        <v>268755.16881127428</v>
      </c>
      <c r="L228" s="43">
        <f>D228*Assumptions!$C$29</f>
        <v>0</v>
      </c>
      <c r="M228" s="35">
        <f>G228*Assumptions!$C$27</f>
        <v>0</v>
      </c>
      <c r="N228" s="35">
        <f>G228*Assumptions!$C$28</f>
        <v>0</v>
      </c>
      <c r="O228" s="64">
        <f>IF( COUNTIF($B$2:B228, B228) = 1, MIN( Assumptions!$C$34 + INT(SUMIF($B$2:$B228, B228, G$2:G228) / 1000) * Assumptions!$C$37, Assumptions!$C$36 ), 0 )</f>
        <v>0</v>
      </c>
      <c r="P228" s="53">
        <f t="shared" si="10"/>
        <v>1666549.8651962732</v>
      </c>
      <c r="Q228" s="52">
        <f t="shared" si="11"/>
        <v>195604873.55615908</v>
      </c>
    </row>
    <row r="229" spans="1:17">
      <c r="A229" s="2">
        <f t="shared" si="9"/>
        <v>5</v>
      </c>
      <c r="B229" s="2">
        <v>60</v>
      </c>
      <c r="C229" s="2" t="s">
        <v>89</v>
      </c>
      <c r="D229" s="62">
        <f>IF(
    B229 &lt; INDEX(Assumptions!$C$3:$C$7, MATCH(C229, {"Virginia","Florida","Texas","New York","California"}, 0)),
    0,
    IF(
        B229 = INDEX(Assumptions!$C$3:$C$7, MATCH(C229, {"Virginia","Florida","Texas","New York","California"}, 0)),
        IF(C229 = "Virginia", Assumptions!$C$13, Assumptions!$C$14),
        ROUND(
            (INDEX(Assumptions!$C$15:$C$19, MATCH(C229, {"Virginia","Florida","Texas","New York","California"}, 0)) * Assumptions!$C$9 -
            SUMIF(C$2:C228, C229, D$2:D229)) /
            (1 + EXP(-0.2 * (B229 - INDEX(Assumptions!$C$3:$C$7, MATCH(C229, {"Virginia","Florida","Texas","New York","California"}, 0)) - 30))),
            0
        )
    )
)</f>
        <v>0</v>
      </c>
      <c r="E229" s="62">
        <f>IF(B229&lt;INDEX(Assumptions!$C$3:$C$7, MATCH(C229, {"Virginia","Florida","Texas","New York","California"}, 0)),
    0,
    IF(F229=0,
        0,
        F229 * Assumptions!$C$12
    )
)</f>
        <v>16.666666666666668</v>
      </c>
      <c r="F229" s="62" cm="1">
        <f t="array" ref="F229">IF(B229&lt;INDEX(Assumptions!$C$3:$C$7, MATCH(C229, {"Virginia","Florida","Texas","New York","California"}, 0)),
    0,
    IF(C229=C228,
        F228 + D229,
        IF(COUNTIF($C$2:C229, C229) = 1, D229, LOOKUP(2, 1/(C$1:C228=C229), F$1:F228) + D229)
    )
)</f>
        <v>4000</v>
      </c>
      <c r="G229" s="62" cm="1">
        <f t="array" ref="G229">IF(B229&lt;INDEX(Assumptions!$C$3:$C$7, MATCH(C229, {"Virginia","Florida","Texas","New York","California"}, 0)),
    0,
    IF(C229=C228,
        G228 + D229 - E229,
        IF(COUNTIF($C$2:C229, C229) = 1, D229, LOOKUP(2, 1/(C$1:C228=C229), G$1:G228) + D229 - E229)
    )
)</f>
        <v>3323.620833333337</v>
      </c>
      <c r="H229" s="63">
        <f>IF(B229&lt;INDEX(Assumptions!$C$3:$C$7, MATCH(C229, {"Virginia","Florida","Texas","New York","California"}, 0)),
    0,
    (G229 / INDEX(Assumptions!$C$15:$C$19, MATCH(C229, {"Virginia","Florida","Texas","New York","California"}, 0)))
)</f>
        <v>6.6472416666666742E-2</v>
      </c>
      <c r="I229" s="43">
        <f>G229*'Unit Economics'!$B$19* INDEX(Assumptions!$C$38:$C$42, MATCH(C229, {"Virginia","Florida","Texas","New York","California"}, 0))</f>
        <v>800261.42425000085</v>
      </c>
      <c r="J229" s="43">
        <f>D229*Assumptions!$C$21*INDEX(Assumptions!$C$38:$C$42,MATCH(C229,{"Virginia","Florida","Texas","New York","California"},0))</f>
        <v>0</v>
      </c>
      <c r="K229" s="43">
        <f>G229/Assumptions!$C$22*('Unit Economics'!$F$24+'Unit Economics'!$F$25+'Unit Economics'!$F$26)</f>
        <v>158482.94929534334</v>
      </c>
      <c r="L229" s="43">
        <f>D229*Assumptions!$C$29</f>
        <v>0</v>
      </c>
      <c r="M229" s="35">
        <f>G229*Assumptions!$C$27</f>
        <v>0</v>
      </c>
      <c r="N229" s="35">
        <f>G229*Assumptions!$C$28</f>
        <v>0</v>
      </c>
      <c r="O229" s="64">
        <f>IF( COUNTIF($B$2:B229, B229) = 1, MIN( Assumptions!$C$34 + INT(SUMIF($B$2:$B229, B229, G$2:G229) / 1000) * Assumptions!$C$37, Assumptions!$C$36 ), 0 )</f>
        <v>0</v>
      </c>
      <c r="P229" s="53">
        <f t="shared" si="10"/>
        <v>958744.37354534422</v>
      </c>
      <c r="Q229" s="52">
        <f t="shared" si="11"/>
        <v>196563617.92970443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60"/>
  <sheetViews>
    <sheetView zoomScale="87" zoomScaleNormal="127" workbookViewId="0">
      <selection activeCell="D35" sqref="D35"/>
    </sheetView>
  </sheetViews>
  <sheetFormatPr defaultColWidth="11.5546875" defaultRowHeight="15"/>
  <sheetData>
    <row r="1" spans="1:28" ht="15.75">
      <c r="A1" cm="1">
        <f t="array" ref="A1:A60">_xlfn.SEQUENCE(60, 1, 1, 1)</f>
        <v>1</v>
      </c>
      <c r="B1" t="str">
        <f>IF(A1 &gt;= Assumptions!$C$3, "Virginia", IF(A1 &gt;= Assumptions!$C$4, "Florida", IF(A1 &gt;= Assumptions!$C$5, "Texas", IF(A1 &gt;= Assumptions!$C$6, "New York", IF(A1 &gt;= Assumptions!$C$7, "California", "")))))</f>
        <v>Virginia</v>
      </c>
      <c r="D1" s="1" t="s">
        <v>37</v>
      </c>
      <c r="E1" s="1" t="s">
        <v>88</v>
      </c>
      <c r="Q1" cm="1">
        <f t="array" ref="Q1:Q60">_xlfn._xlws.FILTER(F:F, F:F&lt;&gt;"")</f>
        <v>1</v>
      </c>
      <c r="R1" cm="1">
        <f t="array" ref="R1:R48">_xlfn._xlws.FILTER(H:H, H:H&lt;&gt;"")</f>
        <v>13</v>
      </c>
      <c r="S1" cm="1">
        <f t="array" ref="S1:S48">_xlfn._xlws.FILTER(J:J, J:J&lt;&gt;"")</f>
        <v>13</v>
      </c>
      <c r="T1" cm="1">
        <f t="array" ref="T1:T36">_xlfn._xlws.FILTER(L:L, L:L&lt;&gt;"")</f>
        <v>25</v>
      </c>
      <c r="U1" cm="1">
        <f t="array" ref="U1:U36">_xlfn._xlws.FILTER(N:N, N:N&lt;&gt;"")</f>
        <v>25</v>
      </c>
      <c r="V1" t="str" cm="1">
        <f t="array" ref="V1:V60">_xlfn._xlws.FILTER(G:G, G:G&lt;&gt;"")</f>
        <v>Virginia</v>
      </c>
      <c r="W1" t="str" cm="1">
        <f t="array" ref="W1:W48">_xlfn._xlws.FILTER(I:I, I:I&lt;&gt;"")</f>
        <v>Florida</v>
      </c>
      <c r="X1" t="str" cm="1">
        <f t="array" ref="X1:X48">_xlfn._xlws.FILTER(K:K, K:K&lt;&gt;"")</f>
        <v>Texas</v>
      </c>
      <c r="Y1" t="str" cm="1">
        <f t="array" ref="Y1:Y36">_xlfn._xlws.FILTER(M:M, O:O&lt;&gt;"")</f>
        <v>New York</v>
      </c>
      <c r="Z1" t="str" cm="1">
        <f t="array" ref="Z1:Z36">_xlfn._xlws.FILTER(O:O,O:O&lt;&gt;"")</f>
        <v>California</v>
      </c>
      <c r="AA1" t="s">
        <v>96</v>
      </c>
      <c r="AB1" t="s">
        <v>97</v>
      </c>
    </row>
    <row r="2" spans="1:28">
      <c r="A2">
        <v>2</v>
      </c>
      <c r="B2" t="str">
        <f>IF(A2 &gt;= Assumptions!$C$3, "Virginia", IF(A2 &gt;= Assumptions!$C$4, "Florida", IF(A2 &gt;= Assumptions!$C$5, "Texas", IF(A2 &gt;= Assumptions!$C$6, "New York", IF(A2 &gt;= Assumptions!$C$7, "California", "")))))</f>
        <v>Virginia</v>
      </c>
      <c r="D2" t="s">
        <v>89</v>
      </c>
      <c r="E2">
        <v>1</v>
      </c>
      <c r="F2" cm="1">
        <f t="array" ref="F2:F61">_xlfn.SEQUENCE(60 - E2 + 1, 1, E2, 1)</f>
        <v>1</v>
      </c>
      <c r="G2" t="str">
        <f>$D$2</f>
        <v>Virginia</v>
      </c>
      <c r="H2" cm="1">
        <f t="array" ref="H2:H49">_xlfn.SEQUENCE(60 - E3 + 1, 1, E3, 1)</f>
        <v>13</v>
      </c>
      <c r="I2" t="str">
        <f>$D$3</f>
        <v>Florida</v>
      </c>
      <c r="J2" cm="1">
        <f t="array" ref="J2:J49">_xlfn.SEQUENCE(60 - E4 + 1, 1, E4, 1)</f>
        <v>13</v>
      </c>
      <c r="K2" t="str">
        <f>$D$4</f>
        <v>Texas</v>
      </c>
      <c r="L2" cm="1">
        <f t="array" ref="L2:L37">_xlfn.SEQUENCE(60 - E5 + 1, 1, E5, 1)</f>
        <v>25</v>
      </c>
      <c r="M2" t="str">
        <f>$D$5</f>
        <v>New York</v>
      </c>
      <c r="N2" cm="1">
        <f t="array" ref="N2:N37">_xlfn.SEQUENCE(60 - E6 + 1, 1, E6, 1)</f>
        <v>25</v>
      </c>
      <c r="O2" t="str">
        <f>$D$6</f>
        <v>California</v>
      </c>
      <c r="Q2">
        <v>2</v>
      </c>
      <c r="R2">
        <v>14</v>
      </c>
      <c r="S2">
        <v>14</v>
      </c>
      <c r="T2">
        <v>26</v>
      </c>
      <c r="U2">
        <v>26</v>
      </c>
      <c r="V2" t="str">
        <v>Virginia</v>
      </c>
      <c r="W2" t="str">
        <v>Florida</v>
      </c>
      <c r="X2" t="str">
        <v>Texas</v>
      </c>
      <c r="Y2" t="str">
        <v>New York</v>
      </c>
      <c r="Z2" t="str">
        <v>California</v>
      </c>
      <c r="AA2">
        <v>1</v>
      </c>
      <c r="AB2" t="s">
        <v>89</v>
      </c>
    </row>
    <row r="3" spans="1:28">
      <c r="A3">
        <v>3</v>
      </c>
      <c r="B3" t="str">
        <f>IF(A3 &gt;= Assumptions!$C$3, "Virginia", IF(A3 &gt;= Assumptions!$C$4, "Florida", IF(A3 &gt;= Assumptions!$C$5, "Texas", IF(A3 &gt;= Assumptions!$C$6, "New York", IF(A3 &gt;= Assumptions!$C$7, "California", "")))))</f>
        <v>Virginia</v>
      </c>
      <c r="D3" t="s">
        <v>90</v>
      </c>
      <c r="E3">
        <v>13</v>
      </c>
      <c r="F3">
        <v>2</v>
      </c>
      <c r="G3" t="str">
        <f t="shared" ref="G3:G61" si="0">$D$2</f>
        <v>Virginia</v>
      </c>
      <c r="H3">
        <v>14</v>
      </c>
      <c r="I3" t="str">
        <f t="shared" ref="I3:I49" si="1">$D$3</f>
        <v>Florida</v>
      </c>
      <c r="J3">
        <v>14</v>
      </c>
      <c r="K3" t="str">
        <f t="shared" ref="K3:K49" si="2">$D$4</f>
        <v>Texas</v>
      </c>
      <c r="L3">
        <v>26</v>
      </c>
      <c r="M3" t="str">
        <f t="shared" ref="M3:M37" si="3">$D$5</f>
        <v>New York</v>
      </c>
      <c r="N3">
        <v>26</v>
      </c>
      <c r="O3" t="str">
        <f t="shared" ref="O3:O37" si="4">$D$6</f>
        <v>California</v>
      </c>
      <c r="Q3">
        <v>3</v>
      </c>
      <c r="R3">
        <v>15</v>
      </c>
      <c r="S3">
        <v>15</v>
      </c>
      <c r="T3">
        <v>27</v>
      </c>
      <c r="U3">
        <v>27</v>
      </c>
      <c r="V3" t="str">
        <v>Virginia</v>
      </c>
      <c r="W3" t="str">
        <v>Florida</v>
      </c>
      <c r="X3" t="str">
        <v>Texas</v>
      </c>
      <c r="Y3" t="str">
        <v>New York</v>
      </c>
      <c r="Z3" t="str">
        <v>California</v>
      </c>
      <c r="AA3">
        <v>2</v>
      </c>
      <c r="AB3" t="s">
        <v>89</v>
      </c>
    </row>
    <row r="4" spans="1:28">
      <c r="A4">
        <v>4</v>
      </c>
      <c r="B4" t="str">
        <f>IF(A4 &gt;= Assumptions!$C$3, "Virginia", IF(A4 &gt;= Assumptions!$C$4, "Florida", IF(A4 &gt;= Assumptions!$C$5, "Texas", IF(A4 &gt;= Assumptions!$C$6, "New York", IF(A4 &gt;= Assumptions!$C$7, "California", "")))))</f>
        <v>Virginia</v>
      </c>
      <c r="D4" t="s">
        <v>91</v>
      </c>
      <c r="E4">
        <v>13</v>
      </c>
      <c r="F4">
        <v>3</v>
      </c>
      <c r="G4" t="str">
        <f t="shared" si="0"/>
        <v>Virginia</v>
      </c>
      <c r="H4">
        <v>15</v>
      </c>
      <c r="I4" t="str">
        <f t="shared" si="1"/>
        <v>Florida</v>
      </c>
      <c r="J4">
        <v>15</v>
      </c>
      <c r="K4" t="str">
        <f t="shared" si="2"/>
        <v>Texas</v>
      </c>
      <c r="L4">
        <v>27</v>
      </c>
      <c r="M4" t="str">
        <f t="shared" si="3"/>
        <v>New York</v>
      </c>
      <c r="N4">
        <v>27</v>
      </c>
      <c r="O4" t="str">
        <f t="shared" si="4"/>
        <v>California</v>
      </c>
      <c r="Q4">
        <v>4</v>
      </c>
      <c r="R4">
        <v>16</v>
      </c>
      <c r="S4">
        <v>16</v>
      </c>
      <c r="T4">
        <v>28</v>
      </c>
      <c r="U4">
        <v>28</v>
      </c>
      <c r="V4" t="str">
        <v>Virginia</v>
      </c>
      <c r="W4" t="str">
        <v>Florida</v>
      </c>
      <c r="X4" t="str">
        <v>Texas</v>
      </c>
      <c r="Y4" t="str">
        <v>New York</v>
      </c>
      <c r="Z4" t="str">
        <v>California</v>
      </c>
      <c r="AA4">
        <v>3</v>
      </c>
      <c r="AB4" t="s">
        <v>89</v>
      </c>
    </row>
    <row r="5" spans="1:28">
      <c r="A5">
        <v>5</v>
      </c>
      <c r="B5" t="str">
        <f>IF(A5 &gt;= Assumptions!$C$3, "Virginia", IF(A5 &gt;= Assumptions!$C$4, "Florida", IF(A5 &gt;= Assumptions!$C$5, "Texas", IF(A5 &gt;= Assumptions!$C$6, "New York", IF(A5 &gt;= Assumptions!$C$7, "California", "")))))</f>
        <v>Virginia</v>
      </c>
      <c r="D5" t="s">
        <v>92</v>
      </c>
      <c r="E5">
        <v>25</v>
      </c>
      <c r="F5">
        <v>4</v>
      </c>
      <c r="G5" t="str">
        <f t="shared" si="0"/>
        <v>Virginia</v>
      </c>
      <c r="H5">
        <v>16</v>
      </c>
      <c r="I5" t="str">
        <f t="shared" si="1"/>
        <v>Florida</v>
      </c>
      <c r="J5">
        <v>16</v>
      </c>
      <c r="K5" t="str">
        <f t="shared" si="2"/>
        <v>Texas</v>
      </c>
      <c r="L5">
        <v>28</v>
      </c>
      <c r="M5" t="str">
        <f t="shared" si="3"/>
        <v>New York</v>
      </c>
      <c r="N5">
        <v>28</v>
      </c>
      <c r="O5" t="str">
        <f t="shared" si="4"/>
        <v>California</v>
      </c>
      <c r="Q5">
        <v>5</v>
      </c>
      <c r="R5">
        <v>17</v>
      </c>
      <c r="S5">
        <v>17</v>
      </c>
      <c r="T5">
        <v>29</v>
      </c>
      <c r="U5">
        <v>29</v>
      </c>
      <c r="V5" t="str">
        <v>Virginia</v>
      </c>
      <c r="W5" t="str">
        <v>Florida</v>
      </c>
      <c r="X5" t="str">
        <v>Texas</v>
      </c>
      <c r="Y5" t="str">
        <v>New York</v>
      </c>
      <c r="Z5" t="str">
        <v>California</v>
      </c>
      <c r="AA5">
        <v>4</v>
      </c>
      <c r="AB5" t="s">
        <v>89</v>
      </c>
    </row>
    <row r="6" spans="1:28">
      <c r="A6">
        <v>6</v>
      </c>
      <c r="B6" t="str">
        <f>IF(A6 &gt;= Assumptions!$C$3, "Virginia", IF(A6 &gt;= Assumptions!$C$4, "Florida", IF(A6 &gt;= Assumptions!$C$5, "Texas", IF(A6 &gt;= Assumptions!$C$6, "New York", IF(A6 &gt;= Assumptions!$C$7, "California", "")))))</f>
        <v>Virginia</v>
      </c>
      <c r="D6" t="s">
        <v>93</v>
      </c>
      <c r="E6">
        <v>25</v>
      </c>
      <c r="F6">
        <v>5</v>
      </c>
      <c r="G6" t="str">
        <f t="shared" si="0"/>
        <v>Virginia</v>
      </c>
      <c r="H6">
        <v>17</v>
      </c>
      <c r="I6" t="str">
        <f t="shared" si="1"/>
        <v>Florida</v>
      </c>
      <c r="J6">
        <v>17</v>
      </c>
      <c r="K6" t="str">
        <f t="shared" si="2"/>
        <v>Texas</v>
      </c>
      <c r="L6">
        <v>29</v>
      </c>
      <c r="M6" t="str">
        <f t="shared" si="3"/>
        <v>New York</v>
      </c>
      <c r="N6">
        <v>29</v>
      </c>
      <c r="O6" t="str">
        <f t="shared" si="4"/>
        <v>California</v>
      </c>
      <c r="Q6">
        <v>6</v>
      </c>
      <c r="R6">
        <v>18</v>
      </c>
      <c r="S6">
        <v>18</v>
      </c>
      <c r="T6">
        <v>30</v>
      </c>
      <c r="U6">
        <v>30</v>
      </c>
      <c r="V6" t="str">
        <v>Virginia</v>
      </c>
      <c r="W6" t="str">
        <v>Florida</v>
      </c>
      <c r="X6" t="str">
        <v>Texas</v>
      </c>
      <c r="Y6" t="str">
        <v>New York</v>
      </c>
      <c r="Z6" t="str">
        <v>California</v>
      </c>
      <c r="AA6">
        <v>5</v>
      </c>
      <c r="AB6" t="s">
        <v>89</v>
      </c>
    </row>
    <row r="7" spans="1:28">
      <c r="A7">
        <v>7</v>
      </c>
      <c r="B7" t="str">
        <f>IF(A7 &gt;= Assumptions!$C$3, "Virginia", IF(A7 &gt;= Assumptions!$C$4, "Florida", IF(A7 &gt;= Assumptions!$C$5, "Texas", IF(A7 &gt;= Assumptions!$C$6, "New York", IF(A7 &gt;= Assumptions!$C$7, "California", "")))))</f>
        <v>Virginia</v>
      </c>
      <c r="F7">
        <v>6</v>
      </c>
      <c r="G7" t="str">
        <f t="shared" si="0"/>
        <v>Virginia</v>
      </c>
      <c r="H7">
        <v>18</v>
      </c>
      <c r="I7" t="str">
        <f t="shared" si="1"/>
        <v>Florida</v>
      </c>
      <c r="J7">
        <v>18</v>
      </c>
      <c r="K7" t="str">
        <f t="shared" si="2"/>
        <v>Texas</v>
      </c>
      <c r="L7">
        <v>30</v>
      </c>
      <c r="M7" t="str">
        <f t="shared" si="3"/>
        <v>New York</v>
      </c>
      <c r="N7">
        <v>30</v>
      </c>
      <c r="O7" t="str">
        <f t="shared" si="4"/>
        <v>California</v>
      </c>
      <c r="Q7">
        <v>7</v>
      </c>
      <c r="R7">
        <v>19</v>
      </c>
      <c r="S7">
        <v>19</v>
      </c>
      <c r="T7">
        <v>31</v>
      </c>
      <c r="U7">
        <v>31</v>
      </c>
      <c r="V7" t="str">
        <v>Virginia</v>
      </c>
      <c r="W7" t="str">
        <v>Florida</v>
      </c>
      <c r="X7" t="str">
        <v>Texas</v>
      </c>
      <c r="Y7" t="str">
        <v>New York</v>
      </c>
      <c r="Z7" t="str">
        <v>California</v>
      </c>
      <c r="AA7">
        <v>6</v>
      </c>
      <c r="AB7" t="s">
        <v>89</v>
      </c>
    </row>
    <row r="8" spans="1:28">
      <c r="A8">
        <v>8</v>
      </c>
      <c r="B8" t="str">
        <f>IF(A8 &gt;= Assumptions!$C$3, "Virginia", IF(A8 &gt;= Assumptions!$C$4, "Florida", IF(A8 &gt;= Assumptions!$C$5, "Texas", IF(A8 &gt;= Assumptions!$C$6, "New York", IF(A8 &gt;= Assumptions!$C$7, "California", "")))))</f>
        <v>Virginia</v>
      </c>
      <c r="F8">
        <v>7</v>
      </c>
      <c r="G8" t="str">
        <f t="shared" si="0"/>
        <v>Virginia</v>
      </c>
      <c r="H8">
        <v>19</v>
      </c>
      <c r="I8" t="str">
        <f t="shared" si="1"/>
        <v>Florida</v>
      </c>
      <c r="J8">
        <v>19</v>
      </c>
      <c r="K8" t="str">
        <f t="shared" si="2"/>
        <v>Texas</v>
      </c>
      <c r="L8">
        <v>31</v>
      </c>
      <c r="M8" t="str">
        <f t="shared" si="3"/>
        <v>New York</v>
      </c>
      <c r="N8">
        <v>31</v>
      </c>
      <c r="O8" t="str">
        <f t="shared" si="4"/>
        <v>California</v>
      </c>
      <c r="Q8">
        <v>8</v>
      </c>
      <c r="R8">
        <v>20</v>
      </c>
      <c r="S8">
        <v>20</v>
      </c>
      <c r="T8">
        <v>32</v>
      </c>
      <c r="U8">
        <v>32</v>
      </c>
      <c r="V8" t="str">
        <v>Virginia</v>
      </c>
      <c r="W8" t="str">
        <v>Florida</v>
      </c>
      <c r="X8" t="str">
        <v>Texas</v>
      </c>
      <c r="Y8" t="str">
        <v>New York</v>
      </c>
      <c r="Z8" t="str">
        <v>California</v>
      </c>
      <c r="AA8">
        <v>7</v>
      </c>
      <c r="AB8" t="s">
        <v>89</v>
      </c>
    </row>
    <row r="9" spans="1:28">
      <c r="A9">
        <v>9</v>
      </c>
      <c r="B9" t="str">
        <f>IF(A9 &gt;= Assumptions!$C$3, "Virginia", IF(A9 &gt;= Assumptions!$C$4, "Florida", IF(A9 &gt;= Assumptions!$C$5, "Texas", IF(A9 &gt;= Assumptions!$C$6, "New York", IF(A9 &gt;= Assumptions!$C$7, "California", "")))))</f>
        <v>Virginia</v>
      </c>
      <c r="F9">
        <v>8</v>
      </c>
      <c r="G9" t="str">
        <f t="shared" si="0"/>
        <v>Virginia</v>
      </c>
      <c r="H9">
        <v>20</v>
      </c>
      <c r="I9" t="str">
        <f t="shared" si="1"/>
        <v>Florida</v>
      </c>
      <c r="J9">
        <v>20</v>
      </c>
      <c r="K9" t="str">
        <f t="shared" si="2"/>
        <v>Texas</v>
      </c>
      <c r="L9">
        <v>32</v>
      </c>
      <c r="M9" t="str">
        <f t="shared" si="3"/>
        <v>New York</v>
      </c>
      <c r="N9">
        <v>32</v>
      </c>
      <c r="O9" t="str">
        <f t="shared" si="4"/>
        <v>California</v>
      </c>
      <c r="Q9">
        <v>9</v>
      </c>
      <c r="R9">
        <v>21</v>
      </c>
      <c r="S9">
        <v>21</v>
      </c>
      <c r="T9">
        <v>33</v>
      </c>
      <c r="U9">
        <v>33</v>
      </c>
      <c r="V9" t="str">
        <v>Virginia</v>
      </c>
      <c r="W9" t="str">
        <v>Florida</v>
      </c>
      <c r="X9" t="str">
        <v>Texas</v>
      </c>
      <c r="Y9" t="str">
        <v>New York</v>
      </c>
      <c r="Z9" t="str">
        <v>California</v>
      </c>
      <c r="AA9">
        <v>8</v>
      </c>
      <c r="AB9" t="s">
        <v>89</v>
      </c>
    </row>
    <row r="10" spans="1:28">
      <c r="A10">
        <v>10</v>
      </c>
      <c r="B10" t="str">
        <f>IF(A10 &gt;= Assumptions!$C$3, "Virginia", IF(A10 &gt;= Assumptions!$C$4, "Florida", IF(A10 &gt;= Assumptions!$C$5, "Texas", IF(A10 &gt;= Assumptions!$C$6, "New York", IF(A10 &gt;= Assumptions!$C$7, "California", "")))))</f>
        <v>Virginia</v>
      </c>
      <c r="F10">
        <v>9</v>
      </c>
      <c r="G10" t="str">
        <f t="shared" si="0"/>
        <v>Virginia</v>
      </c>
      <c r="H10">
        <v>21</v>
      </c>
      <c r="I10" t="str">
        <f t="shared" si="1"/>
        <v>Florida</v>
      </c>
      <c r="J10">
        <v>21</v>
      </c>
      <c r="K10" t="str">
        <f t="shared" si="2"/>
        <v>Texas</v>
      </c>
      <c r="L10">
        <v>33</v>
      </c>
      <c r="M10" t="str">
        <f t="shared" si="3"/>
        <v>New York</v>
      </c>
      <c r="N10">
        <v>33</v>
      </c>
      <c r="O10" t="str">
        <f t="shared" si="4"/>
        <v>California</v>
      </c>
      <c r="Q10">
        <v>10</v>
      </c>
      <c r="R10">
        <v>22</v>
      </c>
      <c r="S10">
        <v>22</v>
      </c>
      <c r="T10">
        <v>34</v>
      </c>
      <c r="U10">
        <v>34</v>
      </c>
      <c r="V10" t="str">
        <v>Virginia</v>
      </c>
      <c r="W10" t="str">
        <v>Florida</v>
      </c>
      <c r="X10" t="str">
        <v>Texas</v>
      </c>
      <c r="Y10" t="str">
        <v>New York</v>
      </c>
      <c r="Z10" t="str">
        <v>California</v>
      </c>
      <c r="AA10">
        <v>9</v>
      </c>
      <c r="AB10" t="s">
        <v>89</v>
      </c>
    </row>
    <row r="11" spans="1:28">
      <c r="A11">
        <v>11</v>
      </c>
      <c r="B11" t="str">
        <f>IF(A11 &gt;= Assumptions!$C$3, "Virginia", IF(A11 &gt;= Assumptions!$C$4, "Florida", IF(A11 &gt;= Assumptions!$C$5, "Texas", IF(A11 &gt;= Assumptions!$C$6, "New York", IF(A11 &gt;= Assumptions!$C$7, "California", "")))))</f>
        <v>Virginia</v>
      </c>
      <c r="F11">
        <v>10</v>
      </c>
      <c r="G11" t="str">
        <f t="shared" si="0"/>
        <v>Virginia</v>
      </c>
      <c r="H11">
        <v>22</v>
      </c>
      <c r="I11" t="str">
        <f t="shared" si="1"/>
        <v>Florida</v>
      </c>
      <c r="J11">
        <v>22</v>
      </c>
      <c r="K11" t="str">
        <f t="shared" si="2"/>
        <v>Texas</v>
      </c>
      <c r="L11">
        <v>34</v>
      </c>
      <c r="M11" t="str">
        <f t="shared" si="3"/>
        <v>New York</v>
      </c>
      <c r="N11">
        <v>34</v>
      </c>
      <c r="O11" t="str">
        <f t="shared" si="4"/>
        <v>California</v>
      </c>
      <c r="Q11">
        <v>11</v>
      </c>
      <c r="R11">
        <v>23</v>
      </c>
      <c r="S11">
        <v>23</v>
      </c>
      <c r="T11">
        <v>35</v>
      </c>
      <c r="U11">
        <v>35</v>
      </c>
      <c r="V11" t="str">
        <v>Virginia</v>
      </c>
      <c r="W11" t="str">
        <v>Florida</v>
      </c>
      <c r="X11" t="str">
        <v>Texas</v>
      </c>
      <c r="Y11" t="str">
        <v>New York</v>
      </c>
      <c r="Z11" t="str">
        <v>California</v>
      </c>
      <c r="AA11">
        <v>10</v>
      </c>
      <c r="AB11" t="s">
        <v>89</v>
      </c>
    </row>
    <row r="12" spans="1:28">
      <c r="A12">
        <v>12</v>
      </c>
      <c r="B12" t="str">
        <f>IF(A12 &gt;= Assumptions!$C$3, "Virginia", IF(A12 &gt;= Assumptions!$C$4, "Florida", IF(A12 &gt;= Assumptions!$C$5, "Texas", IF(A12 &gt;= Assumptions!$C$6, "New York", IF(A12 &gt;= Assumptions!$C$7, "California", "")))))</f>
        <v>Virginia</v>
      </c>
      <c r="F12">
        <v>11</v>
      </c>
      <c r="G12" t="str">
        <f t="shared" si="0"/>
        <v>Virginia</v>
      </c>
      <c r="H12">
        <v>23</v>
      </c>
      <c r="I12" t="str">
        <f t="shared" si="1"/>
        <v>Florida</v>
      </c>
      <c r="J12">
        <v>23</v>
      </c>
      <c r="K12" t="str">
        <f t="shared" si="2"/>
        <v>Texas</v>
      </c>
      <c r="L12">
        <v>35</v>
      </c>
      <c r="M12" t="str">
        <f t="shared" si="3"/>
        <v>New York</v>
      </c>
      <c r="N12">
        <v>35</v>
      </c>
      <c r="O12" t="str">
        <f t="shared" si="4"/>
        <v>California</v>
      </c>
      <c r="Q12">
        <v>12</v>
      </c>
      <c r="R12">
        <v>24</v>
      </c>
      <c r="S12">
        <v>24</v>
      </c>
      <c r="T12">
        <v>36</v>
      </c>
      <c r="U12">
        <v>36</v>
      </c>
      <c r="V12" t="str">
        <v>Virginia</v>
      </c>
      <c r="W12" t="str">
        <v>Florida</v>
      </c>
      <c r="X12" t="str">
        <v>Texas</v>
      </c>
      <c r="Y12" t="str">
        <v>New York</v>
      </c>
      <c r="Z12" t="str">
        <v>California</v>
      </c>
      <c r="AA12">
        <v>11</v>
      </c>
      <c r="AB12" t="s">
        <v>89</v>
      </c>
    </row>
    <row r="13" spans="1:28">
      <c r="A13">
        <v>13</v>
      </c>
      <c r="B13" t="str">
        <f>IF(A13 &gt;= Assumptions!$C$3, "Virginia", IF(A13 &gt;= Assumptions!$C$4, "Florida", IF(A13 &gt;= Assumptions!$C$5, "Texas", IF(A13 &gt;= Assumptions!$C$6, "New York", IF(A13 &gt;= Assumptions!$C$7, "California", "")))))</f>
        <v>Virginia</v>
      </c>
      <c r="F13">
        <v>12</v>
      </c>
      <c r="G13" t="str">
        <f t="shared" si="0"/>
        <v>Virginia</v>
      </c>
      <c r="H13">
        <v>24</v>
      </c>
      <c r="I13" t="str">
        <f t="shared" si="1"/>
        <v>Florida</v>
      </c>
      <c r="J13">
        <v>24</v>
      </c>
      <c r="K13" t="str">
        <f t="shared" si="2"/>
        <v>Texas</v>
      </c>
      <c r="L13">
        <v>36</v>
      </c>
      <c r="M13" t="str">
        <f t="shared" si="3"/>
        <v>New York</v>
      </c>
      <c r="N13">
        <v>36</v>
      </c>
      <c r="O13" t="str">
        <f t="shared" si="4"/>
        <v>California</v>
      </c>
      <c r="Q13">
        <v>13</v>
      </c>
      <c r="R13">
        <v>25</v>
      </c>
      <c r="S13">
        <v>25</v>
      </c>
      <c r="T13">
        <v>37</v>
      </c>
      <c r="U13">
        <v>37</v>
      </c>
      <c r="V13" t="str">
        <v>Virginia</v>
      </c>
      <c r="W13" t="str">
        <v>Florida</v>
      </c>
      <c r="X13" t="str">
        <v>Texas</v>
      </c>
      <c r="Y13" t="str">
        <v>New York</v>
      </c>
      <c r="Z13" t="str">
        <v>California</v>
      </c>
      <c r="AA13">
        <v>12</v>
      </c>
      <c r="AB13" t="s">
        <v>89</v>
      </c>
    </row>
    <row r="14" spans="1:28">
      <c r="A14">
        <v>14</v>
      </c>
      <c r="B14" t="str">
        <f>IF(A14 &gt;= Assumptions!$C$3, "Virginia", IF(A14 &gt;= Assumptions!$C$4, "Florida", IF(A14 &gt;= Assumptions!$C$5, "Texas", IF(A14 &gt;= Assumptions!$C$6, "New York", IF(A14 &gt;= Assumptions!$C$7, "California", "")))))</f>
        <v>Virginia</v>
      </c>
      <c r="F14">
        <v>13</v>
      </c>
      <c r="G14" t="str">
        <f t="shared" si="0"/>
        <v>Virginia</v>
      </c>
      <c r="H14">
        <v>25</v>
      </c>
      <c r="I14" t="str">
        <f t="shared" si="1"/>
        <v>Florida</v>
      </c>
      <c r="J14">
        <v>25</v>
      </c>
      <c r="K14" t="str">
        <f t="shared" si="2"/>
        <v>Texas</v>
      </c>
      <c r="L14">
        <v>37</v>
      </c>
      <c r="M14" t="str">
        <f t="shared" si="3"/>
        <v>New York</v>
      </c>
      <c r="N14">
        <v>37</v>
      </c>
      <c r="O14" t="str">
        <f t="shared" si="4"/>
        <v>California</v>
      </c>
      <c r="Q14">
        <v>14</v>
      </c>
      <c r="R14">
        <v>26</v>
      </c>
      <c r="S14">
        <v>26</v>
      </c>
      <c r="T14">
        <v>38</v>
      </c>
      <c r="U14">
        <v>38</v>
      </c>
      <c r="V14" t="str">
        <v>Virginia</v>
      </c>
      <c r="W14" t="str">
        <v>Florida</v>
      </c>
      <c r="X14" t="str">
        <v>Texas</v>
      </c>
      <c r="Y14" t="str">
        <v>New York</v>
      </c>
      <c r="Z14" t="str">
        <v>California</v>
      </c>
      <c r="AA14">
        <v>13</v>
      </c>
      <c r="AB14" t="s">
        <v>90</v>
      </c>
    </row>
    <row r="15" spans="1:28">
      <c r="A15">
        <v>15</v>
      </c>
      <c r="B15" t="str">
        <f>IF(A15 &gt;= Assumptions!$C$3, "Virginia", IF(A15 &gt;= Assumptions!$C$4, "Florida", IF(A15 &gt;= Assumptions!$C$5, "Texas", IF(A15 &gt;= Assumptions!$C$6, "New York", IF(A15 &gt;= Assumptions!$C$7, "California", "")))))</f>
        <v>Virginia</v>
      </c>
      <c r="F15">
        <v>14</v>
      </c>
      <c r="G15" t="str">
        <f t="shared" si="0"/>
        <v>Virginia</v>
      </c>
      <c r="H15">
        <v>26</v>
      </c>
      <c r="I15" t="str">
        <f t="shared" si="1"/>
        <v>Florida</v>
      </c>
      <c r="J15">
        <v>26</v>
      </c>
      <c r="K15" t="str">
        <f t="shared" si="2"/>
        <v>Texas</v>
      </c>
      <c r="L15">
        <v>38</v>
      </c>
      <c r="M15" t="str">
        <f t="shared" si="3"/>
        <v>New York</v>
      </c>
      <c r="N15">
        <v>38</v>
      </c>
      <c r="O15" t="str">
        <f t="shared" si="4"/>
        <v>California</v>
      </c>
      <c r="Q15">
        <v>15</v>
      </c>
      <c r="R15">
        <v>27</v>
      </c>
      <c r="S15">
        <v>27</v>
      </c>
      <c r="T15">
        <v>39</v>
      </c>
      <c r="U15">
        <v>39</v>
      </c>
      <c r="V15" t="str">
        <v>Virginia</v>
      </c>
      <c r="W15" t="str">
        <v>Florida</v>
      </c>
      <c r="X15" t="str">
        <v>Texas</v>
      </c>
      <c r="Y15" t="str">
        <v>New York</v>
      </c>
      <c r="Z15" t="str">
        <v>California</v>
      </c>
      <c r="AA15">
        <v>13</v>
      </c>
      <c r="AB15" t="s">
        <v>91</v>
      </c>
    </row>
    <row r="16" spans="1:28">
      <c r="A16">
        <v>16</v>
      </c>
      <c r="B16" t="str">
        <f>IF(A16 &gt;= Assumptions!$C$3, "Virginia", IF(A16 &gt;= Assumptions!$C$4, "Florida", IF(A16 &gt;= Assumptions!$C$5, "Texas", IF(A16 &gt;= Assumptions!$C$6, "New York", IF(A16 &gt;= Assumptions!$C$7, "California", "")))))</f>
        <v>Virginia</v>
      </c>
      <c r="F16">
        <v>15</v>
      </c>
      <c r="G16" t="str">
        <f t="shared" si="0"/>
        <v>Virginia</v>
      </c>
      <c r="H16">
        <v>27</v>
      </c>
      <c r="I16" t="str">
        <f t="shared" si="1"/>
        <v>Florida</v>
      </c>
      <c r="J16">
        <v>27</v>
      </c>
      <c r="K16" t="str">
        <f t="shared" si="2"/>
        <v>Texas</v>
      </c>
      <c r="L16">
        <v>39</v>
      </c>
      <c r="M16" t="str">
        <f t="shared" si="3"/>
        <v>New York</v>
      </c>
      <c r="N16">
        <v>39</v>
      </c>
      <c r="O16" t="str">
        <f t="shared" si="4"/>
        <v>California</v>
      </c>
      <c r="Q16">
        <v>16</v>
      </c>
      <c r="R16">
        <v>28</v>
      </c>
      <c r="S16">
        <v>28</v>
      </c>
      <c r="T16">
        <v>40</v>
      </c>
      <c r="U16">
        <v>40</v>
      </c>
      <c r="V16" t="str">
        <v>Virginia</v>
      </c>
      <c r="W16" t="str">
        <v>Florida</v>
      </c>
      <c r="X16" t="str">
        <v>Texas</v>
      </c>
      <c r="Y16" t="str">
        <v>New York</v>
      </c>
      <c r="Z16" t="str">
        <v>California</v>
      </c>
      <c r="AA16">
        <v>13</v>
      </c>
      <c r="AB16" t="s">
        <v>89</v>
      </c>
    </row>
    <row r="17" spans="1:29">
      <c r="A17">
        <v>17</v>
      </c>
      <c r="B17" t="str">
        <f>IF(A17 &gt;= Assumptions!$C$3, "Virginia", IF(A17 &gt;= Assumptions!$C$4, "Florida", IF(A17 &gt;= Assumptions!$C$5, "Texas", IF(A17 &gt;= Assumptions!$C$6, "New York", IF(A17 &gt;= Assumptions!$C$7, "California", "")))))</f>
        <v>Virginia</v>
      </c>
      <c r="F17">
        <v>16</v>
      </c>
      <c r="G17" t="str">
        <f t="shared" si="0"/>
        <v>Virginia</v>
      </c>
      <c r="H17">
        <v>28</v>
      </c>
      <c r="I17" t="str">
        <f t="shared" si="1"/>
        <v>Florida</v>
      </c>
      <c r="J17">
        <v>28</v>
      </c>
      <c r="K17" t="str">
        <f t="shared" si="2"/>
        <v>Texas</v>
      </c>
      <c r="L17">
        <v>40</v>
      </c>
      <c r="M17" t="str">
        <f t="shared" si="3"/>
        <v>New York</v>
      </c>
      <c r="N17">
        <v>40</v>
      </c>
      <c r="O17" t="str">
        <f t="shared" si="4"/>
        <v>California</v>
      </c>
      <c r="Q17">
        <v>17</v>
      </c>
      <c r="R17">
        <v>29</v>
      </c>
      <c r="S17">
        <v>29</v>
      </c>
      <c r="T17">
        <v>41</v>
      </c>
      <c r="U17">
        <v>41</v>
      </c>
      <c r="V17" t="str">
        <v>Virginia</v>
      </c>
      <c r="W17" t="str">
        <v>Florida</v>
      </c>
      <c r="X17" t="str">
        <v>Texas</v>
      </c>
      <c r="Y17" t="str">
        <v>New York</v>
      </c>
      <c r="Z17" t="str">
        <v>California</v>
      </c>
      <c r="AA17">
        <v>14</v>
      </c>
      <c r="AB17" t="s">
        <v>90</v>
      </c>
    </row>
    <row r="18" spans="1:29">
      <c r="A18">
        <v>18</v>
      </c>
      <c r="B18" t="str">
        <f>IF(A18 &gt;= Assumptions!$C$3, "Virginia", IF(A18 &gt;= Assumptions!$C$4, "Florida", IF(A18 &gt;= Assumptions!$C$5, "Texas", IF(A18 &gt;= Assumptions!$C$6, "New York", IF(A18 &gt;= Assumptions!$C$7, "California", "")))))</f>
        <v>Virginia</v>
      </c>
      <c r="F18">
        <v>17</v>
      </c>
      <c r="G18" t="str">
        <f t="shared" si="0"/>
        <v>Virginia</v>
      </c>
      <c r="H18">
        <v>29</v>
      </c>
      <c r="I18" t="str">
        <f t="shared" si="1"/>
        <v>Florida</v>
      </c>
      <c r="J18">
        <v>29</v>
      </c>
      <c r="K18" t="str">
        <f t="shared" si="2"/>
        <v>Texas</v>
      </c>
      <c r="L18">
        <v>41</v>
      </c>
      <c r="M18" t="str">
        <f t="shared" si="3"/>
        <v>New York</v>
      </c>
      <c r="N18">
        <v>41</v>
      </c>
      <c r="O18" t="str">
        <f t="shared" si="4"/>
        <v>California</v>
      </c>
      <c r="Q18">
        <v>18</v>
      </c>
      <c r="R18">
        <v>30</v>
      </c>
      <c r="S18">
        <v>30</v>
      </c>
      <c r="T18">
        <v>42</v>
      </c>
      <c r="U18">
        <v>42</v>
      </c>
      <c r="V18" t="str">
        <v>Virginia</v>
      </c>
      <c r="W18" t="str">
        <v>Florida</v>
      </c>
      <c r="X18" t="str">
        <v>Texas</v>
      </c>
      <c r="Y18" t="str">
        <v>New York</v>
      </c>
      <c r="Z18" t="str">
        <v>California</v>
      </c>
      <c r="AA18">
        <v>14</v>
      </c>
      <c r="AB18" t="s">
        <v>91</v>
      </c>
    </row>
    <row r="19" spans="1:29">
      <c r="A19">
        <v>19</v>
      </c>
      <c r="B19" t="str">
        <f>IF(A19 &gt;= Assumptions!$C$3, "Virginia", IF(A19 &gt;= Assumptions!$C$4, "Florida", IF(A19 &gt;= Assumptions!$C$5, "Texas", IF(A19 &gt;= Assumptions!$C$6, "New York", IF(A19 &gt;= Assumptions!$C$7, "California", "")))))</f>
        <v>Virginia</v>
      </c>
      <c r="F19">
        <v>18</v>
      </c>
      <c r="G19" t="str">
        <f t="shared" si="0"/>
        <v>Virginia</v>
      </c>
      <c r="H19">
        <v>30</v>
      </c>
      <c r="I19" t="str">
        <f t="shared" si="1"/>
        <v>Florida</v>
      </c>
      <c r="J19">
        <v>30</v>
      </c>
      <c r="K19" t="str">
        <f t="shared" si="2"/>
        <v>Texas</v>
      </c>
      <c r="L19">
        <v>42</v>
      </c>
      <c r="M19" t="str">
        <f t="shared" si="3"/>
        <v>New York</v>
      </c>
      <c r="N19">
        <v>42</v>
      </c>
      <c r="O19" t="str">
        <f t="shared" si="4"/>
        <v>California</v>
      </c>
      <c r="Q19">
        <v>19</v>
      </c>
      <c r="R19">
        <v>31</v>
      </c>
      <c r="S19">
        <v>31</v>
      </c>
      <c r="T19">
        <v>43</v>
      </c>
      <c r="U19">
        <v>43</v>
      </c>
      <c r="V19" t="str">
        <v>Virginia</v>
      </c>
      <c r="W19" t="str">
        <v>Florida</v>
      </c>
      <c r="X19" t="str">
        <v>Texas</v>
      </c>
      <c r="Y19" t="str">
        <v>New York</v>
      </c>
      <c r="Z19" t="str">
        <v>California</v>
      </c>
      <c r="AA19">
        <v>14</v>
      </c>
      <c r="AB19" t="s">
        <v>89</v>
      </c>
      <c r="AC19" t="s">
        <v>95</v>
      </c>
    </row>
    <row r="20" spans="1:29">
      <c r="A20">
        <v>20</v>
      </c>
      <c r="B20" t="str">
        <f>IF(A20 &gt;= Assumptions!$C$3, "Virginia", IF(A20 &gt;= Assumptions!$C$4, "Florida", IF(A20 &gt;= Assumptions!$C$5, "Texas", IF(A20 &gt;= Assumptions!$C$6, "New York", IF(A20 &gt;= Assumptions!$C$7, "California", "")))))</f>
        <v>Virginia</v>
      </c>
      <c r="F20">
        <v>19</v>
      </c>
      <c r="G20" t="str">
        <f t="shared" si="0"/>
        <v>Virginia</v>
      </c>
      <c r="H20">
        <v>31</v>
      </c>
      <c r="I20" t="str">
        <f t="shared" si="1"/>
        <v>Florida</v>
      </c>
      <c r="J20">
        <v>31</v>
      </c>
      <c r="K20" t="str">
        <f t="shared" si="2"/>
        <v>Texas</v>
      </c>
      <c r="L20">
        <v>43</v>
      </c>
      <c r="M20" t="str">
        <f t="shared" si="3"/>
        <v>New York</v>
      </c>
      <c r="N20">
        <v>43</v>
      </c>
      <c r="O20" t="str">
        <f t="shared" si="4"/>
        <v>California</v>
      </c>
      <c r="Q20">
        <v>20</v>
      </c>
      <c r="R20">
        <v>32</v>
      </c>
      <c r="S20">
        <v>32</v>
      </c>
      <c r="T20">
        <v>44</v>
      </c>
      <c r="U20">
        <v>44</v>
      </c>
      <c r="V20" t="str">
        <v>Virginia</v>
      </c>
      <c r="W20" t="str">
        <v>Florida</v>
      </c>
      <c r="X20" t="str">
        <v>Texas</v>
      </c>
      <c r="Y20" t="str">
        <v>New York</v>
      </c>
      <c r="Z20" t="str">
        <v>California</v>
      </c>
      <c r="AA20">
        <v>15</v>
      </c>
      <c r="AB20" t="s">
        <v>90</v>
      </c>
    </row>
    <row r="21" spans="1:29">
      <c r="A21">
        <v>21</v>
      </c>
      <c r="B21" t="str">
        <f>IF(A21 &gt;= Assumptions!$C$3, "Virginia", IF(A21 &gt;= Assumptions!$C$4, "Florida", IF(A21 &gt;= Assumptions!$C$5, "Texas", IF(A21 &gt;= Assumptions!$C$6, "New York", IF(A21 &gt;= Assumptions!$C$7, "California", "")))))</f>
        <v>Virginia</v>
      </c>
      <c r="F21">
        <v>20</v>
      </c>
      <c r="G21" t="str">
        <f t="shared" si="0"/>
        <v>Virginia</v>
      </c>
      <c r="H21">
        <v>32</v>
      </c>
      <c r="I21" t="str">
        <f t="shared" si="1"/>
        <v>Florida</v>
      </c>
      <c r="J21">
        <v>32</v>
      </c>
      <c r="K21" t="str">
        <f t="shared" si="2"/>
        <v>Texas</v>
      </c>
      <c r="L21">
        <v>44</v>
      </c>
      <c r="M21" t="str">
        <f t="shared" si="3"/>
        <v>New York</v>
      </c>
      <c r="N21">
        <v>44</v>
      </c>
      <c r="O21" t="str">
        <f t="shared" si="4"/>
        <v>California</v>
      </c>
      <c r="Q21">
        <v>21</v>
      </c>
      <c r="R21">
        <v>33</v>
      </c>
      <c r="S21">
        <v>33</v>
      </c>
      <c r="T21">
        <v>45</v>
      </c>
      <c r="U21">
        <v>45</v>
      </c>
      <c r="V21" t="str">
        <v>Virginia</v>
      </c>
      <c r="W21" t="str">
        <v>Florida</v>
      </c>
      <c r="X21" t="str">
        <v>Texas</v>
      </c>
      <c r="Y21" t="str">
        <v>New York</v>
      </c>
      <c r="Z21" t="str">
        <v>California</v>
      </c>
      <c r="AA21">
        <v>15</v>
      </c>
      <c r="AB21" t="s">
        <v>91</v>
      </c>
    </row>
    <row r="22" spans="1:29">
      <c r="A22">
        <v>22</v>
      </c>
      <c r="B22" t="str">
        <f>IF(A22 &gt;= Assumptions!$C$3, "Virginia", IF(A22 &gt;= Assumptions!$C$4, "Florida", IF(A22 &gt;= Assumptions!$C$5, "Texas", IF(A22 &gt;= Assumptions!$C$6, "New York", IF(A22 &gt;= Assumptions!$C$7, "California", "")))))</f>
        <v>Virginia</v>
      </c>
      <c r="F22">
        <v>21</v>
      </c>
      <c r="G22" t="str">
        <f t="shared" si="0"/>
        <v>Virginia</v>
      </c>
      <c r="H22">
        <v>33</v>
      </c>
      <c r="I22" t="str">
        <f t="shared" si="1"/>
        <v>Florida</v>
      </c>
      <c r="J22">
        <v>33</v>
      </c>
      <c r="K22" t="str">
        <f t="shared" si="2"/>
        <v>Texas</v>
      </c>
      <c r="L22">
        <v>45</v>
      </c>
      <c r="M22" t="str">
        <f t="shared" si="3"/>
        <v>New York</v>
      </c>
      <c r="N22">
        <v>45</v>
      </c>
      <c r="O22" t="str">
        <f t="shared" si="4"/>
        <v>California</v>
      </c>
      <c r="Q22">
        <v>22</v>
      </c>
      <c r="R22">
        <v>34</v>
      </c>
      <c r="S22">
        <v>34</v>
      </c>
      <c r="T22">
        <v>46</v>
      </c>
      <c r="U22">
        <v>46</v>
      </c>
      <c r="V22" t="str">
        <v>Virginia</v>
      </c>
      <c r="W22" t="str">
        <v>Florida</v>
      </c>
      <c r="X22" t="str">
        <v>Texas</v>
      </c>
      <c r="Y22" t="str">
        <v>New York</v>
      </c>
      <c r="Z22" t="str">
        <v>California</v>
      </c>
      <c r="AA22">
        <v>15</v>
      </c>
      <c r="AB22" t="s">
        <v>89</v>
      </c>
    </row>
    <row r="23" spans="1:29">
      <c r="A23">
        <v>23</v>
      </c>
      <c r="B23" t="str">
        <f>IF(A23 &gt;= Assumptions!$C$3, "Virginia", IF(A23 &gt;= Assumptions!$C$4, "Florida", IF(A23 &gt;= Assumptions!$C$5, "Texas", IF(A23 &gt;= Assumptions!$C$6, "New York", IF(A23 &gt;= Assumptions!$C$7, "California", "")))))</f>
        <v>Virginia</v>
      </c>
      <c r="F23">
        <v>22</v>
      </c>
      <c r="G23" t="str">
        <f t="shared" si="0"/>
        <v>Virginia</v>
      </c>
      <c r="H23">
        <v>34</v>
      </c>
      <c r="I23" t="str">
        <f t="shared" si="1"/>
        <v>Florida</v>
      </c>
      <c r="J23">
        <v>34</v>
      </c>
      <c r="K23" t="str">
        <f t="shared" si="2"/>
        <v>Texas</v>
      </c>
      <c r="L23">
        <v>46</v>
      </c>
      <c r="M23" t="str">
        <f t="shared" si="3"/>
        <v>New York</v>
      </c>
      <c r="N23">
        <v>46</v>
      </c>
      <c r="O23" t="str">
        <f t="shared" si="4"/>
        <v>California</v>
      </c>
      <c r="Q23">
        <v>23</v>
      </c>
      <c r="R23">
        <v>35</v>
      </c>
      <c r="S23">
        <v>35</v>
      </c>
      <c r="T23">
        <v>47</v>
      </c>
      <c r="U23">
        <v>47</v>
      </c>
      <c r="V23" t="str">
        <v>Virginia</v>
      </c>
      <c r="W23" t="str">
        <v>Florida</v>
      </c>
      <c r="X23" t="str">
        <v>Texas</v>
      </c>
      <c r="Y23" t="str">
        <v>New York</v>
      </c>
      <c r="Z23" t="str">
        <v>California</v>
      </c>
      <c r="AA23">
        <v>16</v>
      </c>
      <c r="AB23" t="s">
        <v>90</v>
      </c>
    </row>
    <row r="24" spans="1:29">
      <c r="A24">
        <v>24</v>
      </c>
      <c r="B24" t="str">
        <f>IF(A24 &gt;= Assumptions!$C$3, "Virginia", IF(A24 &gt;= Assumptions!$C$4, "Florida", IF(A24 &gt;= Assumptions!$C$5, "Texas", IF(A24 &gt;= Assumptions!$C$6, "New York", IF(A24 &gt;= Assumptions!$C$7, "California", "")))))</f>
        <v>Virginia</v>
      </c>
      <c r="F24">
        <v>23</v>
      </c>
      <c r="G24" t="str">
        <f t="shared" si="0"/>
        <v>Virginia</v>
      </c>
      <c r="H24">
        <v>35</v>
      </c>
      <c r="I24" t="str">
        <f t="shared" si="1"/>
        <v>Florida</v>
      </c>
      <c r="J24">
        <v>35</v>
      </c>
      <c r="K24" t="str">
        <f t="shared" si="2"/>
        <v>Texas</v>
      </c>
      <c r="L24">
        <v>47</v>
      </c>
      <c r="M24" t="str">
        <f t="shared" si="3"/>
        <v>New York</v>
      </c>
      <c r="N24">
        <v>47</v>
      </c>
      <c r="O24" t="str">
        <f t="shared" si="4"/>
        <v>California</v>
      </c>
      <c r="Q24">
        <v>24</v>
      </c>
      <c r="R24">
        <v>36</v>
      </c>
      <c r="S24">
        <v>36</v>
      </c>
      <c r="T24">
        <v>48</v>
      </c>
      <c r="U24">
        <v>48</v>
      </c>
      <c r="V24" t="str">
        <v>Virginia</v>
      </c>
      <c r="W24" t="str">
        <v>Florida</v>
      </c>
      <c r="X24" t="str">
        <v>Texas</v>
      </c>
      <c r="Y24" t="str">
        <v>New York</v>
      </c>
      <c r="Z24" t="str">
        <v>California</v>
      </c>
      <c r="AA24">
        <v>16</v>
      </c>
      <c r="AB24" t="s">
        <v>91</v>
      </c>
    </row>
    <row r="25" spans="1:29">
      <c r="A25">
        <v>25</v>
      </c>
      <c r="B25" t="str">
        <f>IF(A25 &gt;= Assumptions!$C$3, "Virginia", IF(A25 &gt;= Assumptions!$C$4, "Florida", IF(A25 &gt;= Assumptions!$C$5, "Texas", IF(A25 &gt;= Assumptions!$C$6, "New York", IF(A25 &gt;= Assumptions!$C$7, "California", "")))))</f>
        <v>Virginia</v>
      </c>
      <c r="F25">
        <v>24</v>
      </c>
      <c r="G25" t="str">
        <f t="shared" si="0"/>
        <v>Virginia</v>
      </c>
      <c r="H25">
        <v>36</v>
      </c>
      <c r="I25" t="str">
        <f t="shared" si="1"/>
        <v>Florida</v>
      </c>
      <c r="J25">
        <v>36</v>
      </c>
      <c r="K25" t="str">
        <f t="shared" si="2"/>
        <v>Texas</v>
      </c>
      <c r="L25">
        <v>48</v>
      </c>
      <c r="M25" t="str">
        <f t="shared" si="3"/>
        <v>New York</v>
      </c>
      <c r="N25">
        <v>48</v>
      </c>
      <c r="O25" t="str">
        <f t="shared" si="4"/>
        <v>California</v>
      </c>
      <c r="Q25">
        <v>25</v>
      </c>
      <c r="R25">
        <v>37</v>
      </c>
      <c r="S25">
        <v>37</v>
      </c>
      <c r="T25">
        <v>49</v>
      </c>
      <c r="U25">
        <v>49</v>
      </c>
      <c r="V25" t="str">
        <v>Virginia</v>
      </c>
      <c r="W25" t="str">
        <v>Florida</v>
      </c>
      <c r="X25" t="str">
        <v>Texas</v>
      </c>
      <c r="Y25" t="str">
        <v>New York</v>
      </c>
      <c r="Z25" t="str">
        <v>California</v>
      </c>
      <c r="AA25">
        <v>16</v>
      </c>
      <c r="AB25" t="s">
        <v>89</v>
      </c>
    </row>
    <row r="26" spans="1:29">
      <c r="A26">
        <v>26</v>
      </c>
      <c r="B26" t="str">
        <f>IF(A26 &gt;= Assumptions!$C$3, "Virginia", IF(A26 &gt;= Assumptions!$C$4, "Florida", IF(A26 &gt;= Assumptions!$C$5, "Texas", IF(A26 &gt;= Assumptions!$C$6, "New York", IF(A26 &gt;= Assumptions!$C$7, "California", "")))))</f>
        <v>Virginia</v>
      </c>
      <c r="F26">
        <v>25</v>
      </c>
      <c r="G26" t="str">
        <f t="shared" si="0"/>
        <v>Virginia</v>
      </c>
      <c r="H26">
        <v>37</v>
      </c>
      <c r="I26" t="str">
        <f t="shared" si="1"/>
        <v>Florida</v>
      </c>
      <c r="J26">
        <v>37</v>
      </c>
      <c r="K26" t="str">
        <f t="shared" si="2"/>
        <v>Texas</v>
      </c>
      <c r="L26">
        <v>49</v>
      </c>
      <c r="M26" t="str">
        <f t="shared" si="3"/>
        <v>New York</v>
      </c>
      <c r="N26">
        <v>49</v>
      </c>
      <c r="O26" t="str">
        <f t="shared" si="4"/>
        <v>California</v>
      </c>
      <c r="Q26">
        <v>26</v>
      </c>
      <c r="R26">
        <v>38</v>
      </c>
      <c r="S26">
        <v>38</v>
      </c>
      <c r="T26">
        <v>50</v>
      </c>
      <c r="U26">
        <v>50</v>
      </c>
      <c r="V26" t="str">
        <v>Virginia</v>
      </c>
      <c r="W26" t="str">
        <v>Florida</v>
      </c>
      <c r="X26" t="str">
        <v>Texas</v>
      </c>
      <c r="Y26" t="str">
        <v>New York</v>
      </c>
      <c r="Z26" t="str">
        <v>California</v>
      </c>
      <c r="AA26">
        <v>17</v>
      </c>
      <c r="AB26" t="s">
        <v>90</v>
      </c>
    </row>
    <row r="27" spans="1:29">
      <c r="A27">
        <v>27</v>
      </c>
      <c r="B27" t="str">
        <f>IF(A27 &gt;= Assumptions!$C$3, "Virginia", IF(A27 &gt;= Assumptions!$C$4, "Florida", IF(A27 &gt;= Assumptions!$C$5, "Texas", IF(A27 &gt;= Assumptions!$C$6, "New York", IF(A27 &gt;= Assumptions!$C$7, "California", "")))))</f>
        <v>Virginia</v>
      </c>
      <c r="F27">
        <v>26</v>
      </c>
      <c r="G27" t="str">
        <f t="shared" si="0"/>
        <v>Virginia</v>
      </c>
      <c r="H27">
        <v>38</v>
      </c>
      <c r="I27" t="str">
        <f t="shared" si="1"/>
        <v>Florida</v>
      </c>
      <c r="J27">
        <v>38</v>
      </c>
      <c r="K27" t="str">
        <f t="shared" si="2"/>
        <v>Texas</v>
      </c>
      <c r="L27">
        <v>50</v>
      </c>
      <c r="M27" t="str">
        <f t="shared" si="3"/>
        <v>New York</v>
      </c>
      <c r="N27">
        <v>50</v>
      </c>
      <c r="O27" t="str">
        <f t="shared" si="4"/>
        <v>California</v>
      </c>
      <c r="Q27">
        <v>27</v>
      </c>
      <c r="R27">
        <v>39</v>
      </c>
      <c r="S27">
        <v>39</v>
      </c>
      <c r="T27">
        <v>51</v>
      </c>
      <c r="U27">
        <v>51</v>
      </c>
      <c r="V27" t="str">
        <v>Virginia</v>
      </c>
      <c r="W27" t="str">
        <v>Florida</v>
      </c>
      <c r="X27" t="str">
        <v>Texas</v>
      </c>
      <c r="Y27" t="str">
        <v>New York</v>
      </c>
      <c r="Z27" t="str">
        <v>California</v>
      </c>
      <c r="AA27">
        <v>17</v>
      </c>
      <c r="AB27" t="s">
        <v>91</v>
      </c>
    </row>
    <row r="28" spans="1:29">
      <c r="A28">
        <v>28</v>
      </c>
      <c r="B28" t="str">
        <f>IF(A28 &gt;= Assumptions!$C$3, "Virginia", IF(A28 &gt;= Assumptions!$C$4, "Florida", IF(A28 &gt;= Assumptions!$C$5, "Texas", IF(A28 &gt;= Assumptions!$C$6, "New York", IF(A28 &gt;= Assumptions!$C$7, "California", "")))))</f>
        <v>Virginia</v>
      </c>
      <c r="F28">
        <v>27</v>
      </c>
      <c r="G28" t="str">
        <f t="shared" si="0"/>
        <v>Virginia</v>
      </c>
      <c r="H28">
        <v>39</v>
      </c>
      <c r="I28" t="str">
        <f t="shared" si="1"/>
        <v>Florida</v>
      </c>
      <c r="J28">
        <v>39</v>
      </c>
      <c r="K28" t="str">
        <f t="shared" si="2"/>
        <v>Texas</v>
      </c>
      <c r="L28">
        <v>51</v>
      </c>
      <c r="M28" t="str">
        <f t="shared" si="3"/>
        <v>New York</v>
      </c>
      <c r="N28">
        <v>51</v>
      </c>
      <c r="O28" t="str">
        <f t="shared" si="4"/>
        <v>California</v>
      </c>
      <c r="Q28">
        <v>28</v>
      </c>
      <c r="R28">
        <v>40</v>
      </c>
      <c r="S28">
        <v>40</v>
      </c>
      <c r="T28">
        <v>52</v>
      </c>
      <c r="U28">
        <v>52</v>
      </c>
      <c r="V28" t="str">
        <v>Virginia</v>
      </c>
      <c r="W28" t="str">
        <v>Florida</v>
      </c>
      <c r="X28" t="str">
        <v>Texas</v>
      </c>
      <c r="Y28" t="str">
        <v>New York</v>
      </c>
      <c r="Z28" t="str">
        <v>California</v>
      </c>
      <c r="AA28">
        <v>17</v>
      </c>
      <c r="AB28" t="s">
        <v>89</v>
      </c>
    </row>
    <row r="29" spans="1:29">
      <c r="A29">
        <v>29</v>
      </c>
      <c r="B29" t="str">
        <f>IF(A29 &gt;= Assumptions!$C$3, "Virginia", IF(A29 &gt;= Assumptions!$C$4, "Florida", IF(A29 &gt;= Assumptions!$C$5, "Texas", IF(A29 &gt;= Assumptions!$C$6, "New York", IF(A29 &gt;= Assumptions!$C$7, "California", "")))))</f>
        <v>Virginia</v>
      </c>
      <c r="F29">
        <v>28</v>
      </c>
      <c r="G29" t="str">
        <f t="shared" si="0"/>
        <v>Virginia</v>
      </c>
      <c r="H29">
        <v>40</v>
      </c>
      <c r="I29" t="str">
        <f t="shared" si="1"/>
        <v>Florida</v>
      </c>
      <c r="J29">
        <v>40</v>
      </c>
      <c r="K29" t="str">
        <f t="shared" si="2"/>
        <v>Texas</v>
      </c>
      <c r="L29">
        <v>52</v>
      </c>
      <c r="M29" t="str">
        <f t="shared" si="3"/>
        <v>New York</v>
      </c>
      <c r="N29">
        <v>52</v>
      </c>
      <c r="O29" t="str">
        <f t="shared" si="4"/>
        <v>California</v>
      </c>
      <c r="Q29">
        <v>29</v>
      </c>
      <c r="R29">
        <v>41</v>
      </c>
      <c r="S29">
        <v>41</v>
      </c>
      <c r="T29">
        <v>53</v>
      </c>
      <c r="U29">
        <v>53</v>
      </c>
      <c r="V29" t="str">
        <v>Virginia</v>
      </c>
      <c r="W29" t="str">
        <v>Florida</v>
      </c>
      <c r="X29" t="str">
        <v>Texas</v>
      </c>
      <c r="Y29" t="str">
        <v>New York</v>
      </c>
      <c r="Z29" t="str">
        <v>California</v>
      </c>
      <c r="AA29">
        <v>18</v>
      </c>
      <c r="AB29" t="s">
        <v>90</v>
      </c>
    </row>
    <row r="30" spans="1:29">
      <c r="A30">
        <v>30</v>
      </c>
      <c r="B30" t="str">
        <f>IF(A30 &gt;= Assumptions!$C$3, "Virginia", IF(A30 &gt;= Assumptions!$C$4, "Florida", IF(A30 &gt;= Assumptions!$C$5, "Texas", IF(A30 &gt;= Assumptions!$C$6, "New York", IF(A30 &gt;= Assumptions!$C$7, "California", "")))))</f>
        <v>Virginia</v>
      </c>
      <c r="F30">
        <v>29</v>
      </c>
      <c r="G30" t="str">
        <f t="shared" si="0"/>
        <v>Virginia</v>
      </c>
      <c r="H30">
        <v>41</v>
      </c>
      <c r="I30" t="str">
        <f t="shared" si="1"/>
        <v>Florida</v>
      </c>
      <c r="J30">
        <v>41</v>
      </c>
      <c r="K30" t="str">
        <f t="shared" si="2"/>
        <v>Texas</v>
      </c>
      <c r="L30">
        <v>53</v>
      </c>
      <c r="M30" t="str">
        <f t="shared" si="3"/>
        <v>New York</v>
      </c>
      <c r="N30">
        <v>53</v>
      </c>
      <c r="O30" t="str">
        <f t="shared" si="4"/>
        <v>California</v>
      </c>
      <c r="Q30">
        <v>30</v>
      </c>
      <c r="R30">
        <v>42</v>
      </c>
      <c r="S30">
        <v>42</v>
      </c>
      <c r="T30">
        <v>54</v>
      </c>
      <c r="U30">
        <v>54</v>
      </c>
      <c r="V30" t="str">
        <v>Virginia</v>
      </c>
      <c r="W30" t="str">
        <v>Florida</v>
      </c>
      <c r="X30" t="str">
        <v>Texas</v>
      </c>
      <c r="Y30" t="str">
        <v>New York</v>
      </c>
      <c r="Z30" t="str">
        <v>California</v>
      </c>
      <c r="AA30">
        <v>18</v>
      </c>
      <c r="AB30" t="s">
        <v>91</v>
      </c>
    </row>
    <row r="31" spans="1:29">
      <c r="A31">
        <v>31</v>
      </c>
      <c r="B31" t="str">
        <f>IF(A31 &gt;= Assumptions!$C$3, "Virginia", IF(A31 &gt;= Assumptions!$C$4, "Florida", IF(A31 &gt;= Assumptions!$C$5, "Texas", IF(A31 &gt;= Assumptions!$C$6, "New York", IF(A31 &gt;= Assumptions!$C$7, "California", "")))))</f>
        <v>Virginia</v>
      </c>
      <c r="F31">
        <v>30</v>
      </c>
      <c r="G31" t="str">
        <f t="shared" si="0"/>
        <v>Virginia</v>
      </c>
      <c r="H31">
        <v>42</v>
      </c>
      <c r="I31" t="str">
        <f t="shared" si="1"/>
        <v>Florida</v>
      </c>
      <c r="J31">
        <v>42</v>
      </c>
      <c r="K31" t="str">
        <f t="shared" si="2"/>
        <v>Texas</v>
      </c>
      <c r="L31">
        <v>54</v>
      </c>
      <c r="M31" t="str">
        <f t="shared" si="3"/>
        <v>New York</v>
      </c>
      <c r="N31">
        <v>54</v>
      </c>
      <c r="O31" t="str">
        <f t="shared" si="4"/>
        <v>California</v>
      </c>
      <c r="Q31">
        <v>31</v>
      </c>
      <c r="R31">
        <v>43</v>
      </c>
      <c r="S31">
        <v>43</v>
      </c>
      <c r="T31">
        <v>55</v>
      </c>
      <c r="U31">
        <v>55</v>
      </c>
      <c r="V31" t="str">
        <v>Virginia</v>
      </c>
      <c r="W31" t="str">
        <v>Florida</v>
      </c>
      <c r="X31" t="str">
        <v>Texas</v>
      </c>
      <c r="Y31" t="str">
        <v>New York</v>
      </c>
      <c r="Z31" t="str">
        <v>California</v>
      </c>
      <c r="AA31">
        <v>18</v>
      </c>
      <c r="AB31" t="s">
        <v>89</v>
      </c>
    </row>
    <row r="32" spans="1:29">
      <c r="A32">
        <v>32</v>
      </c>
      <c r="B32" t="str">
        <f>IF(A32 &gt;= Assumptions!$C$3, "Virginia", IF(A32 &gt;= Assumptions!$C$4, "Florida", IF(A32 &gt;= Assumptions!$C$5, "Texas", IF(A32 &gt;= Assumptions!$C$6, "New York", IF(A32 &gt;= Assumptions!$C$7, "California", "")))))</f>
        <v>Virginia</v>
      </c>
      <c r="F32">
        <v>31</v>
      </c>
      <c r="G32" t="str">
        <f t="shared" si="0"/>
        <v>Virginia</v>
      </c>
      <c r="H32">
        <v>43</v>
      </c>
      <c r="I32" t="str">
        <f t="shared" si="1"/>
        <v>Florida</v>
      </c>
      <c r="J32">
        <v>43</v>
      </c>
      <c r="K32" t="str">
        <f t="shared" si="2"/>
        <v>Texas</v>
      </c>
      <c r="L32">
        <v>55</v>
      </c>
      <c r="M32" t="str">
        <f t="shared" si="3"/>
        <v>New York</v>
      </c>
      <c r="N32">
        <v>55</v>
      </c>
      <c r="O32" t="str">
        <f t="shared" si="4"/>
        <v>California</v>
      </c>
      <c r="Q32">
        <v>32</v>
      </c>
      <c r="R32">
        <v>44</v>
      </c>
      <c r="S32">
        <v>44</v>
      </c>
      <c r="T32">
        <v>56</v>
      </c>
      <c r="U32">
        <v>56</v>
      </c>
      <c r="V32" t="str">
        <v>Virginia</v>
      </c>
      <c r="W32" t="str">
        <v>Florida</v>
      </c>
      <c r="X32" t="str">
        <v>Texas</v>
      </c>
      <c r="Y32" t="str">
        <v>New York</v>
      </c>
      <c r="Z32" t="str">
        <v>California</v>
      </c>
      <c r="AA32">
        <v>19</v>
      </c>
      <c r="AB32" t="s">
        <v>90</v>
      </c>
    </row>
    <row r="33" spans="1:28">
      <c r="A33">
        <v>33</v>
      </c>
      <c r="B33" t="str">
        <f>IF(A33 &gt;= Assumptions!$C$3, "Virginia", IF(A33 &gt;= Assumptions!$C$4, "Florida", IF(A33 &gt;= Assumptions!$C$5, "Texas", IF(A33 &gt;= Assumptions!$C$6, "New York", IF(A33 &gt;= Assumptions!$C$7, "California", "")))))</f>
        <v>Virginia</v>
      </c>
      <c r="F33">
        <v>32</v>
      </c>
      <c r="G33" t="str">
        <f t="shared" si="0"/>
        <v>Virginia</v>
      </c>
      <c r="H33">
        <v>44</v>
      </c>
      <c r="I33" t="str">
        <f t="shared" si="1"/>
        <v>Florida</v>
      </c>
      <c r="J33">
        <v>44</v>
      </c>
      <c r="K33" t="str">
        <f t="shared" si="2"/>
        <v>Texas</v>
      </c>
      <c r="L33">
        <v>56</v>
      </c>
      <c r="M33" t="str">
        <f t="shared" si="3"/>
        <v>New York</v>
      </c>
      <c r="N33">
        <v>56</v>
      </c>
      <c r="O33" t="str">
        <f t="shared" si="4"/>
        <v>California</v>
      </c>
      <c r="Q33">
        <v>33</v>
      </c>
      <c r="R33">
        <v>45</v>
      </c>
      <c r="S33">
        <v>45</v>
      </c>
      <c r="T33">
        <v>57</v>
      </c>
      <c r="U33">
        <v>57</v>
      </c>
      <c r="V33" t="str">
        <v>Virginia</v>
      </c>
      <c r="W33" t="str">
        <v>Florida</v>
      </c>
      <c r="X33" t="str">
        <v>Texas</v>
      </c>
      <c r="Y33" t="str">
        <v>New York</v>
      </c>
      <c r="Z33" t="str">
        <v>California</v>
      </c>
      <c r="AA33">
        <v>19</v>
      </c>
      <c r="AB33" t="s">
        <v>91</v>
      </c>
    </row>
    <row r="34" spans="1:28">
      <c r="A34">
        <v>34</v>
      </c>
      <c r="B34" t="str">
        <f>IF(A34 &gt;= Assumptions!$C$3, "Virginia", IF(A34 &gt;= Assumptions!$C$4, "Florida", IF(A34 &gt;= Assumptions!$C$5, "Texas", IF(A34 &gt;= Assumptions!$C$6, "New York", IF(A34 &gt;= Assumptions!$C$7, "California", "")))))</f>
        <v>Virginia</v>
      </c>
      <c r="F34">
        <v>33</v>
      </c>
      <c r="G34" t="str">
        <f t="shared" si="0"/>
        <v>Virginia</v>
      </c>
      <c r="H34">
        <v>45</v>
      </c>
      <c r="I34" t="str">
        <f t="shared" si="1"/>
        <v>Florida</v>
      </c>
      <c r="J34">
        <v>45</v>
      </c>
      <c r="K34" t="str">
        <f t="shared" si="2"/>
        <v>Texas</v>
      </c>
      <c r="L34">
        <v>57</v>
      </c>
      <c r="M34" t="str">
        <f t="shared" si="3"/>
        <v>New York</v>
      </c>
      <c r="N34">
        <v>57</v>
      </c>
      <c r="O34" t="str">
        <f t="shared" si="4"/>
        <v>California</v>
      </c>
      <c r="Q34">
        <v>34</v>
      </c>
      <c r="R34">
        <v>46</v>
      </c>
      <c r="S34">
        <v>46</v>
      </c>
      <c r="T34">
        <v>58</v>
      </c>
      <c r="U34">
        <v>58</v>
      </c>
      <c r="V34" t="str">
        <v>Virginia</v>
      </c>
      <c r="W34" t="str">
        <v>Florida</v>
      </c>
      <c r="X34" t="str">
        <v>Texas</v>
      </c>
      <c r="Y34" t="str">
        <v>New York</v>
      </c>
      <c r="Z34" t="str">
        <v>California</v>
      </c>
      <c r="AA34">
        <v>19</v>
      </c>
      <c r="AB34" t="s">
        <v>89</v>
      </c>
    </row>
    <row r="35" spans="1:28">
      <c r="A35">
        <v>35</v>
      </c>
      <c r="B35" t="str">
        <f>IF(A35 &gt;= Assumptions!$C$3, "Virginia", IF(A35 &gt;= Assumptions!$C$4, "Florida", IF(A35 &gt;= Assumptions!$C$5, "Texas", IF(A35 &gt;= Assumptions!$C$6, "New York", IF(A35 &gt;= Assumptions!$C$7, "California", "")))))</f>
        <v>Virginia</v>
      </c>
      <c r="F35">
        <v>34</v>
      </c>
      <c r="G35" t="str">
        <f t="shared" si="0"/>
        <v>Virginia</v>
      </c>
      <c r="H35">
        <v>46</v>
      </c>
      <c r="I35" t="str">
        <f t="shared" si="1"/>
        <v>Florida</v>
      </c>
      <c r="J35">
        <v>46</v>
      </c>
      <c r="K35" t="str">
        <f t="shared" si="2"/>
        <v>Texas</v>
      </c>
      <c r="L35">
        <v>58</v>
      </c>
      <c r="M35" t="str">
        <f t="shared" si="3"/>
        <v>New York</v>
      </c>
      <c r="N35">
        <v>58</v>
      </c>
      <c r="O35" t="str">
        <f t="shared" si="4"/>
        <v>California</v>
      </c>
      <c r="Q35">
        <v>35</v>
      </c>
      <c r="R35">
        <v>47</v>
      </c>
      <c r="S35">
        <v>47</v>
      </c>
      <c r="T35">
        <v>59</v>
      </c>
      <c r="U35">
        <v>59</v>
      </c>
      <c r="V35" t="str">
        <v>Virginia</v>
      </c>
      <c r="W35" t="str">
        <v>Florida</v>
      </c>
      <c r="X35" t="str">
        <v>Texas</v>
      </c>
      <c r="Y35" t="str">
        <v>New York</v>
      </c>
      <c r="Z35" t="str">
        <v>California</v>
      </c>
      <c r="AA35">
        <v>20</v>
      </c>
      <c r="AB35" t="s">
        <v>90</v>
      </c>
    </row>
    <row r="36" spans="1:28">
      <c r="A36">
        <v>36</v>
      </c>
      <c r="B36" t="str">
        <f>IF(A36 &gt;= Assumptions!$C$3, "Virginia", IF(A36 &gt;= Assumptions!$C$4, "Florida", IF(A36 &gt;= Assumptions!$C$5, "Texas", IF(A36 &gt;= Assumptions!$C$6, "New York", IF(A36 &gt;= Assumptions!$C$7, "California", "")))))</f>
        <v>Virginia</v>
      </c>
      <c r="F36">
        <v>35</v>
      </c>
      <c r="G36" t="str">
        <f t="shared" si="0"/>
        <v>Virginia</v>
      </c>
      <c r="H36">
        <v>47</v>
      </c>
      <c r="I36" t="str">
        <f t="shared" si="1"/>
        <v>Florida</v>
      </c>
      <c r="J36">
        <v>47</v>
      </c>
      <c r="K36" t="str">
        <f t="shared" si="2"/>
        <v>Texas</v>
      </c>
      <c r="L36">
        <v>59</v>
      </c>
      <c r="M36" t="str">
        <f t="shared" si="3"/>
        <v>New York</v>
      </c>
      <c r="N36">
        <v>59</v>
      </c>
      <c r="O36" t="str">
        <f t="shared" si="4"/>
        <v>California</v>
      </c>
      <c r="Q36">
        <v>36</v>
      </c>
      <c r="R36">
        <v>48</v>
      </c>
      <c r="S36">
        <v>48</v>
      </c>
      <c r="T36">
        <v>60</v>
      </c>
      <c r="U36">
        <v>60</v>
      </c>
      <c r="V36" t="str">
        <v>Virginia</v>
      </c>
      <c r="W36" t="str">
        <v>Florida</v>
      </c>
      <c r="X36" t="str">
        <v>Texas</v>
      </c>
      <c r="Y36" t="str">
        <v>New York</v>
      </c>
      <c r="Z36" t="str">
        <v>California</v>
      </c>
      <c r="AA36">
        <v>20</v>
      </c>
      <c r="AB36" t="s">
        <v>91</v>
      </c>
    </row>
    <row r="37" spans="1:28">
      <c r="A37">
        <v>37</v>
      </c>
      <c r="B37" t="str">
        <f>IF(A37 &gt;= Assumptions!$C$3, "Virginia", IF(A37 &gt;= Assumptions!$C$4, "Florida", IF(A37 &gt;= Assumptions!$C$5, "Texas", IF(A37 &gt;= Assumptions!$C$6, "New York", IF(A37 &gt;= Assumptions!$C$7, "California", "")))))</f>
        <v>Virginia</v>
      </c>
      <c r="F37">
        <v>36</v>
      </c>
      <c r="G37" t="str">
        <f t="shared" si="0"/>
        <v>Virginia</v>
      </c>
      <c r="H37">
        <v>48</v>
      </c>
      <c r="I37" t="str">
        <f t="shared" si="1"/>
        <v>Florida</v>
      </c>
      <c r="J37">
        <v>48</v>
      </c>
      <c r="K37" t="str">
        <f t="shared" si="2"/>
        <v>Texas</v>
      </c>
      <c r="L37">
        <v>60</v>
      </c>
      <c r="M37" t="str">
        <f t="shared" si="3"/>
        <v>New York</v>
      </c>
      <c r="N37">
        <v>60</v>
      </c>
      <c r="O37" t="str">
        <f t="shared" si="4"/>
        <v>California</v>
      </c>
      <c r="Q37">
        <v>37</v>
      </c>
      <c r="R37">
        <v>49</v>
      </c>
      <c r="S37">
        <v>49</v>
      </c>
      <c r="V37" t="str">
        <v>Virginia</v>
      </c>
      <c r="W37" t="str">
        <v>Florida</v>
      </c>
      <c r="X37" t="str">
        <v>Texas</v>
      </c>
      <c r="AA37">
        <v>20</v>
      </c>
      <c r="AB37" t="s">
        <v>89</v>
      </c>
    </row>
    <row r="38" spans="1:28">
      <c r="A38">
        <v>38</v>
      </c>
      <c r="B38" t="str">
        <f>IF(A38 &gt;= Assumptions!$C$3, "Virginia", IF(A38 &gt;= Assumptions!$C$4, "Florida", IF(A38 &gt;= Assumptions!$C$5, "Texas", IF(A38 &gt;= Assumptions!$C$6, "New York", IF(A38 &gt;= Assumptions!$C$7, "California", "")))))</f>
        <v>Virginia</v>
      </c>
      <c r="F38">
        <v>37</v>
      </c>
      <c r="G38" t="str">
        <f t="shared" si="0"/>
        <v>Virginia</v>
      </c>
      <c r="H38">
        <v>49</v>
      </c>
      <c r="I38" t="str">
        <f t="shared" si="1"/>
        <v>Florida</v>
      </c>
      <c r="J38">
        <v>49</v>
      </c>
      <c r="K38" t="str">
        <f t="shared" si="2"/>
        <v>Texas</v>
      </c>
      <c r="Q38">
        <v>38</v>
      </c>
      <c r="R38">
        <v>50</v>
      </c>
      <c r="S38">
        <v>50</v>
      </c>
      <c r="V38" t="str">
        <v>Virginia</v>
      </c>
      <c r="W38" t="str">
        <v>Florida</v>
      </c>
      <c r="X38" t="str">
        <v>Texas</v>
      </c>
      <c r="AA38">
        <v>21</v>
      </c>
      <c r="AB38" t="s">
        <v>90</v>
      </c>
    </row>
    <row r="39" spans="1:28">
      <c r="A39">
        <v>39</v>
      </c>
      <c r="B39" t="str">
        <f>IF(A39 &gt;= Assumptions!$C$3, "Virginia", IF(A39 &gt;= Assumptions!$C$4, "Florida", IF(A39 &gt;= Assumptions!$C$5, "Texas", IF(A39 &gt;= Assumptions!$C$6, "New York", IF(A39 &gt;= Assumptions!$C$7, "California", "")))))</f>
        <v>Virginia</v>
      </c>
      <c r="F39">
        <v>38</v>
      </c>
      <c r="G39" t="str">
        <f t="shared" si="0"/>
        <v>Virginia</v>
      </c>
      <c r="H39">
        <v>50</v>
      </c>
      <c r="I39" t="str">
        <f t="shared" si="1"/>
        <v>Florida</v>
      </c>
      <c r="J39">
        <v>50</v>
      </c>
      <c r="K39" t="str">
        <f t="shared" si="2"/>
        <v>Texas</v>
      </c>
      <c r="Q39">
        <v>39</v>
      </c>
      <c r="R39">
        <v>51</v>
      </c>
      <c r="S39">
        <v>51</v>
      </c>
      <c r="V39" t="str">
        <v>Virginia</v>
      </c>
      <c r="W39" t="str">
        <v>Florida</v>
      </c>
      <c r="X39" t="str">
        <v>Texas</v>
      </c>
      <c r="AA39">
        <v>21</v>
      </c>
      <c r="AB39" t="s">
        <v>91</v>
      </c>
    </row>
    <row r="40" spans="1:28">
      <c r="A40">
        <v>40</v>
      </c>
      <c r="B40" t="str">
        <f>IF(A40 &gt;= Assumptions!$C$3, "Virginia", IF(A40 &gt;= Assumptions!$C$4, "Florida", IF(A40 &gt;= Assumptions!$C$5, "Texas", IF(A40 &gt;= Assumptions!$C$6, "New York", IF(A40 &gt;= Assumptions!$C$7, "California", "")))))</f>
        <v>Virginia</v>
      </c>
      <c r="F40">
        <v>39</v>
      </c>
      <c r="G40" t="str">
        <f t="shared" si="0"/>
        <v>Virginia</v>
      </c>
      <c r="H40">
        <v>51</v>
      </c>
      <c r="I40" t="str">
        <f t="shared" si="1"/>
        <v>Florida</v>
      </c>
      <c r="J40">
        <v>51</v>
      </c>
      <c r="K40" t="str">
        <f t="shared" si="2"/>
        <v>Texas</v>
      </c>
      <c r="Q40">
        <v>40</v>
      </c>
      <c r="R40">
        <v>52</v>
      </c>
      <c r="S40">
        <v>52</v>
      </c>
      <c r="V40" t="str">
        <v>Virginia</v>
      </c>
      <c r="W40" t="str">
        <v>Florida</v>
      </c>
      <c r="X40" t="str">
        <v>Texas</v>
      </c>
      <c r="AA40">
        <v>21</v>
      </c>
      <c r="AB40" t="s">
        <v>89</v>
      </c>
    </row>
    <row r="41" spans="1:28">
      <c r="A41">
        <v>41</v>
      </c>
      <c r="B41" t="str">
        <f>IF(A41 &gt;= Assumptions!$C$3, "Virginia", IF(A41 &gt;= Assumptions!$C$4, "Florida", IF(A41 &gt;= Assumptions!$C$5, "Texas", IF(A41 &gt;= Assumptions!$C$6, "New York", IF(A41 &gt;= Assumptions!$C$7, "California", "")))))</f>
        <v>Virginia</v>
      </c>
      <c r="F41">
        <v>40</v>
      </c>
      <c r="G41" t="str">
        <f t="shared" si="0"/>
        <v>Virginia</v>
      </c>
      <c r="H41">
        <v>52</v>
      </c>
      <c r="I41" t="str">
        <f t="shared" si="1"/>
        <v>Florida</v>
      </c>
      <c r="J41">
        <v>52</v>
      </c>
      <c r="K41" t="str">
        <f t="shared" si="2"/>
        <v>Texas</v>
      </c>
      <c r="Q41">
        <v>41</v>
      </c>
      <c r="R41">
        <v>53</v>
      </c>
      <c r="S41">
        <v>53</v>
      </c>
      <c r="V41" t="str">
        <v>Virginia</v>
      </c>
      <c r="W41" t="str">
        <v>Florida</v>
      </c>
      <c r="X41" t="str">
        <v>Texas</v>
      </c>
      <c r="AA41">
        <v>22</v>
      </c>
      <c r="AB41" t="s">
        <v>90</v>
      </c>
    </row>
    <row r="42" spans="1:28">
      <c r="A42">
        <v>42</v>
      </c>
      <c r="B42" t="str">
        <f>IF(A42 &gt;= Assumptions!$C$3, "Virginia", IF(A42 &gt;= Assumptions!$C$4, "Florida", IF(A42 &gt;= Assumptions!$C$5, "Texas", IF(A42 &gt;= Assumptions!$C$6, "New York", IF(A42 &gt;= Assumptions!$C$7, "California", "")))))</f>
        <v>Virginia</v>
      </c>
      <c r="F42">
        <v>41</v>
      </c>
      <c r="G42" t="str">
        <f t="shared" si="0"/>
        <v>Virginia</v>
      </c>
      <c r="H42">
        <v>53</v>
      </c>
      <c r="I42" t="str">
        <f t="shared" si="1"/>
        <v>Florida</v>
      </c>
      <c r="J42">
        <v>53</v>
      </c>
      <c r="K42" t="str">
        <f t="shared" si="2"/>
        <v>Texas</v>
      </c>
      <c r="Q42">
        <v>42</v>
      </c>
      <c r="R42">
        <v>54</v>
      </c>
      <c r="S42">
        <v>54</v>
      </c>
      <c r="V42" t="str">
        <v>Virginia</v>
      </c>
      <c r="W42" t="str">
        <v>Florida</v>
      </c>
      <c r="X42" t="str">
        <v>Texas</v>
      </c>
      <c r="AA42">
        <v>22</v>
      </c>
      <c r="AB42" t="s">
        <v>91</v>
      </c>
    </row>
    <row r="43" spans="1:28">
      <c r="A43">
        <v>43</v>
      </c>
      <c r="B43" t="str">
        <f>IF(A43 &gt;= Assumptions!$C$3, "Virginia", IF(A43 &gt;= Assumptions!$C$4, "Florida", IF(A43 &gt;= Assumptions!$C$5, "Texas", IF(A43 &gt;= Assumptions!$C$6, "New York", IF(A43 &gt;= Assumptions!$C$7, "California", "")))))</f>
        <v>Virginia</v>
      </c>
      <c r="F43">
        <v>42</v>
      </c>
      <c r="G43" t="str">
        <f t="shared" si="0"/>
        <v>Virginia</v>
      </c>
      <c r="H43">
        <v>54</v>
      </c>
      <c r="I43" t="str">
        <f t="shared" si="1"/>
        <v>Florida</v>
      </c>
      <c r="J43">
        <v>54</v>
      </c>
      <c r="K43" t="str">
        <f t="shared" si="2"/>
        <v>Texas</v>
      </c>
      <c r="Q43">
        <v>43</v>
      </c>
      <c r="R43">
        <v>55</v>
      </c>
      <c r="S43">
        <v>55</v>
      </c>
      <c r="V43" t="str">
        <v>Virginia</v>
      </c>
      <c r="W43" t="str">
        <v>Florida</v>
      </c>
      <c r="X43" t="str">
        <v>Texas</v>
      </c>
      <c r="AA43">
        <v>22</v>
      </c>
      <c r="AB43" t="s">
        <v>89</v>
      </c>
    </row>
    <row r="44" spans="1:28">
      <c r="A44">
        <v>44</v>
      </c>
      <c r="B44" t="str">
        <f>IF(A44 &gt;= Assumptions!$C$3, "Virginia", IF(A44 &gt;= Assumptions!$C$4, "Florida", IF(A44 &gt;= Assumptions!$C$5, "Texas", IF(A44 &gt;= Assumptions!$C$6, "New York", IF(A44 &gt;= Assumptions!$C$7, "California", "")))))</f>
        <v>Virginia</v>
      </c>
      <c r="F44">
        <v>43</v>
      </c>
      <c r="G44" t="str">
        <f t="shared" si="0"/>
        <v>Virginia</v>
      </c>
      <c r="H44">
        <v>55</v>
      </c>
      <c r="I44" t="str">
        <f t="shared" si="1"/>
        <v>Florida</v>
      </c>
      <c r="J44">
        <v>55</v>
      </c>
      <c r="K44" t="str">
        <f t="shared" si="2"/>
        <v>Texas</v>
      </c>
      <c r="Q44">
        <v>44</v>
      </c>
      <c r="R44">
        <v>56</v>
      </c>
      <c r="S44">
        <v>56</v>
      </c>
      <c r="V44" t="str">
        <v>Virginia</v>
      </c>
      <c r="W44" t="str">
        <v>Florida</v>
      </c>
      <c r="X44" t="str">
        <v>Texas</v>
      </c>
      <c r="AA44">
        <v>23</v>
      </c>
      <c r="AB44" t="s">
        <v>90</v>
      </c>
    </row>
    <row r="45" spans="1:28">
      <c r="A45">
        <v>45</v>
      </c>
      <c r="B45" t="str">
        <f>IF(A45 &gt;= Assumptions!$C$3, "Virginia", IF(A45 &gt;= Assumptions!$C$4, "Florida", IF(A45 &gt;= Assumptions!$C$5, "Texas", IF(A45 &gt;= Assumptions!$C$6, "New York", IF(A45 &gt;= Assumptions!$C$7, "California", "")))))</f>
        <v>Virginia</v>
      </c>
      <c r="F45">
        <v>44</v>
      </c>
      <c r="G45" t="str">
        <f t="shared" si="0"/>
        <v>Virginia</v>
      </c>
      <c r="H45">
        <v>56</v>
      </c>
      <c r="I45" t="str">
        <f t="shared" si="1"/>
        <v>Florida</v>
      </c>
      <c r="J45">
        <v>56</v>
      </c>
      <c r="K45" t="str">
        <f t="shared" si="2"/>
        <v>Texas</v>
      </c>
      <c r="Q45">
        <v>45</v>
      </c>
      <c r="R45">
        <v>57</v>
      </c>
      <c r="S45">
        <v>57</v>
      </c>
      <c r="V45" t="str">
        <v>Virginia</v>
      </c>
      <c r="W45" t="str">
        <v>Florida</v>
      </c>
      <c r="X45" t="str">
        <v>Texas</v>
      </c>
      <c r="AA45">
        <v>23</v>
      </c>
      <c r="AB45" t="s">
        <v>91</v>
      </c>
    </row>
    <row r="46" spans="1:28">
      <c r="A46">
        <v>46</v>
      </c>
      <c r="B46" t="str">
        <f>IF(A46 &gt;= Assumptions!$C$3, "Virginia", IF(A46 &gt;= Assumptions!$C$4, "Florida", IF(A46 &gt;= Assumptions!$C$5, "Texas", IF(A46 &gt;= Assumptions!$C$6, "New York", IF(A46 &gt;= Assumptions!$C$7, "California", "")))))</f>
        <v>Virginia</v>
      </c>
      <c r="F46">
        <v>45</v>
      </c>
      <c r="G46" t="str">
        <f t="shared" si="0"/>
        <v>Virginia</v>
      </c>
      <c r="H46">
        <v>57</v>
      </c>
      <c r="I46" t="str">
        <f t="shared" si="1"/>
        <v>Florida</v>
      </c>
      <c r="J46">
        <v>57</v>
      </c>
      <c r="K46" t="str">
        <f t="shared" si="2"/>
        <v>Texas</v>
      </c>
      <c r="Q46">
        <v>46</v>
      </c>
      <c r="R46">
        <v>58</v>
      </c>
      <c r="S46">
        <v>58</v>
      </c>
      <c r="V46" t="str">
        <v>Virginia</v>
      </c>
      <c r="W46" t="str">
        <v>Florida</v>
      </c>
      <c r="X46" t="str">
        <v>Texas</v>
      </c>
      <c r="AA46">
        <v>23</v>
      </c>
      <c r="AB46" t="s">
        <v>89</v>
      </c>
    </row>
    <row r="47" spans="1:28">
      <c r="A47">
        <v>47</v>
      </c>
      <c r="B47" t="str">
        <f>IF(A47 &gt;= Assumptions!$C$3, "Virginia", IF(A47 &gt;= Assumptions!$C$4, "Florida", IF(A47 &gt;= Assumptions!$C$5, "Texas", IF(A47 &gt;= Assumptions!$C$6, "New York", IF(A47 &gt;= Assumptions!$C$7, "California", "")))))</f>
        <v>Virginia</v>
      </c>
      <c r="F47">
        <v>46</v>
      </c>
      <c r="G47" t="str">
        <f t="shared" si="0"/>
        <v>Virginia</v>
      </c>
      <c r="H47">
        <v>58</v>
      </c>
      <c r="I47" t="str">
        <f t="shared" si="1"/>
        <v>Florida</v>
      </c>
      <c r="J47">
        <v>58</v>
      </c>
      <c r="K47" t="str">
        <f t="shared" si="2"/>
        <v>Texas</v>
      </c>
      <c r="Q47">
        <v>47</v>
      </c>
      <c r="R47">
        <v>59</v>
      </c>
      <c r="S47">
        <v>59</v>
      </c>
      <c r="V47" t="str">
        <v>Virginia</v>
      </c>
      <c r="W47" t="str">
        <v>Florida</v>
      </c>
      <c r="X47" t="str">
        <v>Texas</v>
      </c>
      <c r="AA47">
        <v>24</v>
      </c>
      <c r="AB47" t="s">
        <v>90</v>
      </c>
    </row>
    <row r="48" spans="1:28">
      <c r="A48">
        <v>48</v>
      </c>
      <c r="B48" t="str">
        <f>IF(A48 &gt;= Assumptions!$C$3, "Virginia", IF(A48 &gt;= Assumptions!$C$4, "Florida", IF(A48 &gt;= Assumptions!$C$5, "Texas", IF(A48 &gt;= Assumptions!$C$6, "New York", IF(A48 &gt;= Assumptions!$C$7, "California", "")))))</f>
        <v>Virginia</v>
      </c>
      <c r="F48">
        <v>47</v>
      </c>
      <c r="G48" t="str">
        <f t="shared" si="0"/>
        <v>Virginia</v>
      </c>
      <c r="H48">
        <v>59</v>
      </c>
      <c r="I48" t="str">
        <f t="shared" si="1"/>
        <v>Florida</v>
      </c>
      <c r="J48">
        <v>59</v>
      </c>
      <c r="K48" t="str">
        <f t="shared" si="2"/>
        <v>Texas</v>
      </c>
      <c r="Q48">
        <v>48</v>
      </c>
      <c r="R48">
        <v>60</v>
      </c>
      <c r="S48">
        <v>60</v>
      </c>
      <c r="V48" t="str">
        <v>Virginia</v>
      </c>
      <c r="W48" t="str">
        <v>Florida</v>
      </c>
      <c r="X48" t="str">
        <v>Texas</v>
      </c>
      <c r="AA48">
        <v>24</v>
      </c>
      <c r="AB48" t="s">
        <v>91</v>
      </c>
    </row>
    <row r="49" spans="1:28">
      <c r="A49">
        <v>49</v>
      </c>
      <c r="B49" t="str">
        <f>IF(A49 &gt;= Assumptions!$C$3, "Virginia", IF(A49 &gt;= Assumptions!$C$4, "Florida", IF(A49 &gt;= Assumptions!$C$5, "Texas", IF(A49 &gt;= Assumptions!$C$6, "New York", IF(A49 &gt;= Assumptions!$C$7, "California", "")))))</f>
        <v>Virginia</v>
      </c>
      <c r="F49">
        <v>48</v>
      </c>
      <c r="G49" t="str">
        <f t="shared" si="0"/>
        <v>Virginia</v>
      </c>
      <c r="H49">
        <v>60</v>
      </c>
      <c r="I49" t="str">
        <f t="shared" si="1"/>
        <v>Florida</v>
      </c>
      <c r="J49">
        <v>60</v>
      </c>
      <c r="K49" t="str">
        <f t="shared" si="2"/>
        <v>Texas</v>
      </c>
      <c r="Q49">
        <v>49</v>
      </c>
      <c r="V49" t="str">
        <v>Virginia</v>
      </c>
      <c r="AA49">
        <v>24</v>
      </c>
      <c r="AB49" t="s">
        <v>89</v>
      </c>
    </row>
    <row r="50" spans="1:28">
      <c r="A50">
        <v>50</v>
      </c>
      <c r="B50" t="str">
        <f>IF(A50 &gt;= Assumptions!$C$3, "Virginia", IF(A50 &gt;= Assumptions!$C$4, "Florida", IF(A50 &gt;= Assumptions!$C$5, "Texas", IF(A50 &gt;= Assumptions!$C$6, "New York", IF(A50 &gt;= Assumptions!$C$7, "California", "")))))</f>
        <v>Virginia</v>
      </c>
      <c r="F50">
        <v>49</v>
      </c>
      <c r="G50" t="str">
        <f t="shared" si="0"/>
        <v>Virginia</v>
      </c>
      <c r="Q50">
        <v>50</v>
      </c>
      <c r="V50" t="str">
        <v>Virginia</v>
      </c>
      <c r="AA50">
        <v>25</v>
      </c>
      <c r="AB50" t="s">
        <v>92</v>
      </c>
    </row>
    <row r="51" spans="1:28">
      <c r="A51">
        <v>51</v>
      </c>
      <c r="B51" t="str">
        <f>IF(A51 &gt;= Assumptions!$C$3, "Virginia", IF(A51 &gt;= Assumptions!$C$4, "Florida", IF(A51 &gt;= Assumptions!$C$5, "Texas", IF(A51 &gt;= Assumptions!$C$6, "New York", IF(A51 &gt;= Assumptions!$C$7, "California", "")))))</f>
        <v>Virginia</v>
      </c>
      <c r="F51">
        <v>50</v>
      </c>
      <c r="G51" t="str">
        <f t="shared" si="0"/>
        <v>Virginia</v>
      </c>
      <c r="Q51">
        <v>51</v>
      </c>
      <c r="V51" t="str">
        <v>Virginia</v>
      </c>
      <c r="AA51">
        <v>25</v>
      </c>
      <c r="AB51" t="s">
        <v>93</v>
      </c>
    </row>
    <row r="52" spans="1:28">
      <c r="A52">
        <v>52</v>
      </c>
      <c r="B52" t="str">
        <f>IF(A52 &gt;= Assumptions!$C$3, "Virginia", IF(A52 &gt;= Assumptions!$C$4, "Florida", IF(A52 &gt;= Assumptions!$C$5, "Texas", IF(A52 &gt;= Assumptions!$C$6, "New York", IF(A52 &gt;= Assumptions!$C$7, "California", "")))))</f>
        <v>Virginia</v>
      </c>
      <c r="F52">
        <v>51</v>
      </c>
      <c r="G52" t="str">
        <f t="shared" si="0"/>
        <v>Virginia</v>
      </c>
      <c r="Q52">
        <v>52</v>
      </c>
      <c r="V52" t="str">
        <v>Virginia</v>
      </c>
      <c r="AA52">
        <v>25</v>
      </c>
      <c r="AB52" t="s">
        <v>90</v>
      </c>
    </row>
    <row r="53" spans="1:28">
      <c r="A53">
        <v>53</v>
      </c>
      <c r="B53" t="str">
        <f>IF(A53 &gt;= Assumptions!$C$3, "Virginia", IF(A53 &gt;= Assumptions!$C$4, "Florida", IF(A53 &gt;= Assumptions!$C$5, "Texas", IF(A53 &gt;= Assumptions!$C$6, "New York", IF(A53 &gt;= Assumptions!$C$7, "California", "")))))</f>
        <v>Virginia</v>
      </c>
      <c r="F53">
        <v>52</v>
      </c>
      <c r="G53" t="str">
        <f t="shared" si="0"/>
        <v>Virginia</v>
      </c>
      <c r="Q53">
        <v>53</v>
      </c>
      <c r="V53" t="str">
        <v>Virginia</v>
      </c>
      <c r="AA53">
        <v>25</v>
      </c>
      <c r="AB53" t="s">
        <v>91</v>
      </c>
    </row>
    <row r="54" spans="1:28">
      <c r="A54">
        <v>54</v>
      </c>
      <c r="B54" t="str">
        <f>IF(A54 &gt;= Assumptions!$C$3, "Virginia", IF(A54 &gt;= Assumptions!$C$4, "Florida", IF(A54 &gt;= Assumptions!$C$5, "Texas", IF(A54 &gt;= Assumptions!$C$6, "New York", IF(A54 &gt;= Assumptions!$C$7, "California", "")))))</f>
        <v>Virginia</v>
      </c>
      <c r="F54">
        <v>53</v>
      </c>
      <c r="G54" t="str">
        <f t="shared" si="0"/>
        <v>Virginia</v>
      </c>
      <c r="Q54">
        <v>54</v>
      </c>
      <c r="V54" t="str">
        <v>Virginia</v>
      </c>
      <c r="AA54">
        <v>25</v>
      </c>
      <c r="AB54" t="s">
        <v>89</v>
      </c>
    </row>
    <row r="55" spans="1:28">
      <c r="A55">
        <v>55</v>
      </c>
      <c r="B55" t="str">
        <f>IF(A55 &gt;= Assumptions!$C$3, "Virginia", IF(A55 &gt;= Assumptions!$C$4, "Florida", IF(A55 &gt;= Assumptions!$C$5, "Texas", IF(A55 &gt;= Assumptions!$C$6, "New York", IF(A55 &gt;= Assumptions!$C$7, "California", "")))))</f>
        <v>Virginia</v>
      </c>
      <c r="F55">
        <v>54</v>
      </c>
      <c r="G55" t="str">
        <f t="shared" si="0"/>
        <v>Virginia</v>
      </c>
      <c r="Q55">
        <v>55</v>
      </c>
      <c r="V55" t="str">
        <v>Virginia</v>
      </c>
      <c r="AA55">
        <v>26</v>
      </c>
      <c r="AB55" t="s">
        <v>92</v>
      </c>
    </row>
    <row r="56" spans="1:28">
      <c r="A56">
        <v>56</v>
      </c>
      <c r="B56" t="str">
        <f>IF(A56 &gt;= Assumptions!$C$3, "Virginia", IF(A56 &gt;= Assumptions!$C$4, "Florida", IF(A56 &gt;= Assumptions!$C$5, "Texas", IF(A56 &gt;= Assumptions!$C$6, "New York", IF(A56 &gt;= Assumptions!$C$7, "California", "")))))</f>
        <v>Virginia</v>
      </c>
      <c r="F56">
        <v>55</v>
      </c>
      <c r="G56" t="str">
        <f t="shared" si="0"/>
        <v>Virginia</v>
      </c>
      <c r="Q56">
        <v>56</v>
      </c>
      <c r="V56" t="str">
        <v>Virginia</v>
      </c>
      <c r="AA56">
        <v>26</v>
      </c>
      <c r="AB56" t="s">
        <v>93</v>
      </c>
    </row>
    <row r="57" spans="1:28">
      <c r="A57">
        <v>57</v>
      </c>
      <c r="B57" t="str">
        <f>IF(A57 &gt;= Assumptions!$C$3, "Virginia", IF(A57 &gt;= Assumptions!$C$4, "Florida", IF(A57 &gt;= Assumptions!$C$5, "Texas", IF(A57 &gt;= Assumptions!$C$6, "New York", IF(A57 &gt;= Assumptions!$C$7, "California", "")))))</f>
        <v>Virginia</v>
      </c>
      <c r="F57">
        <v>56</v>
      </c>
      <c r="G57" t="str">
        <f t="shared" si="0"/>
        <v>Virginia</v>
      </c>
      <c r="Q57">
        <v>57</v>
      </c>
      <c r="V57" t="str">
        <v>Virginia</v>
      </c>
      <c r="AA57">
        <v>26</v>
      </c>
      <c r="AB57" t="s">
        <v>90</v>
      </c>
    </row>
    <row r="58" spans="1:28">
      <c r="A58">
        <v>58</v>
      </c>
      <c r="B58" t="str">
        <f>IF(A58 &gt;= Assumptions!$C$3, "Virginia", IF(A58 &gt;= Assumptions!$C$4, "Florida", IF(A58 &gt;= Assumptions!$C$5, "Texas", IF(A58 &gt;= Assumptions!$C$6, "New York", IF(A58 &gt;= Assumptions!$C$7, "California", "")))))</f>
        <v>Virginia</v>
      </c>
      <c r="F58">
        <v>57</v>
      </c>
      <c r="G58" t="str">
        <f t="shared" si="0"/>
        <v>Virginia</v>
      </c>
      <c r="Q58">
        <v>58</v>
      </c>
      <c r="V58" t="str">
        <v>Virginia</v>
      </c>
      <c r="AA58">
        <v>26</v>
      </c>
      <c r="AB58" t="s">
        <v>91</v>
      </c>
    </row>
    <row r="59" spans="1:28">
      <c r="A59">
        <v>59</v>
      </c>
      <c r="B59" t="str">
        <f>IF(A59 &gt;= Assumptions!$C$3, "Virginia", IF(A59 &gt;= Assumptions!$C$4, "Florida", IF(A59 &gt;= Assumptions!$C$5, "Texas", IF(A59 &gt;= Assumptions!$C$6, "New York", IF(A59 &gt;= Assumptions!$C$7, "California", "")))))</f>
        <v>Virginia</v>
      </c>
      <c r="F59">
        <v>58</v>
      </c>
      <c r="G59" t="str">
        <f t="shared" si="0"/>
        <v>Virginia</v>
      </c>
      <c r="Q59">
        <v>59</v>
      </c>
      <c r="V59" t="str">
        <v>Virginia</v>
      </c>
      <c r="AA59">
        <v>26</v>
      </c>
      <c r="AB59" t="s">
        <v>89</v>
      </c>
    </row>
    <row r="60" spans="1:28">
      <c r="A60">
        <v>60</v>
      </c>
      <c r="B60" t="str">
        <f>IF(A60 &gt;= Assumptions!$C$3, "Virginia", IF(A60 &gt;= Assumptions!$C$4, "Florida", IF(A60 &gt;= Assumptions!$C$5, "Texas", IF(A60 &gt;= Assumptions!$C$6, "New York", IF(A60 &gt;= Assumptions!$C$7, "California", "")))))</f>
        <v>Virginia</v>
      </c>
      <c r="F60">
        <v>59</v>
      </c>
      <c r="G60" t="str">
        <f t="shared" si="0"/>
        <v>Virginia</v>
      </c>
      <c r="Q60">
        <v>60</v>
      </c>
      <c r="V60" t="str">
        <v>Virginia</v>
      </c>
      <c r="AA60">
        <v>27</v>
      </c>
      <c r="AB60" t="s">
        <v>92</v>
      </c>
    </row>
    <row r="61" spans="1:28">
      <c r="F61">
        <v>60</v>
      </c>
      <c r="G61" t="str">
        <f t="shared" si="0"/>
        <v>Virginia</v>
      </c>
      <c r="AA61">
        <v>27</v>
      </c>
      <c r="AB61" t="s">
        <v>93</v>
      </c>
    </row>
    <row r="62" spans="1:28">
      <c r="AA62">
        <v>27</v>
      </c>
      <c r="AB62" t="s">
        <v>90</v>
      </c>
    </row>
    <row r="63" spans="1:28">
      <c r="AA63">
        <v>27</v>
      </c>
      <c r="AB63" t="s">
        <v>91</v>
      </c>
    </row>
    <row r="64" spans="1:28">
      <c r="AA64">
        <v>27</v>
      </c>
      <c r="AB64" t="s">
        <v>89</v>
      </c>
    </row>
    <row r="65" spans="27:28">
      <c r="AA65">
        <v>28</v>
      </c>
      <c r="AB65" t="s">
        <v>92</v>
      </c>
    </row>
    <row r="66" spans="27:28">
      <c r="AA66">
        <v>28</v>
      </c>
      <c r="AB66" t="s">
        <v>93</v>
      </c>
    </row>
    <row r="67" spans="27:28">
      <c r="AA67">
        <v>28</v>
      </c>
      <c r="AB67" t="s">
        <v>90</v>
      </c>
    </row>
    <row r="68" spans="27:28">
      <c r="AA68">
        <v>28</v>
      </c>
      <c r="AB68" t="s">
        <v>91</v>
      </c>
    </row>
    <row r="69" spans="27:28">
      <c r="AA69">
        <v>28</v>
      </c>
      <c r="AB69" t="s">
        <v>89</v>
      </c>
    </row>
    <row r="70" spans="27:28">
      <c r="AA70">
        <v>29</v>
      </c>
      <c r="AB70" t="s">
        <v>92</v>
      </c>
    </row>
    <row r="71" spans="27:28">
      <c r="AA71">
        <v>29</v>
      </c>
      <c r="AB71" t="s">
        <v>93</v>
      </c>
    </row>
    <row r="72" spans="27:28">
      <c r="AA72">
        <v>29</v>
      </c>
      <c r="AB72" t="s">
        <v>90</v>
      </c>
    </row>
    <row r="73" spans="27:28">
      <c r="AA73">
        <v>29</v>
      </c>
      <c r="AB73" t="s">
        <v>91</v>
      </c>
    </row>
    <row r="74" spans="27:28">
      <c r="AA74">
        <v>29</v>
      </c>
      <c r="AB74" t="s">
        <v>89</v>
      </c>
    </row>
    <row r="75" spans="27:28">
      <c r="AA75">
        <v>30</v>
      </c>
      <c r="AB75" t="s">
        <v>92</v>
      </c>
    </row>
    <row r="76" spans="27:28">
      <c r="AA76">
        <v>30</v>
      </c>
      <c r="AB76" t="s">
        <v>93</v>
      </c>
    </row>
    <row r="77" spans="27:28">
      <c r="AA77">
        <v>30</v>
      </c>
      <c r="AB77" t="s">
        <v>90</v>
      </c>
    </row>
    <row r="78" spans="27:28">
      <c r="AA78">
        <v>30</v>
      </c>
      <c r="AB78" t="s">
        <v>91</v>
      </c>
    </row>
    <row r="79" spans="27:28">
      <c r="AA79">
        <v>30</v>
      </c>
      <c r="AB79" t="s">
        <v>89</v>
      </c>
    </row>
    <row r="80" spans="27:28">
      <c r="AA80">
        <v>31</v>
      </c>
      <c r="AB80" t="s">
        <v>92</v>
      </c>
    </row>
    <row r="81" spans="27:28">
      <c r="AA81">
        <v>31</v>
      </c>
      <c r="AB81" t="s">
        <v>93</v>
      </c>
    </row>
    <row r="82" spans="27:28">
      <c r="AA82">
        <v>31</v>
      </c>
      <c r="AB82" t="s">
        <v>90</v>
      </c>
    </row>
    <row r="83" spans="27:28">
      <c r="AA83">
        <v>31</v>
      </c>
      <c r="AB83" t="s">
        <v>91</v>
      </c>
    </row>
    <row r="84" spans="27:28">
      <c r="AA84">
        <v>31</v>
      </c>
      <c r="AB84" t="s">
        <v>89</v>
      </c>
    </row>
    <row r="85" spans="27:28">
      <c r="AA85">
        <v>32</v>
      </c>
      <c r="AB85" t="s">
        <v>92</v>
      </c>
    </row>
    <row r="86" spans="27:28">
      <c r="AA86">
        <v>32</v>
      </c>
      <c r="AB86" t="s">
        <v>93</v>
      </c>
    </row>
    <row r="87" spans="27:28">
      <c r="AA87">
        <v>32</v>
      </c>
      <c r="AB87" t="s">
        <v>90</v>
      </c>
    </row>
    <row r="88" spans="27:28">
      <c r="AA88">
        <v>32</v>
      </c>
      <c r="AB88" t="s">
        <v>91</v>
      </c>
    </row>
    <row r="89" spans="27:28">
      <c r="AA89">
        <v>32</v>
      </c>
      <c r="AB89" t="s">
        <v>89</v>
      </c>
    </row>
    <row r="90" spans="27:28">
      <c r="AA90">
        <v>33</v>
      </c>
      <c r="AB90" t="s">
        <v>92</v>
      </c>
    </row>
    <row r="91" spans="27:28">
      <c r="AA91">
        <v>33</v>
      </c>
      <c r="AB91" t="s">
        <v>93</v>
      </c>
    </row>
    <row r="92" spans="27:28">
      <c r="AA92">
        <v>33</v>
      </c>
      <c r="AB92" t="s">
        <v>90</v>
      </c>
    </row>
    <row r="93" spans="27:28">
      <c r="AA93">
        <v>33</v>
      </c>
      <c r="AB93" t="s">
        <v>91</v>
      </c>
    </row>
    <row r="94" spans="27:28">
      <c r="AA94">
        <v>33</v>
      </c>
      <c r="AB94" t="s">
        <v>89</v>
      </c>
    </row>
    <row r="95" spans="27:28">
      <c r="AA95">
        <v>34</v>
      </c>
      <c r="AB95" t="s">
        <v>92</v>
      </c>
    </row>
    <row r="96" spans="27:28">
      <c r="AA96">
        <v>34</v>
      </c>
      <c r="AB96" t="s">
        <v>93</v>
      </c>
    </row>
    <row r="97" spans="27:28">
      <c r="AA97">
        <v>34</v>
      </c>
      <c r="AB97" t="s">
        <v>90</v>
      </c>
    </row>
    <row r="98" spans="27:28">
      <c r="AA98">
        <v>34</v>
      </c>
      <c r="AB98" t="s">
        <v>91</v>
      </c>
    </row>
    <row r="99" spans="27:28">
      <c r="AA99">
        <v>34</v>
      </c>
      <c r="AB99" t="s">
        <v>89</v>
      </c>
    </row>
    <row r="100" spans="27:28">
      <c r="AA100">
        <v>35</v>
      </c>
      <c r="AB100" t="s">
        <v>92</v>
      </c>
    </row>
    <row r="101" spans="27:28">
      <c r="AA101">
        <v>35</v>
      </c>
      <c r="AB101" t="s">
        <v>93</v>
      </c>
    </row>
    <row r="102" spans="27:28">
      <c r="AA102">
        <v>35</v>
      </c>
      <c r="AB102" t="s">
        <v>90</v>
      </c>
    </row>
    <row r="103" spans="27:28">
      <c r="AA103">
        <v>35</v>
      </c>
      <c r="AB103" t="s">
        <v>91</v>
      </c>
    </row>
    <row r="104" spans="27:28">
      <c r="AA104">
        <v>35</v>
      </c>
      <c r="AB104" t="s">
        <v>89</v>
      </c>
    </row>
    <row r="105" spans="27:28">
      <c r="AA105">
        <v>36</v>
      </c>
      <c r="AB105" t="s">
        <v>92</v>
      </c>
    </row>
    <row r="106" spans="27:28">
      <c r="AA106">
        <v>36</v>
      </c>
      <c r="AB106" t="s">
        <v>93</v>
      </c>
    </row>
    <row r="107" spans="27:28">
      <c r="AA107">
        <v>36</v>
      </c>
      <c r="AB107" t="s">
        <v>90</v>
      </c>
    </row>
    <row r="108" spans="27:28">
      <c r="AA108">
        <v>36</v>
      </c>
      <c r="AB108" t="s">
        <v>91</v>
      </c>
    </row>
    <row r="109" spans="27:28">
      <c r="AA109">
        <v>36</v>
      </c>
      <c r="AB109" t="s">
        <v>89</v>
      </c>
    </row>
    <row r="110" spans="27:28">
      <c r="AA110">
        <v>37</v>
      </c>
      <c r="AB110" t="s">
        <v>92</v>
      </c>
    </row>
    <row r="111" spans="27:28">
      <c r="AA111">
        <v>37</v>
      </c>
      <c r="AB111" t="s">
        <v>93</v>
      </c>
    </row>
    <row r="112" spans="27:28">
      <c r="AA112">
        <v>37</v>
      </c>
      <c r="AB112" t="s">
        <v>90</v>
      </c>
    </row>
    <row r="113" spans="27:28">
      <c r="AA113">
        <v>37</v>
      </c>
      <c r="AB113" t="s">
        <v>91</v>
      </c>
    </row>
    <row r="114" spans="27:28">
      <c r="AA114">
        <v>37</v>
      </c>
      <c r="AB114" t="s">
        <v>89</v>
      </c>
    </row>
    <row r="115" spans="27:28">
      <c r="AA115">
        <v>38</v>
      </c>
      <c r="AB115" t="s">
        <v>92</v>
      </c>
    </row>
    <row r="116" spans="27:28">
      <c r="AA116">
        <v>38</v>
      </c>
      <c r="AB116" t="s">
        <v>93</v>
      </c>
    </row>
    <row r="117" spans="27:28">
      <c r="AA117">
        <v>38</v>
      </c>
      <c r="AB117" t="s">
        <v>90</v>
      </c>
    </row>
    <row r="118" spans="27:28">
      <c r="AA118">
        <v>38</v>
      </c>
      <c r="AB118" t="s">
        <v>91</v>
      </c>
    </row>
    <row r="119" spans="27:28">
      <c r="AA119">
        <v>38</v>
      </c>
      <c r="AB119" t="s">
        <v>89</v>
      </c>
    </row>
    <row r="120" spans="27:28">
      <c r="AA120">
        <v>39</v>
      </c>
      <c r="AB120" t="s">
        <v>92</v>
      </c>
    </row>
    <row r="121" spans="27:28">
      <c r="AA121">
        <v>39</v>
      </c>
      <c r="AB121" t="s">
        <v>93</v>
      </c>
    </row>
    <row r="122" spans="27:28">
      <c r="AA122">
        <v>39</v>
      </c>
      <c r="AB122" t="s">
        <v>90</v>
      </c>
    </row>
    <row r="123" spans="27:28">
      <c r="AA123">
        <v>39</v>
      </c>
      <c r="AB123" t="s">
        <v>91</v>
      </c>
    </row>
    <row r="124" spans="27:28">
      <c r="AA124">
        <v>39</v>
      </c>
      <c r="AB124" t="s">
        <v>89</v>
      </c>
    </row>
    <row r="125" spans="27:28">
      <c r="AA125">
        <v>40</v>
      </c>
      <c r="AB125" t="s">
        <v>92</v>
      </c>
    </row>
    <row r="126" spans="27:28">
      <c r="AA126">
        <v>40</v>
      </c>
      <c r="AB126" t="s">
        <v>93</v>
      </c>
    </row>
    <row r="127" spans="27:28">
      <c r="AA127">
        <v>40</v>
      </c>
      <c r="AB127" t="s">
        <v>90</v>
      </c>
    </row>
    <row r="128" spans="27:28">
      <c r="AA128">
        <v>40</v>
      </c>
      <c r="AB128" t="s">
        <v>91</v>
      </c>
    </row>
    <row r="129" spans="27:28">
      <c r="AA129">
        <v>40</v>
      </c>
      <c r="AB129" t="s">
        <v>89</v>
      </c>
    </row>
    <row r="130" spans="27:28">
      <c r="AA130">
        <v>41</v>
      </c>
      <c r="AB130" t="s">
        <v>92</v>
      </c>
    </row>
    <row r="131" spans="27:28">
      <c r="AA131">
        <v>41</v>
      </c>
      <c r="AB131" t="s">
        <v>93</v>
      </c>
    </row>
    <row r="132" spans="27:28">
      <c r="AA132">
        <v>41</v>
      </c>
      <c r="AB132" t="s">
        <v>90</v>
      </c>
    </row>
    <row r="133" spans="27:28">
      <c r="AA133">
        <v>41</v>
      </c>
      <c r="AB133" t="s">
        <v>91</v>
      </c>
    </row>
    <row r="134" spans="27:28">
      <c r="AA134">
        <v>41</v>
      </c>
      <c r="AB134" t="s">
        <v>89</v>
      </c>
    </row>
    <row r="135" spans="27:28">
      <c r="AA135">
        <v>42</v>
      </c>
      <c r="AB135" t="s">
        <v>92</v>
      </c>
    </row>
    <row r="136" spans="27:28">
      <c r="AA136">
        <v>42</v>
      </c>
      <c r="AB136" t="s">
        <v>93</v>
      </c>
    </row>
    <row r="137" spans="27:28">
      <c r="AA137">
        <v>42</v>
      </c>
      <c r="AB137" t="s">
        <v>90</v>
      </c>
    </row>
    <row r="138" spans="27:28">
      <c r="AA138">
        <v>42</v>
      </c>
      <c r="AB138" t="s">
        <v>91</v>
      </c>
    </row>
    <row r="139" spans="27:28">
      <c r="AA139">
        <v>42</v>
      </c>
      <c r="AB139" t="s">
        <v>89</v>
      </c>
    </row>
    <row r="140" spans="27:28">
      <c r="AA140">
        <v>43</v>
      </c>
      <c r="AB140" t="s">
        <v>92</v>
      </c>
    </row>
    <row r="141" spans="27:28">
      <c r="AA141">
        <v>43</v>
      </c>
      <c r="AB141" t="s">
        <v>93</v>
      </c>
    </row>
    <row r="142" spans="27:28">
      <c r="AA142">
        <v>43</v>
      </c>
      <c r="AB142" t="s">
        <v>90</v>
      </c>
    </row>
    <row r="143" spans="27:28">
      <c r="AA143">
        <v>43</v>
      </c>
      <c r="AB143" t="s">
        <v>91</v>
      </c>
    </row>
    <row r="144" spans="27:28">
      <c r="AA144">
        <v>43</v>
      </c>
      <c r="AB144" t="s">
        <v>89</v>
      </c>
    </row>
    <row r="145" spans="27:28">
      <c r="AA145">
        <v>44</v>
      </c>
      <c r="AB145" t="s">
        <v>92</v>
      </c>
    </row>
    <row r="146" spans="27:28">
      <c r="AA146">
        <v>44</v>
      </c>
      <c r="AB146" t="s">
        <v>93</v>
      </c>
    </row>
    <row r="147" spans="27:28">
      <c r="AA147">
        <v>44</v>
      </c>
      <c r="AB147" t="s">
        <v>90</v>
      </c>
    </row>
    <row r="148" spans="27:28">
      <c r="AA148">
        <v>44</v>
      </c>
      <c r="AB148" t="s">
        <v>91</v>
      </c>
    </row>
    <row r="149" spans="27:28">
      <c r="AA149">
        <v>44</v>
      </c>
      <c r="AB149" t="s">
        <v>89</v>
      </c>
    </row>
    <row r="150" spans="27:28">
      <c r="AA150">
        <v>45</v>
      </c>
      <c r="AB150" t="s">
        <v>92</v>
      </c>
    </row>
    <row r="151" spans="27:28">
      <c r="AA151">
        <v>45</v>
      </c>
      <c r="AB151" t="s">
        <v>93</v>
      </c>
    </row>
    <row r="152" spans="27:28">
      <c r="AA152">
        <v>45</v>
      </c>
      <c r="AB152" t="s">
        <v>90</v>
      </c>
    </row>
    <row r="153" spans="27:28">
      <c r="AA153">
        <v>45</v>
      </c>
      <c r="AB153" t="s">
        <v>91</v>
      </c>
    </row>
    <row r="154" spans="27:28">
      <c r="AA154">
        <v>45</v>
      </c>
      <c r="AB154" t="s">
        <v>89</v>
      </c>
    </row>
    <row r="155" spans="27:28">
      <c r="AA155">
        <v>46</v>
      </c>
      <c r="AB155" t="s">
        <v>92</v>
      </c>
    </row>
    <row r="156" spans="27:28">
      <c r="AA156">
        <v>46</v>
      </c>
      <c r="AB156" t="s">
        <v>93</v>
      </c>
    </row>
    <row r="157" spans="27:28">
      <c r="AA157">
        <v>46</v>
      </c>
      <c r="AB157" t="s">
        <v>90</v>
      </c>
    </row>
    <row r="158" spans="27:28">
      <c r="AA158">
        <v>46</v>
      </c>
      <c r="AB158" t="s">
        <v>91</v>
      </c>
    </row>
    <row r="159" spans="27:28">
      <c r="AA159">
        <v>46</v>
      </c>
      <c r="AB159" t="s">
        <v>89</v>
      </c>
    </row>
    <row r="160" spans="27:28">
      <c r="AA160">
        <v>47</v>
      </c>
      <c r="AB160" t="s">
        <v>92</v>
      </c>
    </row>
    <row r="161" spans="27:28">
      <c r="AA161">
        <v>47</v>
      </c>
      <c r="AB161" t="s">
        <v>93</v>
      </c>
    </row>
    <row r="162" spans="27:28">
      <c r="AA162">
        <v>47</v>
      </c>
      <c r="AB162" t="s">
        <v>90</v>
      </c>
    </row>
    <row r="163" spans="27:28">
      <c r="AA163">
        <v>47</v>
      </c>
      <c r="AB163" t="s">
        <v>91</v>
      </c>
    </row>
    <row r="164" spans="27:28">
      <c r="AA164">
        <v>47</v>
      </c>
      <c r="AB164" t="s">
        <v>89</v>
      </c>
    </row>
    <row r="165" spans="27:28">
      <c r="AA165">
        <v>48</v>
      </c>
      <c r="AB165" t="s">
        <v>92</v>
      </c>
    </row>
    <row r="166" spans="27:28">
      <c r="AA166">
        <v>48</v>
      </c>
      <c r="AB166" t="s">
        <v>93</v>
      </c>
    </row>
    <row r="167" spans="27:28">
      <c r="AA167">
        <v>48</v>
      </c>
      <c r="AB167" t="s">
        <v>90</v>
      </c>
    </row>
    <row r="168" spans="27:28">
      <c r="AA168">
        <v>48</v>
      </c>
      <c r="AB168" t="s">
        <v>91</v>
      </c>
    </row>
    <row r="169" spans="27:28">
      <c r="AA169">
        <v>48</v>
      </c>
      <c r="AB169" t="s">
        <v>89</v>
      </c>
    </row>
    <row r="170" spans="27:28">
      <c r="AA170">
        <v>49</v>
      </c>
      <c r="AB170" t="s">
        <v>92</v>
      </c>
    </row>
    <row r="171" spans="27:28">
      <c r="AA171">
        <v>49</v>
      </c>
      <c r="AB171" t="s">
        <v>93</v>
      </c>
    </row>
    <row r="172" spans="27:28">
      <c r="AA172">
        <v>49</v>
      </c>
      <c r="AB172" t="s">
        <v>90</v>
      </c>
    </row>
    <row r="173" spans="27:28">
      <c r="AA173">
        <v>49</v>
      </c>
      <c r="AB173" t="s">
        <v>91</v>
      </c>
    </row>
    <row r="174" spans="27:28">
      <c r="AA174">
        <v>49</v>
      </c>
      <c r="AB174" t="s">
        <v>89</v>
      </c>
    </row>
    <row r="175" spans="27:28">
      <c r="AA175">
        <v>50</v>
      </c>
      <c r="AB175" t="s">
        <v>92</v>
      </c>
    </row>
    <row r="176" spans="27:28">
      <c r="AA176">
        <v>50</v>
      </c>
      <c r="AB176" t="s">
        <v>93</v>
      </c>
    </row>
    <row r="177" spans="27:28">
      <c r="AA177">
        <v>50</v>
      </c>
      <c r="AB177" t="s">
        <v>90</v>
      </c>
    </row>
    <row r="178" spans="27:28">
      <c r="AA178">
        <v>50</v>
      </c>
      <c r="AB178" t="s">
        <v>91</v>
      </c>
    </row>
    <row r="179" spans="27:28">
      <c r="AA179">
        <v>50</v>
      </c>
      <c r="AB179" t="s">
        <v>89</v>
      </c>
    </row>
    <row r="180" spans="27:28">
      <c r="AA180">
        <v>51</v>
      </c>
      <c r="AB180" t="s">
        <v>92</v>
      </c>
    </row>
    <row r="181" spans="27:28">
      <c r="AA181">
        <v>51</v>
      </c>
      <c r="AB181" t="s">
        <v>93</v>
      </c>
    </row>
    <row r="182" spans="27:28">
      <c r="AA182">
        <v>51</v>
      </c>
      <c r="AB182" t="s">
        <v>90</v>
      </c>
    </row>
    <row r="183" spans="27:28">
      <c r="AA183">
        <v>51</v>
      </c>
      <c r="AB183" t="s">
        <v>91</v>
      </c>
    </row>
    <row r="184" spans="27:28">
      <c r="AA184">
        <v>51</v>
      </c>
      <c r="AB184" t="s">
        <v>89</v>
      </c>
    </row>
    <row r="185" spans="27:28" hidden="1">
      <c r="AA185" t="s">
        <v>94</v>
      </c>
      <c r="AB185" t="s">
        <v>94</v>
      </c>
    </row>
    <row r="186" spans="27:28" hidden="1">
      <c r="AA186" t="s">
        <v>94</v>
      </c>
      <c r="AB186" t="s">
        <v>94</v>
      </c>
    </row>
    <row r="187" spans="27:28">
      <c r="AA187">
        <v>52</v>
      </c>
      <c r="AB187" t="s">
        <v>92</v>
      </c>
    </row>
    <row r="188" spans="27:28">
      <c r="AA188">
        <v>52</v>
      </c>
      <c r="AB188" t="s">
        <v>93</v>
      </c>
    </row>
    <row r="189" spans="27:28">
      <c r="AA189">
        <v>52</v>
      </c>
      <c r="AB189" t="s">
        <v>90</v>
      </c>
    </row>
    <row r="190" spans="27:28" hidden="1">
      <c r="AA190" t="s">
        <v>94</v>
      </c>
      <c r="AB190" t="s">
        <v>94</v>
      </c>
    </row>
    <row r="191" spans="27:28" hidden="1">
      <c r="AA191" t="s">
        <v>94</v>
      </c>
      <c r="AB191" t="s">
        <v>94</v>
      </c>
    </row>
    <row r="192" spans="27:28">
      <c r="AA192">
        <v>52</v>
      </c>
      <c r="AB192" t="s">
        <v>91</v>
      </c>
    </row>
    <row r="193" spans="27:28">
      <c r="AA193">
        <v>52</v>
      </c>
      <c r="AB193" t="s">
        <v>89</v>
      </c>
    </row>
    <row r="194" spans="27:28">
      <c r="AA194">
        <v>53</v>
      </c>
      <c r="AB194" t="s">
        <v>92</v>
      </c>
    </row>
    <row r="195" spans="27:28" hidden="1">
      <c r="AA195" t="s">
        <v>94</v>
      </c>
      <c r="AB195" t="s">
        <v>94</v>
      </c>
    </row>
    <row r="196" spans="27:28" hidden="1">
      <c r="AA196" t="s">
        <v>94</v>
      </c>
      <c r="AB196" t="s">
        <v>94</v>
      </c>
    </row>
    <row r="197" spans="27:28">
      <c r="AA197">
        <v>53</v>
      </c>
      <c r="AB197" t="s">
        <v>93</v>
      </c>
    </row>
    <row r="198" spans="27:28">
      <c r="AA198">
        <v>53</v>
      </c>
      <c r="AB198" t="s">
        <v>90</v>
      </c>
    </row>
    <row r="199" spans="27:28">
      <c r="AA199">
        <v>53</v>
      </c>
      <c r="AB199" t="s">
        <v>91</v>
      </c>
    </row>
    <row r="200" spans="27:28" hidden="1">
      <c r="AA200" t="s">
        <v>94</v>
      </c>
      <c r="AB200" t="s">
        <v>94</v>
      </c>
    </row>
    <row r="201" spans="27:28" hidden="1">
      <c r="AA201" t="s">
        <v>94</v>
      </c>
      <c r="AB201" t="s">
        <v>94</v>
      </c>
    </row>
    <row r="202" spans="27:28">
      <c r="AA202">
        <v>53</v>
      </c>
      <c r="AB202" t="s">
        <v>89</v>
      </c>
    </row>
    <row r="203" spans="27:28">
      <c r="AA203">
        <v>54</v>
      </c>
      <c r="AB203" t="s">
        <v>92</v>
      </c>
    </row>
    <row r="204" spans="27:28">
      <c r="AA204">
        <v>54</v>
      </c>
      <c r="AB204" t="s">
        <v>93</v>
      </c>
    </row>
    <row r="205" spans="27:28" hidden="1">
      <c r="AA205" t="s">
        <v>94</v>
      </c>
      <c r="AB205" t="s">
        <v>94</v>
      </c>
    </row>
    <row r="206" spans="27:28" hidden="1">
      <c r="AA206" t="s">
        <v>94</v>
      </c>
      <c r="AB206" t="s">
        <v>94</v>
      </c>
    </row>
    <row r="207" spans="27:28">
      <c r="AA207">
        <v>54</v>
      </c>
      <c r="AB207" t="s">
        <v>90</v>
      </c>
    </row>
    <row r="208" spans="27:28">
      <c r="AA208">
        <v>54</v>
      </c>
      <c r="AB208" t="s">
        <v>91</v>
      </c>
    </row>
    <row r="209" spans="27:28">
      <c r="AA209">
        <v>54</v>
      </c>
      <c r="AB209" t="s">
        <v>89</v>
      </c>
    </row>
    <row r="210" spans="27:28" hidden="1">
      <c r="AA210" t="s">
        <v>94</v>
      </c>
      <c r="AB210" t="s">
        <v>94</v>
      </c>
    </row>
    <row r="211" spans="27:28" hidden="1">
      <c r="AA211" t="s">
        <v>94</v>
      </c>
      <c r="AB211" t="s">
        <v>94</v>
      </c>
    </row>
    <row r="212" spans="27:28">
      <c r="AA212">
        <v>55</v>
      </c>
      <c r="AB212" t="s">
        <v>92</v>
      </c>
    </row>
    <row r="213" spans="27:28">
      <c r="AA213">
        <v>55</v>
      </c>
      <c r="AB213" t="s">
        <v>93</v>
      </c>
    </row>
    <row r="214" spans="27:28">
      <c r="AA214">
        <v>55</v>
      </c>
      <c r="AB214" t="s">
        <v>90</v>
      </c>
    </row>
    <row r="215" spans="27:28" hidden="1">
      <c r="AA215" t="s">
        <v>94</v>
      </c>
      <c r="AB215" t="s">
        <v>94</v>
      </c>
    </row>
    <row r="216" spans="27:28" hidden="1">
      <c r="AA216" t="s">
        <v>94</v>
      </c>
      <c r="AB216" t="s">
        <v>94</v>
      </c>
    </row>
    <row r="217" spans="27:28">
      <c r="AA217">
        <v>55</v>
      </c>
      <c r="AB217" t="s">
        <v>91</v>
      </c>
    </row>
    <row r="218" spans="27:28">
      <c r="AA218">
        <v>55</v>
      </c>
      <c r="AB218" t="s">
        <v>89</v>
      </c>
    </row>
    <row r="219" spans="27:28">
      <c r="AA219">
        <v>56</v>
      </c>
      <c r="AB219" t="s">
        <v>92</v>
      </c>
    </row>
    <row r="220" spans="27:28" hidden="1">
      <c r="AA220" t="s">
        <v>94</v>
      </c>
      <c r="AB220" t="s">
        <v>94</v>
      </c>
    </row>
    <row r="221" spans="27:28" hidden="1">
      <c r="AA221" t="s">
        <v>94</v>
      </c>
      <c r="AB221" t="s">
        <v>94</v>
      </c>
    </row>
    <row r="222" spans="27:28">
      <c r="AA222">
        <v>56</v>
      </c>
      <c r="AB222" t="s">
        <v>93</v>
      </c>
    </row>
    <row r="223" spans="27:28">
      <c r="AA223">
        <v>56</v>
      </c>
      <c r="AB223" t="s">
        <v>90</v>
      </c>
    </row>
    <row r="224" spans="27:28">
      <c r="AA224">
        <v>56</v>
      </c>
      <c r="AB224" t="s">
        <v>91</v>
      </c>
    </row>
    <row r="225" spans="27:28" hidden="1">
      <c r="AA225" t="s">
        <v>94</v>
      </c>
      <c r="AB225" t="s">
        <v>94</v>
      </c>
    </row>
    <row r="226" spans="27:28" hidden="1">
      <c r="AA226" t="s">
        <v>94</v>
      </c>
      <c r="AB226" t="s">
        <v>94</v>
      </c>
    </row>
    <row r="227" spans="27:28">
      <c r="AA227">
        <v>56</v>
      </c>
      <c r="AB227" t="s">
        <v>89</v>
      </c>
    </row>
    <row r="228" spans="27:28">
      <c r="AA228">
        <v>57</v>
      </c>
      <c r="AB228" t="s">
        <v>92</v>
      </c>
    </row>
    <row r="229" spans="27:28">
      <c r="AA229">
        <v>57</v>
      </c>
      <c r="AB229" t="s">
        <v>93</v>
      </c>
    </row>
    <row r="230" spans="27:28" hidden="1">
      <c r="AA230" t="s">
        <v>94</v>
      </c>
      <c r="AB230" t="s">
        <v>94</v>
      </c>
    </row>
    <row r="231" spans="27:28" hidden="1">
      <c r="AA231" t="s">
        <v>94</v>
      </c>
      <c r="AB231" t="s">
        <v>94</v>
      </c>
    </row>
    <row r="232" spans="27:28">
      <c r="AA232">
        <v>57</v>
      </c>
      <c r="AB232" t="s">
        <v>90</v>
      </c>
    </row>
    <row r="233" spans="27:28">
      <c r="AA233">
        <v>57</v>
      </c>
      <c r="AB233" t="s">
        <v>91</v>
      </c>
    </row>
    <row r="234" spans="27:28">
      <c r="AA234">
        <v>57</v>
      </c>
      <c r="AB234" t="s">
        <v>89</v>
      </c>
    </row>
    <row r="235" spans="27:28" hidden="1">
      <c r="AA235" t="s">
        <v>94</v>
      </c>
      <c r="AB235" t="s">
        <v>94</v>
      </c>
    </row>
    <row r="236" spans="27:28" hidden="1">
      <c r="AA236" t="s">
        <v>94</v>
      </c>
      <c r="AB236" t="s">
        <v>94</v>
      </c>
    </row>
    <row r="237" spans="27:28">
      <c r="AA237">
        <v>58</v>
      </c>
      <c r="AB237" t="s">
        <v>92</v>
      </c>
    </row>
    <row r="238" spans="27:28">
      <c r="AA238">
        <v>58</v>
      </c>
      <c r="AB238" t="s">
        <v>93</v>
      </c>
    </row>
    <row r="239" spans="27:28">
      <c r="AA239">
        <v>58</v>
      </c>
      <c r="AB239" t="s">
        <v>90</v>
      </c>
    </row>
    <row r="240" spans="27:28" hidden="1">
      <c r="AA240" t="s">
        <v>94</v>
      </c>
      <c r="AB240" t="s">
        <v>94</v>
      </c>
    </row>
    <row r="241" spans="27:28" hidden="1">
      <c r="AA241" t="s">
        <v>94</v>
      </c>
      <c r="AB241" t="s">
        <v>94</v>
      </c>
    </row>
    <row r="242" spans="27:28">
      <c r="AA242">
        <v>58</v>
      </c>
      <c r="AB242" t="s">
        <v>91</v>
      </c>
    </row>
    <row r="243" spans="27:28" hidden="1">
      <c r="AA243" t="s">
        <v>94</v>
      </c>
      <c r="AB243" t="s">
        <v>94</v>
      </c>
    </row>
    <row r="244" spans="27:28" hidden="1">
      <c r="AA244" t="s">
        <v>94</v>
      </c>
      <c r="AB244" t="s">
        <v>94</v>
      </c>
    </row>
    <row r="245" spans="27:28" hidden="1">
      <c r="AA245" t="s">
        <v>94</v>
      </c>
      <c r="AB245" t="s">
        <v>94</v>
      </c>
    </row>
    <row r="246" spans="27:28" hidden="1">
      <c r="AA246" t="s">
        <v>94</v>
      </c>
      <c r="AB246" t="s">
        <v>94</v>
      </c>
    </row>
    <row r="247" spans="27:28">
      <c r="AA247">
        <v>58</v>
      </c>
      <c r="AB247" t="s">
        <v>89</v>
      </c>
    </row>
    <row r="248" spans="27:28" hidden="1">
      <c r="AA248" t="s">
        <v>94</v>
      </c>
      <c r="AB248" t="s">
        <v>94</v>
      </c>
    </row>
    <row r="249" spans="27:28" hidden="1">
      <c r="AA249" t="s">
        <v>94</v>
      </c>
      <c r="AB249" t="s">
        <v>94</v>
      </c>
    </row>
    <row r="250" spans="27:28" hidden="1">
      <c r="AA250" t="s">
        <v>94</v>
      </c>
      <c r="AB250" t="s">
        <v>94</v>
      </c>
    </row>
    <row r="251" spans="27:28" hidden="1">
      <c r="AA251" t="s">
        <v>94</v>
      </c>
      <c r="AB251" t="s">
        <v>94</v>
      </c>
    </row>
    <row r="252" spans="27:28">
      <c r="AA252">
        <v>59</v>
      </c>
      <c r="AB252" t="s">
        <v>92</v>
      </c>
    </row>
    <row r="253" spans="27:28" hidden="1">
      <c r="AA253" t="s">
        <v>94</v>
      </c>
      <c r="AB253" t="s">
        <v>94</v>
      </c>
    </row>
    <row r="254" spans="27:28" hidden="1">
      <c r="AA254" t="s">
        <v>94</v>
      </c>
      <c r="AB254" t="s">
        <v>94</v>
      </c>
    </row>
    <row r="255" spans="27:28" hidden="1">
      <c r="AA255" t="s">
        <v>94</v>
      </c>
      <c r="AB255" t="s">
        <v>94</v>
      </c>
    </row>
    <row r="256" spans="27:28" hidden="1">
      <c r="AA256" t="s">
        <v>94</v>
      </c>
      <c r="AB256" t="s">
        <v>94</v>
      </c>
    </row>
    <row r="257" spans="27:28">
      <c r="AA257">
        <v>59</v>
      </c>
      <c r="AB257" t="s">
        <v>93</v>
      </c>
    </row>
    <row r="258" spans="27:28" hidden="1">
      <c r="AA258" t="s">
        <v>94</v>
      </c>
      <c r="AB258" t="s">
        <v>94</v>
      </c>
    </row>
    <row r="259" spans="27:28" hidden="1">
      <c r="AA259" t="s">
        <v>94</v>
      </c>
      <c r="AB259" t="s">
        <v>94</v>
      </c>
    </row>
    <row r="260" spans="27:28" hidden="1">
      <c r="AA260" t="s">
        <v>94</v>
      </c>
      <c r="AB260" t="s">
        <v>94</v>
      </c>
    </row>
    <row r="261" spans="27:28" hidden="1">
      <c r="AA261" t="s">
        <v>94</v>
      </c>
      <c r="AB261" t="s">
        <v>94</v>
      </c>
    </row>
    <row r="262" spans="27:28">
      <c r="AA262">
        <v>59</v>
      </c>
      <c r="AB262" t="s">
        <v>90</v>
      </c>
    </row>
    <row r="263" spans="27:28" hidden="1">
      <c r="AA263" t="s">
        <v>94</v>
      </c>
      <c r="AB263" t="s">
        <v>94</v>
      </c>
    </row>
    <row r="264" spans="27:28" hidden="1">
      <c r="AA264" t="s">
        <v>94</v>
      </c>
      <c r="AB264" t="s">
        <v>94</v>
      </c>
    </row>
    <row r="265" spans="27:28" hidden="1">
      <c r="AA265" t="s">
        <v>94</v>
      </c>
      <c r="AB265" t="s">
        <v>94</v>
      </c>
    </row>
    <row r="266" spans="27:28" hidden="1">
      <c r="AA266" t="s">
        <v>94</v>
      </c>
      <c r="AB266" t="s">
        <v>94</v>
      </c>
    </row>
    <row r="267" spans="27:28">
      <c r="AA267">
        <v>59</v>
      </c>
      <c r="AB267" t="s">
        <v>91</v>
      </c>
    </row>
    <row r="268" spans="27:28" hidden="1">
      <c r="AA268" t="s">
        <v>94</v>
      </c>
      <c r="AB268" t="s">
        <v>94</v>
      </c>
    </row>
    <row r="269" spans="27:28" hidden="1">
      <c r="AA269" t="s">
        <v>94</v>
      </c>
      <c r="AB269" t="s">
        <v>94</v>
      </c>
    </row>
    <row r="270" spans="27:28" hidden="1">
      <c r="AA270" t="s">
        <v>94</v>
      </c>
      <c r="AB270" t="s">
        <v>94</v>
      </c>
    </row>
    <row r="271" spans="27:28" hidden="1">
      <c r="AA271" t="s">
        <v>94</v>
      </c>
      <c r="AB271" t="s">
        <v>94</v>
      </c>
    </row>
    <row r="272" spans="27:28">
      <c r="AA272">
        <v>59</v>
      </c>
      <c r="AB272" t="s">
        <v>89</v>
      </c>
    </row>
    <row r="273" spans="27:28" hidden="1">
      <c r="AA273" t="s">
        <v>94</v>
      </c>
      <c r="AB273" t="s">
        <v>94</v>
      </c>
    </row>
    <row r="274" spans="27:28" hidden="1">
      <c r="AA274" t="s">
        <v>94</v>
      </c>
      <c r="AB274" t="s">
        <v>94</v>
      </c>
    </row>
    <row r="275" spans="27:28" hidden="1">
      <c r="AA275" t="s">
        <v>94</v>
      </c>
      <c r="AB275" t="s">
        <v>94</v>
      </c>
    </row>
    <row r="276" spans="27:28" hidden="1">
      <c r="AA276" t="s">
        <v>94</v>
      </c>
      <c r="AB276" t="s">
        <v>94</v>
      </c>
    </row>
    <row r="277" spans="27:28">
      <c r="AA277">
        <v>60</v>
      </c>
      <c r="AB277" t="s">
        <v>92</v>
      </c>
    </row>
    <row r="278" spans="27:28" hidden="1">
      <c r="AA278" t="s">
        <v>94</v>
      </c>
      <c r="AB278" t="s">
        <v>94</v>
      </c>
    </row>
    <row r="279" spans="27:28" hidden="1">
      <c r="AA279" t="s">
        <v>94</v>
      </c>
      <c r="AB279" t="s">
        <v>94</v>
      </c>
    </row>
    <row r="280" spans="27:28" hidden="1">
      <c r="AA280" t="s">
        <v>94</v>
      </c>
      <c r="AB280" t="s">
        <v>94</v>
      </c>
    </row>
    <row r="281" spans="27:28" hidden="1">
      <c r="AA281" t="s">
        <v>94</v>
      </c>
      <c r="AB281" t="s">
        <v>94</v>
      </c>
    </row>
    <row r="282" spans="27:28">
      <c r="AA282">
        <v>60</v>
      </c>
      <c r="AB282" t="s">
        <v>93</v>
      </c>
    </row>
    <row r="283" spans="27:28" hidden="1">
      <c r="AA283" t="s">
        <v>94</v>
      </c>
      <c r="AB283" t="s">
        <v>94</v>
      </c>
    </row>
    <row r="284" spans="27:28" hidden="1">
      <c r="AA284" t="s">
        <v>94</v>
      </c>
      <c r="AB284" t="s">
        <v>94</v>
      </c>
    </row>
    <row r="285" spans="27:28" hidden="1">
      <c r="AA285" t="s">
        <v>94</v>
      </c>
      <c r="AB285" t="s">
        <v>94</v>
      </c>
    </row>
    <row r="286" spans="27:28" hidden="1">
      <c r="AA286" t="s">
        <v>94</v>
      </c>
      <c r="AB286" t="s">
        <v>94</v>
      </c>
    </row>
    <row r="287" spans="27:28">
      <c r="AA287">
        <v>60</v>
      </c>
      <c r="AB287" t="s">
        <v>90</v>
      </c>
    </row>
    <row r="288" spans="27:28" hidden="1">
      <c r="AA288" t="s">
        <v>94</v>
      </c>
      <c r="AB288" t="s">
        <v>94</v>
      </c>
    </row>
    <row r="289" spans="27:28" hidden="1">
      <c r="AA289" t="s">
        <v>94</v>
      </c>
      <c r="AB289" t="s">
        <v>94</v>
      </c>
    </row>
    <row r="290" spans="27:28" hidden="1">
      <c r="AA290" t="s">
        <v>94</v>
      </c>
      <c r="AB290" t="s">
        <v>94</v>
      </c>
    </row>
    <row r="291" spans="27:28" hidden="1">
      <c r="AA291" t="s">
        <v>94</v>
      </c>
      <c r="AB291" t="s">
        <v>94</v>
      </c>
    </row>
    <row r="292" spans="27:28">
      <c r="AA292">
        <v>60</v>
      </c>
      <c r="AB292" t="s">
        <v>91</v>
      </c>
    </row>
    <row r="293" spans="27:28" hidden="1">
      <c r="AA293" t="s">
        <v>94</v>
      </c>
      <c r="AB293" t="s">
        <v>94</v>
      </c>
    </row>
    <row r="294" spans="27:28" hidden="1">
      <c r="AA294" t="s">
        <v>94</v>
      </c>
      <c r="AB294" t="s">
        <v>94</v>
      </c>
    </row>
    <row r="295" spans="27:28" hidden="1">
      <c r="AA295" t="s">
        <v>94</v>
      </c>
      <c r="AB295" t="s">
        <v>94</v>
      </c>
    </row>
    <row r="296" spans="27:28" hidden="1">
      <c r="AA296" t="s">
        <v>94</v>
      </c>
      <c r="AB296" t="s">
        <v>94</v>
      </c>
    </row>
    <row r="297" spans="27:28">
      <c r="AA297">
        <v>60</v>
      </c>
      <c r="AB297" t="s">
        <v>89</v>
      </c>
    </row>
    <row r="298" spans="27:28" hidden="1">
      <c r="AA298" t="s">
        <v>94</v>
      </c>
    </row>
    <row r="299" spans="27:28" hidden="1">
      <c r="AA299" t="s">
        <v>94</v>
      </c>
    </row>
    <row r="300" spans="27:28" hidden="1">
      <c r="AA300" t="s">
        <v>94</v>
      </c>
    </row>
    <row r="301" spans="27:28" hidden="1">
      <c r="AA301" t="s">
        <v>94</v>
      </c>
    </row>
    <row r="302" spans="27:28" hidden="1">
      <c r="AB302" t="s">
        <v>94</v>
      </c>
    </row>
    <row r="303" spans="27:28" hidden="1">
      <c r="AB303" t="s">
        <v>94</v>
      </c>
    </row>
    <row r="304" spans="27:28" hidden="1">
      <c r="AB304" t="s">
        <v>94</v>
      </c>
    </row>
    <row r="305" spans="28:28" hidden="1">
      <c r="AB305" t="s">
        <v>94</v>
      </c>
    </row>
    <row r="306" spans="28:28" hidden="1">
      <c r="AB306" t="s">
        <v>94</v>
      </c>
    </row>
    <row r="307" spans="28:28" hidden="1">
      <c r="AB307" t="s">
        <v>94</v>
      </c>
    </row>
    <row r="308" spans="28:28" hidden="1">
      <c r="AB308" t="s">
        <v>94</v>
      </c>
    </row>
    <row r="309" spans="28:28" hidden="1">
      <c r="AB309" t="s">
        <v>94</v>
      </c>
    </row>
    <row r="310" spans="28:28" hidden="1">
      <c r="AB310" t="s">
        <v>94</v>
      </c>
    </row>
    <row r="311" spans="28:28" hidden="1">
      <c r="AB311" t="s">
        <v>94</v>
      </c>
    </row>
    <row r="312" spans="28:28" hidden="1">
      <c r="AB312" t="s">
        <v>94</v>
      </c>
    </row>
    <row r="313" spans="28:28" hidden="1">
      <c r="AB313" t="s">
        <v>94</v>
      </c>
    </row>
    <row r="314" spans="28:28" hidden="1">
      <c r="AB314" t="s">
        <v>94</v>
      </c>
    </row>
    <row r="315" spans="28:28" hidden="1">
      <c r="AB315" t="s">
        <v>94</v>
      </c>
    </row>
    <row r="316" spans="28:28" hidden="1">
      <c r="AB316" t="s">
        <v>94</v>
      </c>
    </row>
    <row r="317" spans="28:28" hidden="1">
      <c r="AB317" t="s">
        <v>94</v>
      </c>
    </row>
    <row r="318" spans="28:28" hidden="1">
      <c r="AB318" t="s">
        <v>94</v>
      </c>
    </row>
    <row r="319" spans="28:28" hidden="1">
      <c r="AB319" t="s">
        <v>94</v>
      </c>
    </row>
    <row r="320" spans="28:28" hidden="1">
      <c r="AB320" t="s">
        <v>94</v>
      </c>
    </row>
    <row r="321" spans="28:28" hidden="1">
      <c r="AB321" t="s">
        <v>94</v>
      </c>
    </row>
    <row r="322" spans="28:28" hidden="1">
      <c r="AB322" t="s">
        <v>94</v>
      </c>
    </row>
    <row r="323" spans="28:28" hidden="1">
      <c r="AB323" t="s">
        <v>94</v>
      </c>
    </row>
    <row r="324" spans="28:28" hidden="1">
      <c r="AB324" t="s">
        <v>94</v>
      </c>
    </row>
    <row r="325" spans="28:28" hidden="1">
      <c r="AB325" t="s">
        <v>94</v>
      </c>
    </row>
    <row r="326" spans="28:28" hidden="1">
      <c r="AB326" t="s">
        <v>94</v>
      </c>
    </row>
    <row r="327" spans="28:28" hidden="1">
      <c r="AB327" t="s">
        <v>94</v>
      </c>
    </row>
    <row r="328" spans="28:28" hidden="1">
      <c r="AB328" t="s">
        <v>94</v>
      </c>
    </row>
    <row r="329" spans="28:28" hidden="1">
      <c r="AB329" t="s">
        <v>94</v>
      </c>
    </row>
    <row r="330" spans="28:28" hidden="1">
      <c r="AB330" t="s">
        <v>94</v>
      </c>
    </row>
    <row r="331" spans="28:28" hidden="1">
      <c r="AB331" t="s">
        <v>94</v>
      </c>
    </row>
    <row r="332" spans="28:28" hidden="1">
      <c r="AB332" t="s">
        <v>94</v>
      </c>
    </row>
    <row r="333" spans="28:28" hidden="1">
      <c r="AB333" t="s">
        <v>94</v>
      </c>
    </row>
    <row r="334" spans="28:28" hidden="1">
      <c r="AB334" t="s">
        <v>94</v>
      </c>
    </row>
    <row r="335" spans="28:28" hidden="1">
      <c r="AB335" t="s">
        <v>94</v>
      </c>
    </row>
    <row r="336" spans="28:28" hidden="1">
      <c r="AB336" t="s">
        <v>94</v>
      </c>
    </row>
    <row r="337" spans="28:28" hidden="1">
      <c r="AB337" t="s">
        <v>94</v>
      </c>
    </row>
    <row r="338" spans="28:28" hidden="1">
      <c r="AB338" t="s">
        <v>94</v>
      </c>
    </row>
    <row r="339" spans="28:28" hidden="1">
      <c r="AB339" t="s">
        <v>94</v>
      </c>
    </row>
    <row r="340" spans="28:28" hidden="1">
      <c r="AB340" t="s">
        <v>94</v>
      </c>
    </row>
    <row r="341" spans="28:28" hidden="1">
      <c r="AB341" t="s">
        <v>94</v>
      </c>
    </row>
    <row r="342" spans="28:28" hidden="1">
      <c r="AB342" t="s">
        <v>94</v>
      </c>
    </row>
    <row r="343" spans="28:28" hidden="1">
      <c r="AB343" t="s">
        <v>94</v>
      </c>
    </row>
    <row r="344" spans="28:28" hidden="1">
      <c r="AB344" t="s">
        <v>94</v>
      </c>
    </row>
    <row r="345" spans="28:28" hidden="1">
      <c r="AB345" t="s">
        <v>94</v>
      </c>
    </row>
    <row r="346" spans="28:28" hidden="1">
      <c r="AB346" t="s">
        <v>94</v>
      </c>
    </row>
    <row r="347" spans="28:28" hidden="1">
      <c r="AB347" t="s">
        <v>94</v>
      </c>
    </row>
    <row r="348" spans="28:28" hidden="1">
      <c r="AB348" t="s">
        <v>94</v>
      </c>
    </row>
    <row r="349" spans="28:28" hidden="1">
      <c r="AB349" t="s">
        <v>94</v>
      </c>
    </row>
    <row r="350" spans="28:28" hidden="1">
      <c r="AB350" t="s">
        <v>94</v>
      </c>
    </row>
    <row r="351" spans="28:28" hidden="1">
      <c r="AB351" t="s">
        <v>94</v>
      </c>
    </row>
    <row r="352" spans="28:28" hidden="1">
      <c r="AB352" t="s">
        <v>94</v>
      </c>
    </row>
    <row r="353" spans="28:28" hidden="1">
      <c r="AB353" t="s">
        <v>94</v>
      </c>
    </row>
    <row r="354" spans="28:28" hidden="1">
      <c r="AB354" t="s">
        <v>94</v>
      </c>
    </row>
    <row r="355" spans="28:28" hidden="1">
      <c r="AB355" t="s">
        <v>94</v>
      </c>
    </row>
    <row r="356" spans="28:28" hidden="1">
      <c r="AB356" t="s">
        <v>94</v>
      </c>
    </row>
    <row r="357" spans="28:28" hidden="1">
      <c r="AB357" t="s">
        <v>94</v>
      </c>
    </row>
    <row r="358" spans="28:28" hidden="1">
      <c r="AB358" t="s">
        <v>94</v>
      </c>
    </row>
    <row r="359" spans="28:28" hidden="1">
      <c r="AB359" t="s">
        <v>94</v>
      </c>
    </row>
    <row r="360" spans="28:28" hidden="1">
      <c r="AB360" t="s">
        <v>94</v>
      </c>
    </row>
  </sheetData>
  <autoFilter ref="AA1:AB360">
    <filterColumn colId="0">
      <customFilters>
        <customFilter operator="notEqual" val=" "/>
      </customFilters>
    </filterColumn>
    <sortState ref="AA2:AB297">
      <sortCondition ref="AA1:AA360"/>
    </sortState>
  </autoFilter>
  <sortState ref="AA1:AB362">
    <sortCondition ref="AA1:AA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Helper (2)</vt:lpstr>
      <vt:lpstr>Unit Economics</vt:lpstr>
      <vt:lpstr>Assumptions</vt:lpstr>
      <vt:lpstr>Year 0</vt:lpstr>
      <vt:lpstr>Financial Projections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Salfati</dc:creator>
  <cp:lastModifiedBy>Salfati, Samuel : Markets</cp:lastModifiedBy>
  <dcterms:created xsi:type="dcterms:W3CDTF">2024-12-27T14:08:23Z</dcterms:created>
  <dcterms:modified xsi:type="dcterms:W3CDTF">2024-12-31T13:59:00Z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2024-12-31T13:59:00Z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eb22f521-0ff2-4478-96d1-f7ecb11a15fe</vt:lpwstr>
  </property>
  <property fmtid="{D5CDD505-2E9C-101B-9397-08002B2CF9AE}" pid="8" name="MSIP_Label_c754cbb2-29ed-4ffe-af90-a08465e0dd2c_ContentBits">
    <vt:lpwstr>0</vt:lpwstr>
  </property>
  <property fmtid="{D5CDD505-2E9C-101B-9397-08002B2CF9AE}" pid="9" name="BarclaysDC">
    <vt:lpwstr>Unrestricted</vt:lpwstr>
  </property>
  <property fmtid="{D5CDD505-2E9C-101B-9397-08002B2CF9AE}" pid="10" name="_AdHocReviewCycleID">
    <vt:i4>1644540935</vt:i4>
  </property>
  <property fmtid="{D5CDD505-2E9C-101B-9397-08002B2CF9AE}" pid="11" name="_NewReviewCycle">
    <vt:lpwstr/>
  </property>
  <property fmtid="{D5CDD505-2E9C-101B-9397-08002B2CF9AE}" pid="12" name="_EmailSubject">
    <vt:lpwstr/>
  </property>
  <property fmtid="{D5CDD505-2E9C-101B-9397-08002B2CF9AE}" pid="13" name="_AuthorEmail">
    <vt:lpwstr>samuel.salfati@barclays.com</vt:lpwstr>
  </property>
  <property fmtid="{D5CDD505-2E9C-101B-9397-08002B2CF9AE}" pid="14" name="_AuthorEmailDisplayName">
    <vt:lpwstr>Salfati, Samuel : Markets</vt:lpwstr>
  </property>
</Properties>
</file>