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4D9D57BD-E6B0-488C-B9A5-B7A364DA299C}" xr6:coauthVersionLast="34" xr6:coauthVersionMax="34" xr10:uidLastSave="{00000000-0000-0000-0000-000000000000}"/>
  <bookViews>
    <workbookView xWindow="0" yWindow="180" windowWidth="19200" windowHeight="7834" activeTab="25"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state="hidden" r:id="rId7"/>
    <sheet name="_MSSB" sheetId="11" state="hidden" r:id="rId8"/>
    <sheet name="@Fan" sheetId="12" state="hidden" r:id="rId9"/>
    <sheet name="_Fan" sheetId="13" state="hidden" r:id="rId10"/>
    <sheet name="@VRF" sheetId="14" state="hidden" r:id="rId11"/>
    <sheet name="_VRF" sheetId="15" state="hidden" r:id="rId12"/>
    <sheet name="@Chiller" sheetId="18" state="hidden" r:id="rId13"/>
    <sheet name="_Chiller" sheetId="19" state="hidden" r:id="rId14"/>
    <sheet name="@Other" sheetId="20" state="hidden" r:id="rId15"/>
    <sheet name="_Other" sheetId="21" state="hidden" r:id="rId16"/>
    <sheet name="@Car Park" sheetId="8" state="hidden" r:id="rId17"/>
    <sheet name="Part List" sheetId="16" state="hidden" r:id="rId18"/>
    <sheet name="BOM" sheetId="29" r:id="rId19"/>
    <sheet name="Fan Summary" sheetId="28" r:id="rId20"/>
    <sheet name="Fan_Takeoff" sheetId="22" r:id="rId21"/>
    <sheet name="Fan_Pricing" sheetId="25" r:id="rId22"/>
    <sheet name="Fan_Backend" sheetId="24" r:id="rId23"/>
    <sheet name="Takeoff_Backend" sheetId="23" r:id="rId24"/>
    <sheet name="Parts" sheetId="26" r:id="rId25"/>
    <sheet name="AC_Backend" sheetId="30" r:id="rId26"/>
    <sheet name="IGOC_Parts" sheetId="17" state="hidden" r:id="rId27"/>
    <sheet name="MJS Controls" sheetId="9" state="hidden" r:id="rId28"/>
  </sheets>
  <externalReferences>
    <externalReference r:id="rId29"/>
    <externalReference r:id="rId30"/>
    <externalReference r:id="rId31"/>
    <externalReference r:id="rId32"/>
    <externalReference r:id="rId33"/>
    <externalReference r:id="rId34"/>
  </externalReferences>
  <definedNames>
    <definedName name="_xlnm._FilterDatabase" localSheetId="18" hidden="1">BOM!$A$1:$D$139</definedName>
    <definedName name="_xlnm._FilterDatabase" localSheetId="21" hidden="1">Fan_Pricing!$A$1:$F$102</definedName>
    <definedName name="_xlnm._FilterDatabase" localSheetId="20" hidden="1">Fan_Takeoff!$A$1:$A$33</definedName>
    <definedName name="_xlnm._FilterDatabase" localSheetId="0" hidden="1">'Job Summary'!$A$47:$D$181</definedName>
    <definedName name="_xlnm._FilterDatabase" localSheetId="1" hidden="1">Sheet1!$R$1:$S$131</definedName>
    <definedName name="_xlnm._FilterDatabase" localSheetId="3" hidden="1">Takeoffs!$A$1:$CS$2622</definedName>
    <definedName name="_xlnm.Print_Area" localSheetId="18">BOM!$A$1:$D$139</definedName>
    <definedName name="_xlnm.Print_Area" localSheetId="0">'Job Summary'!$A$46:$E$181</definedName>
    <definedName name="_xlnm.Print_Area" localSheetId="3">Takeoffs!$A$1:$AN$2120</definedName>
  </definedNames>
  <calcPr calcId="179021"/>
</workbook>
</file>

<file path=xl/calcChain.xml><?xml version="1.0" encoding="utf-8"?>
<calcChain xmlns="http://schemas.openxmlformats.org/spreadsheetml/2006/main">
  <c r="A33" i="22" l="1"/>
  <c r="B33" i="22" s="1"/>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B4" i="22" s="1"/>
  <c r="C4" i="22" s="1"/>
  <c r="D4" i="22" s="1"/>
  <c r="E4" i="22" s="1"/>
  <c r="F4" i="22" s="1"/>
  <c r="G4" i="22" s="1"/>
  <c r="H4" i="22" s="1"/>
  <c r="I4" i="22" s="1"/>
  <c r="J4" i="22" s="1"/>
  <c r="K4" i="22" s="1"/>
  <c r="L4" i="22" s="1"/>
  <c r="M4" i="22" s="1"/>
  <c r="N4" i="22" s="1"/>
  <c r="O4" i="22" s="1"/>
  <c r="P4" i="22" s="1"/>
  <c r="K22" i="22"/>
  <c r="J22" i="22"/>
  <c r="I22" i="22"/>
  <c r="H22" i="22"/>
  <c r="G22" i="22"/>
  <c r="F22" i="22"/>
  <c r="E22" i="22"/>
  <c r="U11" i="22"/>
  <c r="U25" i="22"/>
  <c r="U24" i="22"/>
  <c r="U23" i="22"/>
  <c r="U22" i="22"/>
  <c r="U21" i="22"/>
  <c r="U20" i="22"/>
  <c r="U19" i="22"/>
  <c r="U18" i="22"/>
  <c r="U17" i="22"/>
  <c r="U16" i="22"/>
  <c r="U15" i="22"/>
  <c r="U14" i="22"/>
  <c r="U13" i="22"/>
  <c r="U12" i="22"/>
  <c r="D22" i="29"/>
  <c r="C22" i="29" s="1"/>
  <c r="D23" i="29"/>
  <c r="D24" i="29"/>
  <c r="D25" i="29"/>
  <c r="C25" i="29" s="1"/>
  <c r="D26" i="29"/>
  <c r="C26" i="29" s="1"/>
  <c r="D27" i="29"/>
  <c r="D29" i="29"/>
  <c r="D30" i="29"/>
  <c r="D31" i="29"/>
  <c r="C31" i="29" s="1"/>
  <c r="D32" i="29"/>
  <c r="C32" i="29" s="1"/>
  <c r="D33" i="29"/>
  <c r="C33" i="29" s="1"/>
  <c r="D34" i="29"/>
  <c r="C34" i="29" s="1"/>
  <c r="D35" i="29"/>
  <c r="C35" i="29" s="1"/>
  <c r="D36" i="29"/>
  <c r="C36" i="29" s="1"/>
  <c r="D37" i="29"/>
  <c r="C37" i="29" s="1"/>
  <c r="D38" i="29"/>
  <c r="C38" i="29" s="1"/>
  <c r="D39" i="29"/>
  <c r="C39" i="29" s="1"/>
  <c r="D40" i="29"/>
  <c r="C40" i="29" s="1"/>
  <c r="D41" i="29"/>
  <c r="C41" i="29" s="1"/>
  <c r="D42" i="29"/>
  <c r="C42" i="29" s="1"/>
  <c r="D43" i="29"/>
  <c r="C43" i="29" s="1"/>
  <c r="D44" i="29"/>
  <c r="C44" i="29" s="1"/>
  <c r="D45" i="29"/>
  <c r="C45" i="29" s="1"/>
  <c r="D46" i="29"/>
  <c r="C46" i="29" s="1"/>
  <c r="D47" i="29"/>
  <c r="C47" i="29" s="1"/>
  <c r="D48" i="29"/>
  <c r="C48" i="29" s="1"/>
  <c r="D49" i="29"/>
  <c r="C49" i="29" s="1"/>
  <c r="D50" i="29"/>
  <c r="C50" i="29" s="1"/>
  <c r="D51" i="29"/>
  <c r="C51" i="29" s="1"/>
  <c r="D52" i="29"/>
  <c r="C52" i="29" s="1"/>
  <c r="D53" i="29"/>
  <c r="C53" i="29" s="1"/>
  <c r="D54" i="29"/>
  <c r="C54" i="29" s="1"/>
  <c r="D55" i="29"/>
  <c r="C55" i="29" s="1"/>
  <c r="D56" i="29"/>
  <c r="C56" i="29" s="1"/>
  <c r="D57" i="29"/>
  <c r="C57" i="29" s="1"/>
  <c r="D58" i="29"/>
  <c r="C58" i="29" s="1"/>
  <c r="D59" i="29"/>
  <c r="C59" i="29" s="1"/>
  <c r="D60" i="29"/>
  <c r="C60" i="29" s="1"/>
  <c r="D61" i="29"/>
  <c r="C61" i="29" s="1"/>
  <c r="D62" i="29"/>
  <c r="C62" i="29" s="1"/>
  <c r="D63" i="29"/>
  <c r="C63" i="29" s="1"/>
  <c r="D64" i="29"/>
  <c r="C64" i="29" s="1"/>
  <c r="D65" i="29"/>
  <c r="C65" i="29" s="1"/>
  <c r="D66" i="29"/>
  <c r="C66" i="29" s="1"/>
  <c r="D67" i="29"/>
  <c r="C67" i="29" s="1"/>
  <c r="D68" i="29"/>
  <c r="D69" i="29"/>
  <c r="C69" i="29" s="1"/>
  <c r="D70" i="29"/>
  <c r="C70" i="29" s="1"/>
  <c r="D71" i="29"/>
  <c r="C71" i="29" s="1"/>
  <c r="D72" i="29"/>
  <c r="C72" i="29" s="1"/>
  <c r="D73" i="29"/>
  <c r="C73" i="29" s="1"/>
  <c r="D74" i="29"/>
  <c r="C74" i="29" s="1"/>
  <c r="D75" i="29"/>
  <c r="C75" i="29" s="1"/>
  <c r="D76" i="29"/>
  <c r="C76" i="29" s="1"/>
  <c r="D77" i="29"/>
  <c r="C77" i="29" s="1"/>
  <c r="D78" i="29"/>
  <c r="C78" i="29" s="1"/>
  <c r="D79" i="29"/>
  <c r="C79" i="29" s="1"/>
  <c r="D80" i="29"/>
  <c r="C80" i="29" s="1"/>
  <c r="D81" i="29"/>
  <c r="C81" i="29" s="1"/>
  <c r="D82" i="29"/>
  <c r="C82" i="29" s="1"/>
  <c r="D83" i="29"/>
  <c r="C83" i="29" s="1"/>
  <c r="D84" i="29"/>
  <c r="C84" i="29" s="1"/>
  <c r="D85" i="29"/>
  <c r="C85" i="29" s="1"/>
  <c r="D86" i="29"/>
  <c r="C86" i="29" s="1"/>
  <c r="D87" i="29"/>
  <c r="C87" i="29" s="1"/>
  <c r="D88" i="29"/>
  <c r="C88" i="29" s="1"/>
  <c r="D89" i="29"/>
  <c r="C89" i="29" s="1"/>
  <c r="D90" i="29"/>
  <c r="C90" i="29" s="1"/>
  <c r="D91" i="29"/>
  <c r="C91" i="29" s="1"/>
  <c r="D92" i="29"/>
  <c r="C92" i="29" s="1"/>
  <c r="D93" i="29"/>
  <c r="C93" i="29" s="1"/>
  <c r="D94" i="29"/>
  <c r="C94" i="29" s="1"/>
  <c r="D95" i="29"/>
  <c r="C95" i="29" s="1"/>
  <c r="D96" i="29"/>
  <c r="C96" i="29" s="1"/>
  <c r="D97" i="29"/>
  <c r="C97" i="29" s="1"/>
  <c r="D98" i="29"/>
  <c r="C98" i="29" s="1"/>
  <c r="D99" i="29"/>
  <c r="C99" i="29" s="1"/>
  <c r="D100" i="29"/>
  <c r="C100" i="29" s="1"/>
  <c r="D101" i="29"/>
  <c r="C101" i="29" s="1"/>
  <c r="D102" i="29"/>
  <c r="C102" i="29" s="1"/>
  <c r="D103" i="29"/>
  <c r="C103" i="29" s="1"/>
  <c r="D104" i="29"/>
  <c r="C104" i="29" s="1"/>
  <c r="D105" i="29"/>
  <c r="C105" i="29" s="1"/>
  <c r="D106" i="29"/>
  <c r="C106" i="29" s="1"/>
  <c r="D107" i="29"/>
  <c r="C107" i="29" s="1"/>
  <c r="D108" i="29"/>
  <c r="C108" i="29" s="1"/>
  <c r="D109" i="29"/>
  <c r="C109" i="29" s="1"/>
  <c r="D110" i="29"/>
  <c r="C110" i="29" s="1"/>
  <c r="D111" i="29"/>
  <c r="C111" i="29" s="1"/>
  <c r="D112" i="29"/>
  <c r="C112" i="29" s="1"/>
  <c r="D113" i="29"/>
  <c r="D114" i="29"/>
  <c r="C114" i="29" s="1"/>
  <c r="D115" i="29"/>
  <c r="C115" i="29" s="1"/>
  <c r="D116" i="29"/>
  <c r="C116" i="29" s="1"/>
  <c r="D117" i="29"/>
  <c r="C117" i="29" s="1"/>
  <c r="D118" i="29"/>
  <c r="C118" i="29" s="1"/>
  <c r="D122" i="29"/>
  <c r="C122" i="29" s="1"/>
  <c r="D123" i="29"/>
  <c r="C123" i="29" s="1"/>
  <c r="D131" i="29"/>
  <c r="C131" i="29" s="1"/>
  <c r="D132" i="29"/>
  <c r="C132" i="29" s="1"/>
  <c r="D133" i="29"/>
  <c r="C133" i="29" s="1"/>
  <c r="D134" i="29"/>
  <c r="C134" i="29" s="1"/>
  <c r="D135" i="29"/>
  <c r="C135" i="29" s="1"/>
  <c r="D136" i="29"/>
  <c r="C136" i="29" s="1"/>
  <c r="D137" i="29"/>
  <c r="C137" i="29" s="1"/>
  <c r="D139" i="29"/>
  <c r="C139" i="29" s="1"/>
  <c r="C113" i="29"/>
  <c r="A18" i="29"/>
  <c r="B18" i="29"/>
  <c r="A19" i="29"/>
  <c r="B19" i="29"/>
  <c r="A20" i="29"/>
  <c r="B20" i="29"/>
  <c r="A21" i="29"/>
  <c r="B21" i="29"/>
  <c r="A22" i="29"/>
  <c r="B22" i="29"/>
  <c r="A23" i="29"/>
  <c r="B23" i="29"/>
  <c r="A24" i="29"/>
  <c r="B24" i="29"/>
  <c r="A25" i="29"/>
  <c r="B25" i="29"/>
  <c r="A26" i="29"/>
  <c r="B26" i="29"/>
  <c r="A27" i="29"/>
  <c r="C27" i="29" s="1"/>
  <c r="B27" i="29"/>
  <c r="A28" i="29"/>
  <c r="B28" i="29"/>
  <c r="A29" i="29"/>
  <c r="B29" i="29"/>
  <c r="A30" i="29"/>
  <c r="B30" i="29"/>
  <c r="A31" i="29"/>
  <c r="B31" i="29"/>
  <c r="A32" i="29"/>
  <c r="B32" i="29"/>
  <c r="A33" i="29"/>
  <c r="B33" i="29"/>
  <c r="A34" i="29"/>
  <c r="B34" i="29"/>
  <c r="A35" i="29"/>
  <c r="B35" i="29"/>
  <c r="A36" i="29"/>
  <c r="B36" i="29"/>
  <c r="A37" i="29"/>
  <c r="B37" i="29"/>
  <c r="A38" i="29"/>
  <c r="B38" i="29"/>
  <c r="A39" i="29"/>
  <c r="B39" i="29"/>
  <c r="A40" i="29"/>
  <c r="B40" i="29"/>
  <c r="A41" i="29"/>
  <c r="B41" i="29"/>
  <c r="A42" i="29"/>
  <c r="B42" i="29"/>
  <c r="A43" i="29"/>
  <c r="B43" i="29"/>
  <c r="A44" i="29"/>
  <c r="B44" i="29"/>
  <c r="A45" i="29"/>
  <c r="B45" i="29"/>
  <c r="A46" i="29"/>
  <c r="B46" i="29"/>
  <c r="A47" i="29"/>
  <c r="B47" i="29"/>
  <c r="A48" i="29"/>
  <c r="B48" i="29"/>
  <c r="A49" i="29"/>
  <c r="B49" i="29"/>
  <c r="A50" i="29"/>
  <c r="B50" i="29"/>
  <c r="A51" i="29"/>
  <c r="B51" i="29"/>
  <c r="A52" i="29"/>
  <c r="B52" i="29"/>
  <c r="A53" i="29"/>
  <c r="B53" i="29"/>
  <c r="A54" i="29"/>
  <c r="B54" i="29"/>
  <c r="A55" i="29"/>
  <c r="B55" i="29"/>
  <c r="A56" i="29"/>
  <c r="B56" i="29"/>
  <c r="A57" i="29"/>
  <c r="B57" i="29"/>
  <c r="A58" i="29"/>
  <c r="B58" i="29"/>
  <c r="A59" i="29"/>
  <c r="B59" i="29"/>
  <c r="A60" i="29"/>
  <c r="B60" i="29"/>
  <c r="A61" i="29"/>
  <c r="B61" i="29"/>
  <c r="A62" i="29"/>
  <c r="B62" i="29"/>
  <c r="A63" i="29"/>
  <c r="B63" i="29"/>
  <c r="A64" i="29"/>
  <c r="B64" i="29"/>
  <c r="A65" i="29"/>
  <c r="B65" i="29"/>
  <c r="A66" i="29"/>
  <c r="B66" i="29"/>
  <c r="A67" i="29"/>
  <c r="B67" i="29"/>
  <c r="A68" i="29"/>
  <c r="B68" i="29"/>
  <c r="C68" i="29"/>
  <c r="A69" i="29"/>
  <c r="B69" i="29"/>
  <c r="A70" i="29"/>
  <c r="B70" i="29"/>
  <c r="A71" i="29"/>
  <c r="B71" i="29"/>
  <c r="A72" i="29"/>
  <c r="B72" i="29"/>
  <c r="A73" i="29"/>
  <c r="B73" i="29"/>
  <c r="A74" i="29"/>
  <c r="B74" i="29"/>
  <c r="A75" i="29"/>
  <c r="B75" i="29"/>
  <c r="A76" i="29"/>
  <c r="B76" i="29"/>
  <c r="A77" i="29"/>
  <c r="B77" i="29"/>
  <c r="A78" i="29"/>
  <c r="B78" i="29"/>
  <c r="A79" i="29"/>
  <c r="B79" i="29"/>
  <c r="A80" i="29"/>
  <c r="B80" i="29"/>
  <c r="A81" i="29"/>
  <c r="B81" i="29"/>
  <c r="A82" i="29"/>
  <c r="B82" i="29"/>
  <c r="A83" i="29"/>
  <c r="B83" i="29"/>
  <c r="A84" i="29"/>
  <c r="B84" i="29"/>
  <c r="A85" i="29"/>
  <c r="B85" i="29"/>
  <c r="A86" i="29"/>
  <c r="B86" i="29"/>
  <c r="A87" i="29"/>
  <c r="B87" i="29"/>
  <c r="A88" i="29"/>
  <c r="B88" i="29"/>
  <c r="A89" i="29"/>
  <c r="B89" i="29"/>
  <c r="A90" i="29"/>
  <c r="B90" i="29"/>
  <c r="A91" i="29"/>
  <c r="B91" i="29"/>
  <c r="A92" i="29"/>
  <c r="B92" i="29"/>
  <c r="A93" i="29"/>
  <c r="B93" i="29"/>
  <c r="A94" i="29"/>
  <c r="B94" i="29"/>
  <c r="A95" i="29"/>
  <c r="B95" i="29"/>
  <c r="A96" i="29"/>
  <c r="B96" i="29"/>
  <c r="A97" i="29"/>
  <c r="B97" i="29"/>
  <c r="A98" i="29"/>
  <c r="B98" i="29"/>
  <c r="A99" i="29"/>
  <c r="B99" i="29"/>
  <c r="A100" i="29"/>
  <c r="B100" i="29"/>
  <c r="A101" i="29"/>
  <c r="B101" i="29"/>
  <c r="A102" i="29"/>
  <c r="B102" i="29"/>
  <c r="A103" i="29"/>
  <c r="B103" i="29"/>
  <c r="A104" i="29"/>
  <c r="B104" i="29"/>
  <c r="A105" i="29"/>
  <c r="B105" i="29"/>
  <c r="A106" i="29"/>
  <c r="B106" i="29"/>
  <c r="A107" i="29"/>
  <c r="B107" i="29"/>
  <c r="A108" i="29"/>
  <c r="B108" i="29"/>
  <c r="A109" i="29"/>
  <c r="B109" i="29"/>
  <c r="A110" i="29"/>
  <c r="B110" i="29"/>
  <c r="A111" i="29"/>
  <c r="B111" i="29"/>
  <c r="A112" i="29"/>
  <c r="B112" i="29"/>
  <c r="A113" i="29"/>
  <c r="B113" i="29"/>
  <c r="A114" i="29"/>
  <c r="B114" i="29"/>
  <c r="A115" i="29"/>
  <c r="B115" i="29"/>
  <c r="A116" i="29"/>
  <c r="B116" i="29"/>
  <c r="A117" i="29"/>
  <c r="B117" i="29"/>
  <c r="A118" i="29"/>
  <c r="B118" i="29"/>
  <c r="A119" i="29"/>
  <c r="B119" i="29"/>
  <c r="A120" i="29"/>
  <c r="B120" i="29"/>
  <c r="A121" i="29"/>
  <c r="B121" i="29"/>
  <c r="A122" i="29"/>
  <c r="B122" i="29"/>
  <c r="A123" i="29"/>
  <c r="B123" i="29"/>
  <c r="A124" i="29"/>
  <c r="B124" i="29"/>
  <c r="A125" i="29"/>
  <c r="B125" i="29"/>
  <c r="A126" i="29"/>
  <c r="B126" i="29"/>
  <c r="A127" i="29"/>
  <c r="B127" i="29"/>
  <c r="A128" i="29"/>
  <c r="B128" i="29"/>
  <c r="A129" i="29"/>
  <c r="B129" i="29"/>
  <c r="A130" i="29"/>
  <c r="B130" i="29"/>
  <c r="A131" i="29"/>
  <c r="B131" i="29"/>
  <c r="A132" i="29"/>
  <c r="B132" i="29"/>
  <c r="A133" i="29"/>
  <c r="B133" i="29"/>
  <c r="A134" i="29"/>
  <c r="B134" i="29"/>
  <c r="A135" i="29"/>
  <c r="B135" i="29"/>
  <c r="A136" i="29"/>
  <c r="B136" i="29"/>
  <c r="A137" i="29"/>
  <c r="B137" i="29"/>
  <c r="A138" i="29"/>
  <c r="B138" i="29"/>
  <c r="A139" i="29"/>
  <c r="B139" i="29"/>
  <c r="A2" i="29"/>
  <c r="B2" i="29"/>
  <c r="A3" i="29"/>
  <c r="B3" i="29"/>
  <c r="A4" i="29"/>
  <c r="B4" i="29"/>
  <c r="A5" i="29"/>
  <c r="B5" i="29"/>
  <c r="A6" i="29"/>
  <c r="B6" i="29"/>
  <c r="A7" i="29"/>
  <c r="B7" i="29"/>
  <c r="A8" i="29"/>
  <c r="B8" i="29"/>
  <c r="A9" i="29"/>
  <c r="B9" i="29"/>
  <c r="A10" i="29"/>
  <c r="B10" i="29"/>
  <c r="A11" i="29"/>
  <c r="B11" i="29"/>
  <c r="A12" i="29"/>
  <c r="B12" i="29"/>
  <c r="A13" i="29"/>
  <c r="B13" i="29"/>
  <c r="A14" i="29"/>
  <c r="B14" i="29"/>
  <c r="A15" i="29"/>
  <c r="B15" i="29"/>
  <c r="A16" i="29"/>
  <c r="B16" i="29"/>
  <c r="A17" i="29"/>
  <c r="B17" i="29"/>
  <c r="B1" i="29"/>
  <c r="A1" i="29"/>
  <c r="F8" i="25"/>
  <c r="F14" i="25"/>
  <c r="F16" i="25"/>
  <c r="F18" i="25"/>
  <c r="F20" i="25"/>
  <c r="F22" i="25"/>
  <c r="F24" i="25"/>
  <c r="F26" i="25"/>
  <c r="F28" i="25"/>
  <c r="F37" i="25"/>
  <c r="F39" i="25"/>
  <c r="F42" i="25"/>
  <c r="F45" i="25"/>
  <c r="F49" i="25"/>
  <c r="F52" i="25"/>
  <c r="F55" i="25"/>
  <c r="F59" i="25"/>
  <c r="F63" i="25"/>
  <c r="F65" i="25"/>
  <c r="F67" i="25"/>
  <c r="F69" i="25"/>
  <c r="F72" i="25"/>
  <c r="F84" i="25"/>
  <c r="F88" i="25"/>
  <c r="F2" i="25"/>
  <c r="L11" i="22"/>
  <c r="N11" i="22" s="1"/>
  <c r="Q13" i="22" s="1"/>
  <c r="M11" i="22"/>
  <c r="Q7" i="22"/>
  <c r="R7" i="22"/>
  <c r="S7" i="22"/>
  <c r="Q8" i="22"/>
  <c r="R8" i="22"/>
  <c r="S8" i="22"/>
  <c r="Q12" i="22"/>
  <c r="R12" i="22"/>
  <c r="S12" i="22"/>
  <c r="Q23" i="22"/>
  <c r="R23" i="22"/>
  <c r="S23" i="22"/>
  <c r="Q26" i="22"/>
  <c r="R26" i="22"/>
  <c r="S26" i="22"/>
  <c r="Q27" i="22"/>
  <c r="R27" i="22"/>
  <c r="S27" i="22"/>
  <c r="E11" i="22"/>
  <c r="F14" i="22"/>
  <c r="G23" i="22"/>
  <c r="G20" i="22"/>
  <c r="F15" i="22"/>
  <c r="F16" i="22"/>
  <c r="E13" i="22"/>
  <c r="E12" i="22"/>
  <c r="M14" i="22"/>
  <c r="O14" i="22" s="1"/>
  <c r="R16" i="22" s="1"/>
  <c r="L14" i="22"/>
  <c r="N14" i="22" s="1"/>
  <c r="Q16" i="22" s="1"/>
  <c r="M13" i="22"/>
  <c r="O13" i="22" s="1"/>
  <c r="R15" i="22" s="1"/>
  <c r="L13" i="22"/>
  <c r="M12" i="22"/>
  <c r="O12" i="22" s="1"/>
  <c r="R14" i="22" s="1"/>
  <c r="L12" i="22"/>
  <c r="M20" i="22"/>
  <c r="O20" i="22" s="1"/>
  <c r="R22" i="22" s="1"/>
  <c r="L20" i="22"/>
  <c r="N20" i="22" s="1"/>
  <c r="Q22" i="22" s="1"/>
  <c r="M19" i="22"/>
  <c r="O19" i="22" s="1"/>
  <c r="R21" i="22" s="1"/>
  <c r="L19" i="22"/>
  <c r="N19" i="22" s="1"/>
  <c r="Q21" i="22" s="1"/>
  <c r="M18" i="22"/>
  <c r="O18" i="22" s="1"/>
  <c r="R20" i="22" s="1"/>
  <c r="L18" i="22"/>
  <c r="N18" i="22" s="1"/>
  <c r="Q20" i="22" s="1"/>
  <c r="M17" i="22"/>
  <c r="O17" i="22" s="1"/>
  <c r="R19" i="22" s="1"/>
  <c r="L17" i="22"/>
  <c r="N17" i="22" s="1"/>
  <c r="Q19" i="22" s="1"/>
  <c r="M16" i="22"/>
  <c r="O16" i="22" s="1"/>
  <c r="R18" i="22" s="1"/>
  <c r="L16" i="22"/>
  <c r="M15" i="22"/>
  <c r="O15" i="22" s="1"/>
  <c r="R17" i="22" s="1"/>
  <c r="L15" i="22"/>
  <c r="N15" i="22" s="1"/>
  <c r="Q17" i="22" s="1"/>
  <c r="E102" i="25"/>
  <c r="D102" i="25"/>
  <c r="E101" i="25"/>
  <c r="D101" i="25"/>
  <c r="E100" i="25"/>
  <c r="D100" i="25"/>
  <c r="E99" i="25"/>
  <c r="D99" i="25"/>
  <c r="E98" i="25"/>
  <c r="D98" i="25"/>
  <c r="E97" i="25"/>
  <c r="D97" i="25"/>
  <c r="E96" i="25"/>
  <c r="D96" i="25"/>
  <c r="E95" i="25"/>
  <c r="D95" i="25"/>
  <c r="E94" i="25"/>
  <c r="D94" i="25"/>
  <c r="E93" i="25"/>
  <c r="D93" i="25"/>
  <c r="E92" i="25"/>
  <c r="D92" i="25"/>
  <c r="E91" i="25"/>
  <c r="D91" i="25"/>
  <c r="E90" i="25"/>
  <c r="D90" i="25"/>
  <c r="E89" i="25"/>
  <c r="D89" i="25"/>
  <c r="E87" i="25"/>
  <c r="D87" i="25"/>
  <c r="E86" i="25"/>
  <c r="D86" i="25"/>
  <c r="E85" i="25"/>
  <c r="D85" i="25"/>
  <c r="E83" i="25"/>
  <c r="D83" i="25"/>
  <c r="E82" i="25"/>
  <c r="D82" i="25"/>
  <c r="E81" i="25"/>
  <c r="D81" i="25"/>
  <c r="E80" i="25"/>
  <c r="D80" i="25"/>
  <c r="E79" i="25"/>
  <c r="D79" i="25"/>
  <c r="E78" i="25"/>
  <c r="D78" i="25"/>
  <c r="E77" i="25"/>
  <c r="D77" i="25"/>
  <c r="E76" i="25"/>
  <c r="D76" i="25"/>
  <c r="E75" i="25"/>
  <c r="D75" i="25"/>
  <c r="E74" i="25"/>
  <c r="D74" i="25"/>
  <c r="E73" i="25"/>
  <c r="D73" i="25"/>
  <c r="E71" i="25"/>
  <c r="D71" i="25"/>
  <c r="E70" i="25"/>
  <c r="D70" i="25"/>
  <c r="E68" i="25"/>
  <c r="E67" i="25" s="1"/>
  <c r="D68" i="25"/>
  <c r="D67" i="25" s="1"/>
  <c r="E66" i="25"/>
  <c r="E65" i="25" s="1"/>
  <c r="D66" i="25"/>
  <c r="D65" i="25" s="1"/>
  <c r="E64" i="25"/>
  <c r="E63" i="25" s="1"/>
  <c r="D64" i="25"/>
  <c r="D63" i="25" s="1"/>
  <c r="E62" i="25"/>
  <c r="D62" i="25"/>
  <c r="E61" i="25"/>
  <c r="D61" i="25"/>
  <c r="E60" i="25"/>
  <c r="D60" i="25"/>
  <c r="E58" i="25"/>
  <c r="D58" i="25"/>
  <c r="E57" i="25"/>
  <c r="D57" i="25"/>
  <c r="E56" i="25"/>
  <c r="D56" i="25"/>
  <c r="E54" i="25"/>
  <c r="D54" i="25"/>
  <c r="E53" i="25"/>
  <c r="D53" i="25"/>
  <c r="E51" i="25"/>
  <c r="D51" i="25"/>
  <c r="E50" i="25"/>
  <c r="D50" i="25"/>
  <c r="E48" i="25"/>
  <c r="D48" i="25"/>
  <c r="E47" i="25"/>
  <c r="D47" i="25"/>
  <c r="E46" i="25"/>
  <c r="D46" i="25"/>
  <c r="E44" i="25"/>
  <c r="D44" i="25"/>
  <c r="E43" i="25"/>
  <c r="D43" i="25"/>
  <c r="E41" i="25"/>
  <c r="D41" i="25"/>
  <c r="E40" i="25"/>
  <c r="D40" i="25"/>
  <c r="E38" i="25"/>
  <c r="E37" i="25" s="1"/>
  <c r="D38" i="25"/>
  <c r="D37" i="25" s="1"/>
  <c r="E36" i="25"/>
  <c r="D36" i="25"/>
  <c r="E35" i="25"/>
  <c r="D35" i="25"/>
  <c r="E34" i="25"/>
  <c r="D34" i="25"/>
  <c r="E33" i="25"/>
  <c r="D33" i="25"/>
  <c r="E32" i="25"/>
  <c r="D32" i="25"/>
  <c r="E31" i="25"/>
  <c r="D31" i="25"/>
  <c r="E30" i="25"/>
  <c r="D30" i="25"/>
  <c r="E29" i="25"/>
  <c r="D29" i="25"/>
  <c r="E25" i="25"/>
  <c r="D25" i="25"/>
  <c r="D24" i="25" s="1"/>
  <c r="E27" i="25"/>
  <c r="E26" i="25" s="1"/>
  <c r="M32" i="22" s="1"/>
  <c r="D27" i="25"/>
  <c r="D26" i="25" s="1"/>
  <c r="L32" i="22" s="1"/>
  <c r="E23" i="25"/>
  <c r="E22" i="25" s="1"/>
  <c r="D23" i="25"/>
  <c r="D22" i="25" s="1"/>
  <c r="L30" i="22" s="1"/>
  <c r="E21" i="25"/>
  <c r="E20" i="25" s="1"/>
  <c r="M29" i="22" s="1"/>
  <c r="D21" i="25"/>
  <c r="D20" i="25" s="1"/>
  <c r="L29" i="22" s="1"/>
  <c r="E19" i="25"/>
  <c r="E18" i="25" s="1"/>
  <c r="M28" i="22" s="1"/>
  <c r="D19" i="25"/>
  <c r="D18" i="25" s="1"/>
  <c r="L28" i="22" s="1"/>
  <c r="E17" i="25"/>
  <c r="E16" i="25" s="1"/>
  <c r="M27" i="22" s="1"/>
  <c r="D17" i="25"/>
  <c r="D16" i="25" s="1"/>
  <c r="L27" i="22" s="1"/>
  <c r="E15" i="25"/>
  <c r="E14" i="25" s="1"/>
  <c r="M26" i="22" s="1"/>
  <c r="D15" i="25"/>
  <c r="D14" i="25" s="1"/>
  <c r="L26" i="22" s="1"/>
  <c r="E13" i="25"/>
  <c r="D13" i="25"/>
  <c r="E12" i="25"/>
  <c r="D12" i="25"/>
  <c r="E11" i="25"/>
  <c r="D11" i="25"/>
  <c r="E10" i="25"/>
  <c r="D10" i="25"/>
  <c r="E9" i="25"/>
  <c r="D9" i="25"/>
  <c r="D3" i="25"/>
  <c r="E3" i="25"/>
  <c r="D4" i="25"/>
  <c r="E4" i="25"/>
  <c r="D5" i="25"/>
  <c r="E5" i="25"/>
  <c r="D6" i="25"/>
  <c r="E6" i="25"/>
  <c r="D7" i="25"/>
  <c r="E7" i="25"/>
  <c r="C138" i="26"/>
  <c r="G137" i="26"/>
  <c r="F137" i="26"/>
  <c r="D137" i="26"/>
  <c r="E137" i="26"/>
  <c r="C137" i="26"/>
  <c r="B137" i="26"/>
  <c r="C9" i="26"/>
  <c r="C33" i="22" l="1"/>
  <c r="B20" i="28" s="1"/>
  <c r="M30" i="22"/>
  <c r="C23" i="29"/>
  <c r="B8" i="28"/>
  <c r="F68" i="25" s="1"/>
  <c r="B3" i="28"/>
  <c r="F40" i="25" s="1"/>
  <c r="C29" i="29"/>
  <c r="C24" i="29"/>
  <c r="C30" i="29"/>
  <c r="E24" i="25"/>
  <c r="D42" i="25"/>
  <c r="D45" i="25"/>
  <c r="D59" i="25"/>
  <c r="D69" i="25"/>
  <c r="D72" i="25"/>
  <c r="D88" i="25"/>
  <c r="L31" i="22"/>
  <c r="D8" i="25"/>
  <c r="E8" i="25"/>
  <c r="E28" i="25"/>
  <c r="E49" i="25"/>
  <c r="E52" i="25"/>
  <c r="E55" i="25"/>
  <c r="O11" i="22"/>
  <c r="R13" i="22" s="1"/>
  <c r="N12" i="22"/>
  <c r="E42" i="25"/>
  <c r="E45" i="25"/>
  <c r="E59" i="25"/>
  <c r="E69" i="25"/>
  <c r="E72" i="25"/>
  <c r="E88" i="25"/>
  <c r="N16" i="22"/>
  <c r="D28" i="25"/>
  <c r="D49" i="25"/>
  <c r="D52" i="25"/>
  <c r="D55" i="25"/>
  <c r="D84" i="25"/>
  <c r="L23" i="22" s="1"/>
  <c r="N23" i="22" s="1"/>
  <c r="E84" i="25"/>
  <c r="M23" i="22" s="1"/>
  <c r="O23" i="22" s="1"/>
  <c r="R25" i="22" s="1"/>
  <c r="D39" i="25"/>
  <c r="E39" i="25"/>
  <c r="D2" i="25"/>
  <c r="E2" i="25"/>
  <c r="P20" i="22"/>
  <c r="S22" i="22" s="1"/>
  <c r="P17" i="22"/>
  <c r="S19" i="22" s="1"/>
  <c r="P14" i="22"/>
  <c r="S16" i="22" s="1"/>
  <c r="P15" i="22"/>
  <c r="S17" i="22" s="1"/>
  <c r="P19" i="22"/>
  <c r="S21" i="22" s="1"/>
  <c r="P18" i="22"/>
  <c r="S20" i="22" s="1"/>
  <c r="F91" i="25" l="1"/>
  <c r="F101" i="25"/>
  <c r="F92" i="25"/>
  <c r="F90" i="25"/>
  <c r="D3" i="29" s="1"/>
  <c r="C3" i="29" s="1"/>
  <c r="F89" i="25"/>
  <c r="F98" i="25"/>
  <c r="F96" i="25"/>
  <c r="D129" i="29" s="1"/>
  <c r="C129" i="29" s="1"/>
  <c r="F95" i="25"/>
  <c r="F102" i="25"/>
  <c r="F93" i="25"/>
  <c r="D127" i="29" s="1"/>
  <c r="C127" i="29" s="1"/>
  <c r="F99" i="25"/>
  <c r="D125" i="29" s="1"/>
  <c r="C125" i="29" s="1"/>
  <c r="B5" i="28"/>
  <c r="F61" i="25" s="1"/>
  <c r="B4" i="28"/>
  <c r="F57" i="25" s="1"/>
  <c r="B9" i="28"/>
  <c r="F71" i="25" s="1"/>
  <c r="B13" i="28"/>
  <c r="F46" i="25" s="1"/>
  <c r="D18" i="29" s="1"/>
  <c r="C18" i="29" s="1"/>
  <c r="B10" i="28"/>
  <c r="B2" i="28"/>
  <c r="F38" i="25" s="1"/>
  <c r="B7" i="28"/>
  <c r="F66" i="25" s="1"/>
  <c r="D11" i="29" s="1"/>
  <c r="C11" i="29" s="1"/>
  <c r="B17" i="28"/>
  <c r="F11" i="25" s="1"/>
  <c r="B6" i="28"/>
  <c r="F64" i="25" s="1"/>
  <c r="D20" i="29" s="1"/>
  <c r="C20" i="29" s="1"/>
  <c r="B11" i="28"/>
  <c r="F87" i="25" s="1"/>
  <c r="B19" i="28"/>
  <c r="F77" i="25" s="1"/>
  <c r="D7" i="29" s="1"/>
  <c r="C7" i="29" s="1"/>
  <c r="B12" i="28"/>
  <c r="F43" i="25" s="1"/>
  <c r="F97" i="25"/>
  <c r="D130" i="29" s="1"/>
  <c r="C130" i="29" s="1"/>
  <c r="F100" i="25"/>
  <c r="D124" i="29" s="1"/>
  <c r="C124" i="29" s="1"/>
  <c r="F94" i="25"/>
  <c r="D128" i="29" s="1"/>
  <c r="C128" i="29" s="1"/>
  <c r="F13" i="25"/>
  <c r="F44" i="25"/>
  <c r="D10" i="29" s="1"/>
  <c r="C10" i="29" s="1"/>
  <c r="D33" i="22"/>
  <c r="E33" i="22" s="1"/>
  <c r="F33" i="22" s="1"/>
  <c r="G33" i="22" s="1"/>
  <c r="H33" i="22" s="1"/>
  <c r="I33" i="22" s="1"/>
  <c r="J33" i="22" s="1"/>
  <c r="K33" i="22" s="1"/>
  <c r="L33" i="22" s="1"/>
  <c r="M33" i="22" s="1"/>
  <c r="N33" i="22" s="1"/>
  <c r="O33" i="22" s="1"/>
  <c r="P33" i="22" s="1"/>
  <c r="B18" i="28"/>
  <c r="B14" i="28"/>
  <c r="B15" i="28"/>
  <c r="B16" i="28"/>
  <c r="F70" i="25"/>
  <c r="L22" i="22"/>
  <c r="N22" i="22" s="1"/>
  <c r="Q24" i="22" s="1"/>
  <c r="M31" i="22"/>
  <c r="N13" i="22"/>
  <c r="Q15" i="22" s="1"/>
  <c r="M22" i="22"/>
  <c r="O22" i="22" s="1"/>
  <c r="R24" i="22" s="1"/>
  <c r="F73" i="25"/>
  <c r="F76" i="25"/>
  <c r="D28" i="29" s="1"/>
  <c r="C28" i="29" s="1"/>
  <c r="F81" i="25"/>
  <c r="F74" i="25"/>
  <c r="F79" i="25"/>
  <c r="F80" i="25"/>
  <c r="F82" i="25"/>
  <c r="F75" i="25"/>
  <c r="F86" i="25"/>
  <c r="H10" i="22"/>
  <c r="D29" i="22" s="1"/>
  <c r="N29" i="22" s="1"/>
  <c r="Q31" i="22" s="1"/>
  <c r="F56" i="25"/>
  <c r="D12" i="29" s="1"/>
  <c r="C12" i="29" s="1"/>
  <c r="F58" i="25"/>
  <c r="F85" i="25"/>
  <c r="F41" i="25"/>
  <c r="D138" i="29" s="1"/>
  <c r="C138" i="29" s="1"/>
  <c r="P16" i="22"/>
  <c r="S18" i="22" s="1"/>
  <c r="Q18" i="22"/>
  <c r="P23" i="22"/>
  <c r="S25" i="22" s="1"/>
  <c r="Q25" i="22"/>
  <c r="P12" i="22"/>
  <c r="S14" i="22" s="1"/>
  <c r="Q14" i="22"/>
  <c r="P11" i="22"/>
  <c r="S13" i="22" s="1"/>
  <c r="P13" i="22"/>
  <c r="S15" i="22" s="1"/>
  <c r="F62" i="25" l="1"/>
  <c r="F60" i="25"/>
  <c r="D16" i="29" s="1"/>
  <c r="C16" i="29" s="1"/>
  <c r="F83" i="25"/>
  <c r="F78" i="25"/>
  <c r="F12" i="25"/>
  <c r="F10" i="25"/>
  <c r="F47" i="25"/>
  <c r="D19" i="29" s="1"/>
  <c r="C19" i="29" s="1"/>
  <c r="F48" i="25"/>
  <c r="F9" i="25"/>
  <c r="F51" i="25"/>
  <c r="F50" i="25"/>
  <c r="F31" i="25"/>
  <c r="F29" i="25"/>
  <c r="F35" i="25"/>
  <c r="D15" i="29" s="1"/>
  <c r="C15" i="29" s="1"/>
  <c r="F30" i="25"/>
  <c r="F36" i="25"/>
  <c r="F34" i="25"/>
  <c r="D13" i="29" s="1"/>
  <c r="C13" i="29" s="1"/>
  <c r="F33" i="25"/>
  <c r="D9" i="29" s="1"/>
  <c r="C9" i="29" s="1"/>
  <c r="F32" i="25"/>
  <c r="D5" i="29" s="1"/>
  <c r="C5" i="29" s="1"/>
  <c r="F3" i="25"/>
  <c r="D6" i="29" s="1"/>
  <c r="C6" i="29" s="1"/>
  <c r="F4" i="25"/>
  <c r="D2" i="29" s="1"/>
  <c r="C2" i="29" s="1"/>
  <c r="F7" i="25"/>
  <c r="D8" i="29" s="1"/>
  <c r="C8" i="29" s="1"/>
  <c r="F5" i="25"/>
  <c r="D4" i="29" s="1"/>
  <c r="C4" i="29" s="1"/>
  <c r="F6" i="25"/>
  <c r="D17" i="29" s="1"/>
  <c r="C17" i="29" s="1"/>
  <c r="F54" i="25"/>
  <c r="F53" i="25"/>
  <c r="P22" i="22"/>
  <c r="S24" i="22" s="1"/>
  <c r="O29" i="22"/>
  <c r="R31" i="22" s="1"/>
  <c r="U29" i="22"/>
  <c r="B26" i="28" s="1"/>
  <c r="F21" i="25" s="1"/>
  <c r="D119" i="29" s="1"/>
  <c r="C119" i="29" s="1"/>
  <c r="F10" i="22"/>
  <c r="D27" i="22" s="1"/>
  <c r="N27" i="22" s="1"/>
  <c r="Q29" i="22" s="1"/>
  <c r="G10" i="22"/>
  <c r="D28" i="22" s="1"/>
  <c r="N28" i="22" s="1"/>
  <c r="I10" i="22"/>
  <c r="D30" i="22" s="1"/>
  <c r="P29" i="22" l="1"/>
  <c r="S31" i="22" s="1"/>
  <c r="U27" i="22"/>
  <c r="O27" i="22"/>
  <c r="R29" i="22" s="1"/>
  <c r="E10" i="22"/>
  <c r="D26" i="22" s="1"/>
  <c r="U26" i="22" s="1"/>
  <c r="O28" i="22"/>
  <c r="R30" i="22" s="1"/>
  <c r="U28" i="22"/>
  <c r="J10" i="22"/>
  <c r="D31" i="22" s="1"/>
  <c r="O31" i="22" s="1"/>
  <c r="U30" i="22"/>
  <c r="B27" i="28" s="1"/>
  <c r="F23" i="25" s="1"/>
  <c r="D120" i="29" s="1"/>
  <c r="C120" i="29" s="1"/>
  <c r="N30" i="22"/>
  <c r="O30" i="22"/>
  <c r="R32" i="22" s="1"/>
  <c r="Q30" i="22"/>
  <c r="O26" i="22" l="1"/>
  <c r="R28" i="22" s="1"/>
  <c r="N26" i="22"/>
  <c r="Q28" i="22" s="1"/>
  <c r="P28" i="22"/>
  <c r="S30" i="22" s="1"/>
  <c r="B24" i="28"/>
  <c r="F17" i="25" s="1"/>
  <c r="D14" i="29" s="1"/>
  <c r="C14" i="29" s="1"/>
  <c r="B23" i="28"/>
  <c r="F15" i="25" s="1"/>
  <c r="K10" i="22"/>
  <c r="D32" i="22" s="1"/>
  <c r="N31" i="22"/>
  <c r="P31" i="22" s="1"/>
  <c r="P27" i="22"/>
  <c r="S29" i="22" s="1"/>
  <c r="U31" i="22"/>
  <c r="B28" i="28" s="1"/>
  <c r="F25" i="25" s="1"/>
  <c r="D121" i="29" s="1"/>
  <c r="C121" i="29" s="1"/>
  <c r="B25" i="28"/>
  <c r="F19" i="25" s="1"/>
  <c r="D21" i="29" s="1"/>
  <c r="C21" i="29" s="1"/>
  <c r="Q32" i="22"/>
  <c r="P30" i="22"/>
  <c r="S32" i="22" s="1"/>
  <c r="P26" i="22" l="1"/>
  <c r="S28" i="22" s="1"/>
  <c r="N32" i="22"/>
  <c r="U32" i="22"/>
  <c r="B29" i="28" s="1"/>
  <c r="F27" i="25" s="1"/>
  <c r="D126" i="29" s="1"/>
  <c r="C126" i="29" s="1"/>
  <c r="O32" i="22"/>
  <c r="P32" i="22" l="1"/>
  <c r="O8" i="22" l="1"/>
  <c r="P8" i="22"/>
  <c r="N8" i="22"/>
  <c r="P9" i="22" l="1"/>
  <c r="S10" i="22"/>
  <c r="Q10" i="22"/>
  <c r="N9" i="22"/>
  <c r="O9" i="22"/>
  <c r="R10" i="22"/>
  <c r="R9" i="22" l="1"/>
  <c r="R11" i="22"/>
  <c r="S9" i="22"/>
  <c r="S11" i="22"/>
  <c r="Q11" i="22"/>
  <c r="Q9" i="22"/>
  <c r="I2119" i="1" l="1"/>
  <c r="S2096" i="1" s="1"/>
  <c r="I2120" i="1"/>
  <c r="S2097" i="1" s="1"/>
  <c r="AJ2097" i="1" s="1"/>
  <c r="AI2097" i="1" s="1"/>
  <c r="AJ2099" i="1"/>
  <c r="M2" i="12"/>
  <c r="M3" i="12"/>
  <c r="M4" i="12"/>
  <c r="M5" i="12"/>
  <c r="M6" i="12"/>
  <c r="M7" i="12"/>
  <c r="M8" i="12"/>
  <c r="M9" i="12"/>
  <c r="M10" i="12"/>
  <c r="M11" i="12"/>
  <c r="M12" i="12"/>
  <c r="M13" i="12"/>
  <c r="AV6" i="12" l="1"/>
  <c r="AU6" i="12"/>
  <c r="AS6" i="12"/>
  <c r="AR6" i="12"/>
  <c r="AP6" i="12"/>
  <c r="AO6" i="12"/>
  <c r="AM6" i="12"/>
  <c r="AL6" i="12"/>
  <c r="AJ6" i="12"/>
  <c r="AI6" i="12"/>
  <c r="AG6" i="12"/>
  <c r="AF6" i="12"/>
  <c r="AD6" i="12"/>
  <c r="AC6" i="12"/>
  <c r="X6" i="12"/>
  <c r="W6" i="12"/>
  <c r="P41" i="13"/>
  <c r="O41" i="13"/>
  <c r="P39" i="13"/>
  <c r="C138" i="16"/>
  <c r="AV5" i="12"/>
  <c r="AU5" i="12"/>
  <c r="AS5" i="12"/>
  <c r="AR5" i="12"/>
  <c r="AP5" i="12"/>
  <c r="AO5" i="12"/>
  <c r="AM5" i="12"/>
  <c r="AL5" i="12"/>
  <c r="AJ5" i="12"/>
  <c r="AI5" i="12"/>
  <c r="AG5" i="12"/>
  <c r="AF5" i="12"/>
  <c r="AD5" i="12"/>
  <c r="AC5" i="12"/>
  <c r="D39" i="15" l="1"/>
  <c r="E39" i="15"/>
  <c r="D41" i="15"/>
  <c r="E41" i="15"/>
  <c r="D42" i="15"/>
  <c r="E42" i="15"/>
  <c r="D43" i="15"/>
  <c r="E43" i="15"/>
  <c r="D44" i="15"/>
  <c r="E44" i="15"/>
  <c r="D45" i="15"/>
  <c r="E45" i="15"/>
  <c r="E46" i="15"/>
  <c r="D46" i="15"/>
  <c r="AI23" i="14"/>
  <c r="AH23" i="14"/>
  <c r="AI22" i="14"/>
  <c r="AH22" i="14"/>
  <c r="AI21" i="14"/>
  <c r="AH21" i="14"/>
  <c r="AI20" i="14"/>
  <c r="AH20" i="14"/>
  <c r="AI19" i="14"/>
  <c r="AH19" i="14"/>
  <c r="AI18" i="14"/>
  <c r="AH18" i="14"/>
  <c r="AI17" i="14"/>
  <c r="AH17" i="14"/>
  <c r="AI16" i="14"/>
  <c r="AH16" i="14"/>
  <c r="AI15" i="14"/>
  <c r="AH15" i="14"/>
  <c r="AI14" i="14"/>
  <c r="AH14" i="14"/>
  <c r="AI13" i="14"/>
  <c r="AH13" i="14"/>
  <c r="AI12" i="14"/>
  <c r="AH12" i="14"/>
  <c r="AI11" i="14"/>
  <c r="AH11" i="14"/>
  <c r="AI10" i="14"/>
  <c r="AH10" i="14"/>
  <c r="AI9" i="14"/>
  <c r="AH9" i="14"/>
  <c r="AI8" i="14"/>
  <c r="AH8" i="14"/>
  <c r="AI7" i="14"/>
  <c r="AH7" i="14"/>
  <c r="AI6" i="14"/>
  <c r="AH6" i="14"/>
  <c r="AI5" i="14"/>
  <c r="AH5" i="14"/>
  <c r="AI4" i="14"/>
  <c r="AH4" i="14"/>
  <c r="AI3" i="14"/>
  <c r="AH3" i="14"/>
  <c r="AI2" i="14"/>
  <c r="AH2" i="14"/>
  <c r="AF23" i="14"/>
  <c r="AE23" i="14"/>
  <c r="AF22" i="14"/>
  <c r="AE22" i="14"/>
  <c r="AF21" i="14"/>
  <c r="AE21" i="14"/>
  <c r="AF20" i="14"/>
  <c r="AE20" i="14"/>
  <c r="AF19" i="14"/>
  <c r="AE19" i="14"/>
  <c r="AF18" i="14"/>
  <c r="AE18" i="14"/>
  <c r="AF17" i="14"/>
  <c r="AE17" i="14"/>
  <c r="AF16" i="14"/>
  <c r="AE16" i="14"/>
  <c r="AF15" i="14"/>
  <c r="AE15" i="14"/>
  <c r="AF14" i="14"/>
  <c r="AE14" i="14"/>
  <c r="AF13" i="14"/>
  <c r="AE13" i="14"/>
  <c r="AF12" i="14"/>
  <c r="AE12" i="14"/>
  <c r="AF11" i="14"/>
  <c r="AE11" i="14"/>
  <c r="AF10" i="14"/>
  <c r="AE10" i="14"/>
  <c r="AF9" i="14"/>
  <c r="AE9" i="14"/>
  <c r="AF8" i="14"/>
  <c r="AE8" i="14"/>
  <c r="AF7" i="14"/>
  <c r="AE7" i="14"/>
  <c r="AF6" i="14"/>
  <c r="AE6" i="14"/>
  <c r="AF5" i="14"/>
  <c r="AE5" i="14"/>
  <c r="AF4" i="14"/>
  <c r="AE4" i="14"/>
  <c r="AF3" i="14"/>
  <c r="AE3" i="14"/>
  <c r="AF2" i="14"/>
  <c r="AE2" i="14"/>
  <c r="AC23" i="14"/>
  <c r="AB23" i="14"/>
  <c r="AC22" i="14"/>
  <c r="AB22" i="14"/>
  <c r="AC21" i="14"/>
  <c r="AB21" i="14"/>
  <c r="AC20" i="14"/>
  <c r="AB20" i="14"/>
  <c r="AC19" i="14"/>
  <c r="AB19" i="14"/>
  <c r="AC18" i="14"/>
  <c r="AB18" i="14"/>
  <c r="AC17" i="14"/>
  <c r="AB17" i="14"/>
  <c r="AC16" i="14"/>
  <c r="AB16" i="14"/>
  <c r="AC15" i="14"/>
  <c r="AB15" i="14"/>
  <c r="AC14" i="14"/>
  <c r="AB14" i="14"/>
  <c r="AC13" i="14"/>
  <c r="AB13" i="14"/>
  <c r="AC12" i="14"/>
  <c r="AB12" i="14"/>
  <c r="AC11" i="14"/>
  <c r="AB11" i="14"/>
  <c r="AC10" i="14"/>
  <c r="AB10" i="14"/>
  <c r="AC9" i="14"/>
  <c r="AB9" i="14"/>
  <c r="AC8" i="14"/>
  <c r="AB8" i="14"/>
  <c r="AC7" i="14"/>
  <c r="AB7" i="14"/>
  <c r="AC6" i="14"/>
  <c r="AB6" i="14"/>
  <c r="AC5" i="14"/>
  <c r="AB5" i="14"/>
  <c r="AC4" i="14"/>
  <c r="AB4" i="14"/>
  <c r="AC3" i="14"/>
  <c r="AB3" i="14"/>
  <c r="AC2" i="14"/>
  <c r="AB2" i="14"/>
  <c r="Y3" i="14"/>
  <c r="Z3" i="14"/>
  <c r="Y4" i="14"/>
  <c r="Z4" i="14"/>
  <c r="Y5" i="14"/>
  <c r="Z5" i="14"/>
  <c r="Y6" i="14"/>
  <c r="Z6" i="14"/>
  <c r="Y7" i="14"/>
  <c r="Z7" i="14"/>
  <c r="Y8" i="14"/>
  <c r="Z8" i="14"/>
  <c r="Y9" i="14"/>
  <c r="Z9" i="14"/>
  <c r="Y10" i="14"/>
  <c r="Z10" i="14"/>
  <c r="Y11" i="14"/>
  <c r="Z11" i="14"/>
  <c r="Y12" i="14"/>
  <c r="Z12" i="14"/>
  <c r="Y13" i="14"/>
  <c r="Z13" i="14"/>
  <c r="Y14" i="14"/>
  <c r="Z14" i="14"/>
  <c r="Y15" i="14"/>
  <c r="Z15" i="14"/>
  <c r="Y16" i="14"/>
  <c r="Z16" i="14"/>
  <c r="Y17" i="14"/>
  <c r="Z17" i="14"/>
  <c r="Y18" i="14"/>
  <c r="Z18" i="14"/>
  <c r="Y19" i="14"/>
  <c r="Z19" i="14"/>
  <c r="Y20" i="14"/>
  <c r="Z20" i="14"/>
  <c r="Y21" i="14"/>
  <c r="Z21" i="14"/>
  <c r="Y22" i="14"/>
  <c r="Z22" i="14"/>
  <c r="Y23" i="14"/>
  <c r="Z23" i="14"/>
  <c r="Z2" i="14"/>
  <c r="Y2" i="14"/>
  <c r="W3" i="14"/>
  <c r="W4" i="14"/>
  <c r="W5" i="14"/>
  <c r="W6" i="14"/>
  <c r="W7" i="14"/>
  <c r="W8" i="14"/>
  <c r="W9" i="14"/>
  <c r="W10" i="14"/>
  <c r="W11" i="14"/>
  <c r="W12" i="14"/>
  <c r="W13" i="14"/>
  <c r="W14" i="14"/>
  <c r="W15" i="14"/>
  <c r="W16" i="14"/>
  <c r="W17" i="14"/>
  <c r="W18" i="14"/>
  <c r="W19" i="14"/>
  <c r="W20" i="14"/>
  <c r="W21" i="14"/>
  <c r="W22" i="14"/>
  <c r="W23" i="14"/>
  <c r="V3" i="14"/>
  <c r="V4" i="14"/>
  <c r="V5" i="14"/>
  <c r="V6" i="14"/>
  <c r="V7" i="14"/>
  <c r="V8" i="14"/>
  <c r="V9" i="14"/>
  <c r="V10" i="14"/>
  <c r="V11" i="14"/>
  <c r="V12" i="14"/>
  <c r="V13" i="14"/>
  <c r="V14" i="14"/>
  <c r="V15" i="14"/>
  <c r="V16" i="14"/>
  <c r="V17" i="14"/>
  <c r="V18" i="14"/>
  <c r="V19" i="14"/>
  <c r="V20" i="14"/>
  <c r="V21" i="14"/>
  <c r="V22" i="14"/>
  <c r="V23" i="14"/>
  <c r="T1" i="14"/>
  <c r="W1" i="14" s="1"/>
  <c r="Z1" i="14" s="1"/>
  <c r="AC1" i="14" s="1"/>
  <c r="AF1" i="14" s="1"/>
  <c r="AI1" i="14" s="1"/>
  <c r="S1" i="14"/>
  <c r="V1" i="14" s="1"/>
  <c r="Y1" i="14" s="1"/>
  <c r="AB1" i="14" s="1"/>
  <c r="AE1" i="14" s="1"/>
  <c r="AH1" i="14" s="1"/>
  <c r="AA1" i="12" l="1"/>
  <c r="AD1" i="12" s="1"/>
  <c r="X1" i="12"/>
  <c r="U1" i="12"/>
  <c r="Z1" i="12"/>
  <c r="AC1" i="12" s="1"/>
  <c r="AF1" i="12" s="1"/>
  <c r="AI1" i="12" s="1"/>
  <c r="AL1" i="12" s="1"/>
  <c r="AO1" i="12" s="1"/>
  <c r="AR1" i="12" s="1"/>
  <c r="AU1" i="12" s="1"/>
  <c r="AX1" i="12" s="1"/>
  <c r="BA1" i="12" s="1"/>
  <c r="W1" i="12"/>
  <c r="BA22" i="12"/>
  <c r="BA21" i="12"/>
  <c r="BA20" i="12"/>
  <c r="BA19" i="12"/>
  <c r="BA18" i="12"/>
  <c r="BA17" i="12"/>
  <c r="BA16" i="12"/>
  <c r="BA15" i="12"/>
  <c r="BA14" i="12"/>
  <c r="BA13" i="12"/>
  <c r="BA12" i="12"/>
  <c r="BA11" i="12"/>
  <c r="BA10" i="12"/>
  <c r="BA9" i="12"/>
  <c r="BA8" i="12"/>
  <c r="BA7" i="12"/>
  <c r="AU22" i="12"/>
  <c r="AU21" i="12"/>
  <c r="AU20" i="12"/>
  <c r="AU19" i="12"/>
  <c r="AU18" i="12"/>
  <c r="AU17" i="12"/>
  <c r="AU16" i="12"/>
  <c r="AU15" i="12"/>
  <c r="AU14" i="12"/>
  <c r="AU13" i="12"/>
  <c r="AU12" i="12"/>
  <c r="AU11" i="12"/>
  <c r="AU10" i="12"/>
  <c r="AU9" i="12"/>
  <c r="AU8" i="12"/>
  <c r="AU7" i="12"/>
  <c r="AU4" i="12"/>
  <c r="AU3" i="12"/>
  <c r="AU2" i="12"/>
  <c r="AR22" i="12"/>
  <c r="AR21" i="12"/>
  <c r="AR20" i="12"/>
  <c r="AR19" i="12"/>
  <c r="AR18" i="12"/>
  <c r="AR17" i="12"/>
  <c r="AR16" i="12"/>
  <c r="AR15" i="12"/>
  <c r="AR14" i="12"/>
  <c r="AR13" i="12"/>
  <c r="AR12" i="12"/>
  <c r="AR11" i="12"/>
  <c r="AR10" i="12"/>
  <c r="AR9" i="12"/>
  <c r="AR8" i="12"/>
  <c r="AR7" i="12"/>
  <c r="AR4" i="12"/>
  <c r="AR3" i="12"/>
  <c r="AR2" i="12"/>
  <c r="AO22" i="12"/>
  <c r="AO21" i="12"/>
  <c r="AO20" i="12"/>
  <c r="AO19" i="12"/>
  <c r="AO18" i="12"/>
  <c r="AO17" i="12"/>
  <c r="AO16" i="12"/>
  <c r="AO15" i="12"/>
  <c r="AO14" i="12"/>
  <c r="AO13" i="12"/>
  <c r="AO12" i="12"/>
  <c r="AO11" i="12"/>
  <c r="AO10" i="12"/>
  <c r="AO9" i="12"/>
  <c r="AO8" i="12"/>
  <c r="AO7" i="12"/>
  <c r="AO4" i="12"/>
  <c r="AO3" i="12"/>
  <c r="AO2" i="12"/>
  <c r="AL22" i="12"/>
  <c r="AL21" i="12"/>
  <c r="AL20" i="12"/>
  <c r="AL19" i="12"/>
  <c r="AL18" i="12"/>
  <c r="AL17" i="12"/>
  <c r="AL16" i="12"/>
  <c r="AL15" i="12"/>
  <c r="AL14" i="12"/>
  <c r="AL13" i="12"/>
  <c r="AL12" i="12"/>
  <c r="AL11" i="12"/>
  <c r="AL10" i="12"/>
  <c r="AL9" i="12"/>
  <c r="AL8" i="12"/>
  <c r="AL7" i="12"/>
  <c r="AL4" i="12"/>
  <c r="AL3" i="12"/>
  <c r="AI22" i="12"/>
  <c r="AI21" i="12"/>
  <c r="AI20" i="12"/>
  <c r="AI19" i="12"/>
  <c r="AI18" i="12"/>
  <c r="AI17" i="12"/>
  <c r="AI16" i="12"/>
  <c r="AI15" i="12"/>
  <c r="AI14" i="12"/>
  <c r="AI13" i="12"/>
  <c r="AI12" i="12"/>
  <c r="AI11" i="12"/>
  <c r="AI10" i="12"/>
  <c r="AI9" i="12"/>
  <c r="AI8" i="12"/>
  <c r="AI7" i="12"/>
  <c r="AI4" i="12"/>
  <c r="AI3" i="12"/>
  <c r="AI2" i="12"/>
  <c r="AF22" i="12"/>
  <c r="AF21" i="12"/>
  <c r="AF20" i="12"/>
  <c r="AF19" i="12"/>
  <c r="AF18" i="12"/>
  <c r="AF17" i="12"/>
  <c r="AF16" i="12"/>
  <c r="AF15" i="12"/>
  <c r="AF14" i="12"/>
  <c r="AF13" i="12"/>
  <c r="AF12" i="12"/>
  <c r="AF11" i="12"/>
  <c r="AF10" i="12"/>
  <c r="AF9" i="12"/>
  <c r="AF8" i="12"/>
  <c r="AF7" i="12"/>
  <c r="AF4" i="12"/>
  <c r="AF3" i="12"/>
  <c r="AF2" i="12"/>
  <c r="AC22" i="12"/>
  <c r="AC21" i="12"/>
  <c r="AC20" i="12"/>
  <c r="AC19" i="12"/>
  <c r="AC18" i="12"/>
  <c r="AC17" i="12"/>
  <c r="AC16" i="12"/>
  <c r="AC15" i="12"/>
  <c r="AC14" i="12"/>
  <c r="AC13" i="12"/>
  <c r="AC12" i="12"/>
  <c r="AC11" i="12"/>
  <c r="AC10" i="12"/>
  <c r="AC9" i="12"/>
  <c r="AC8" i="12"/>
  <c r="AC7" i="12"/>
  <c r="AC4" i="12"/>
  <c r="AC3" i="12"/>
  <c r="AC2" i="12"/>
  <c r="W22" i="12"/>
  <c r="W21" i="12"/>
  <c r="W20" i="12"/>
  <c r="W19" i="12"/>
  <c r="W18" i="12"/>
  <c r="W17" i="12"/>
  <c r="W16" i="12"/>
  <c r="W15" i="12"/>
  <c r="W14" i="12"/>
  <c r="W13" i="12"/>
  <c r="W12" i="12"/>
  <c r="W11" i="12"/>
  <c r="W10" i="12"/>
  <c r="W9" i="12"/>
  <c r="W8" i="12"/>
  <c r="W7" i="12"/>
  <c r="W4" i="12"/>
  <c r="T4" i="12"/>
  <c r="T7" i="12"/>
  <c r="T8" i="12"/>
  <c r="T9" i="12"/>
  <c r="T10" i="12"/>
  <c r="T11" i="12"/>
  <c r="T12" i="12"/>
  <c r="T13" i="12"/>
  <c r="T14" i="12"/>
  <c r="T15" i="12"/>
  <c r="T16" i="12"/>
  <c r="T17" i="12"/>
  <c r="T18" i="12"/>
  <c r="T19" i="12"/>
  <c r="T20" i="12"/>
  <c r="T21" i="12"/>
  <c r="T22" i="12"/>
  <c r="T2" i="12"/>
  <c r="K3" i="12"/>
  <c r="L3" i="12" s="1"/>
  <c r="K4" i="12"/>
  <c r="L4" i="12" s="1"/>
  <c r="K5" i="12"/>
  <c r="L5" i="12" s="1"/>
  <c r="K6" i="12"/>
  <c r="L6" i="12" s="1"/>
  <c r="K7" i="12"/>
  <c r="L7" i="12" s="1"/>
  <c r="K8" i="12"/>
  <c r="L8" i="12" s="1"/>
  <c r="K9" i="12"/>
  <c r="L9" i="12" s="1"/>
  <c r="K10" i="12"/>
  <c r="L10" i="12" s="1"/>
  <c r="K11" i="12"/>
  <c r="L11" i="12" s="1"/>
  <c r="K12" i="12"/>
  <c r="L12" i="12" s="1"/>
  <c r="K13" i="12"/>
  <c r="L13" i="12" s="1"/>
  <c r="K14" i="12"/>
  <c r="L14" i="12" s="1"/>
  <c r="K15" i="12"/>
  <c r="L15" i="12" s="1"/>
  <c r="K16" i="12"/>
  <c r="L16" i="12" s="1"/>
  <c r="K17" i="12"/>
  <c r="L17" i="12" s="1"/>
  <c r="K18" i="12"/>
  <c r="L18" i="12" s="1"/>
  <c r="K19" i="12"/>
  <c r="L19" i="12" s="1"/>
  <c r="K20" i="12"/>
  <c r="L20" i="12" s="1"/>
  <c r="K21" i="12"/>
  <c r="L21" i="12" s="1"/>
  <c r="K22" i="12"/>
  <c r="L22" i="12" s="1"/>
  <c r="K2" i="12"/>
  <c r="L2" i="12" s="1"/>
  <c r="M14" i="12"/>
  <c r="M15" i="12"/>
  <c r="M16" i="12"/>
  <c r="M17" i="12"/>
  <c r="M18" i="12"/>
  <c r="M19" i="12"/>
  <c r="M20" i="12"/>
  <c r="M21" i="12"/>
  <c r="M22" i="12"/>
  <c r="AG1" i="12" l="1"/>
  <c r="AJ1" i="12" s="1"/>
  <c r="AM1" i="12" s="1"/>
  <c r="AP1" i="12" s="1"/>
  <c r="AS1" i="12" s="1"/>
  <c r="AV1" i="12" s="1"/>
  <c r="AY1" i="12" s="1"/>
  <c r="BB1" i="12" s="1"/>
  <c r="AD3" i="12" l="1"/>
  <c r="AG3" i="12"/>
  <c r="AJ3" i="12"/>
  <c r="AM3" i="12"/>
  <c r="AP3" i="12"/>
  <c r="AS3" i="12"/>
  <c r="AV3" i="12"/>
  <c r="U4" i="12"/>
  <c r="X4" i="12"/>
  <c r="AD4" i="12"/>
  <c r="AG4" i="12"/>
  <c r="AJ4" i="12"/>
  <c r="AM4" i="12"/>
  <c r="AP4" i="12"/>
  <c r="AS4" i="12"/>
  <c r="AV4" i="12"/>
  <c r="U7" i="12"/>
  <c r="X7" i="12"/>
  <c r="AD7" i="12"/>
  <c r="AG7" i="12"/>
  <c r="AJ7" i="12"/>
  <c r="AM7" i="12"/>
  <c r="AP7" i="12"/>
  <c r="AS7" i="12"/>
  <c r="AV7" i="12"/>
  <c r="BB7" i="12"/>
  <c r="U8" i="12"/>
  <c r="X8" i="12"/>
  <c r="AD8" i="12"/>
  <c r="AG8" i="12"/>
  <c r="AJ8" i="12"/>
  <c r="AM8" i="12"/>
  <c r="AP8" i="12"/>
  <c r="AS8" i="12"/>
  <c r="AV8" i="12"/>
  <c r="BB8" i="12"/>
  <c r="U9" i="12"/>
  <c r="X9" i="12"/>
  <c r="AD9" i="12"/>
  <c r="AG9" i="12"/>
  <c r="AJ9" i="12"/>
  <c r="AM9" i="12"/>
  <c r="AP9" i="12"/>
  <c r="AS9" i="12"/>
  <c r="AV9" i="12"/>
  <c r="BB9" i="12"/>
  <c r="U10" i="12"/>
  <c r="X10" i="12"/>
  <c r="AD10" i="12"/>
  <c r="AG10" i="12"/>
  <c r="AJ10" i="12"/>
  <c r="AM10" i="12"/>
  <c r="AP10" i="12"/>
  <c r="AS10" i="12"/>
  <c r="AV10" i="12"/>
  <c r="BB10" i="12"/>
  <c r="U11" i="12"/>
  <c r="X11" i="12"/>
  <c r="AD11" i="12"/>
  <c r="AG11" i="12"/>
  <c r="AJ11" i="12"/>
  <c r="AM11" i="12"/>
  <c r="AP11" i="12"/>
  <c r="AS11" i="12"/>
  <c r="AV11" i="12"/>
  <c r="BB11" i="12"/>
  <c r="U12" i="12"/>
  <c r="X12" i="12"/>
  <c r="AD12" i="12"/>
  <c r="AG12" i="12"/>
  <c r="AJ12" i="12"/>
  <c r="AM12" i="12"/>
  <c r="AP12" i="12"/>
  <c r="AS12" i="12"/>
  <c r="AV12" i="12"/>
  <c r="BB12" i="12"/>
  <c r="U13" i="12"/>
  <c r="X13" i="12"/>
  <c r="AD13" i="12"/>
  <c r="AG13" i="12"/>
  <c r="AJ13" i="12"/>
  <c r="AM13" i="12"/>
  <c r="AP13" i="12"/>
  <c r="AS13" i="12"/>
  <c r="AV13" i="12"/>
  <c r="BB13" i="12"/>
  <c r="U14" i="12"/>
  <c r="X14" i="12"/>
  <c r="AD14" i="12"/>
  <c r="AG14" i="12"/>
  <c r="AJ14" i="12"/>
  <c r="AM14" i="12"/>
  <c r="AP14" i="12"/>
  <c r="AS14" i="12"/>
  <c r="AV14" i="12"/>
  <c r="BB14" i="12"/>
  <c r="U15" i="12"/>
  <c r="X15" i="12"/>
  <c r="AD15" i="12"/>
  <c r="AG15" i="12"/>
  <c r="AJ15" i="12"/>
  <c r="AM15" i="12"/>
  <c r="AP15" i="12"/>
  <c r="AS15" i="12"/>
  <c r="AV15" i="12"/>
  <c r="BB15" i="12"/>
  <c r="U16" i="12"/>
  <c r="X16" i="12"/>
  <c r="AD16" i="12"/>
  <c r="AG16" i="12"/>
  <c r="AJ16" i="12"/>
  <c r="AM16" i="12"/>
  <c r="AP16" i="12"/>
  <c r="AS16" i="12"/>
  <c r="AV16" i="12"/>
  <c r="BB16" i="12"/>
  <c r="U17" i="12"/>
  <c r="X17" i="12"/>
  <c r="AD17" i="12"/>
  <c r="AG17" i="12"/>
  <c r="AJ17" i="12"/>
  <c r="AM17" i="12"/>
  <c r="AP17" i="12"/>
  <c r="AS17" i="12"/>
  <c r="AV17" i="12"/>
  <c r="BB17" i="12"/>
  <c r="U18" i="12"/>
  <c r="X18" i="12"/>
  <c r="AD18" i="12"/>
  <c r="AG18" i="12"/>
  <c r="AJ18" i="12"/>
  <c r="AM18" i="12"/>
  <c r="AP18" i="12"/>
  <c r="AS18" i="12"/>
  <c r="AV18" i="12"/>
  <c r="BB18" i="12"/>
  <c r="U19" i="12"/>
  <c r="X19" i="12"/>
  <c r="AD19" i="12"/>
  <c r="AG19" i="12"/>
  <c r="AJ19" i="12"/>
  <c r="AM19" i="12"/>
  <c r="AP19" i="12"/>
  <c r="AS19" i="12"/>
  <c r="AV19" i="12"/>
  <c r="BB19" i="12"/>
  <c r="U20" i="12"/>
  <c r="X20" i="12"/>
  <c r="AD20" i="12"/>
  <c r="AG20" i="12"/>
  <c r="AJ20" i="12"/>
  <c r="AM20" i="12"/>
  <c r="AP20" i="12"/>
  <c r="AS20" i="12"/>
  <c r="AV20" i="12"/>
  <c r="BB20" i="12"/>
  <c r="U21" i="12"/>
  <c r="X21" i="12"/>
  <c r="AD21" i="12"/>
  <c r="AG21" i="12"/>
  <c r="AJ21" i="12"/>
  <c r="AM21" i="12"/>
  <c r="AP21" i="12"/>
  <c r="AS21" i="12"/>
  <c r="AV21" i="12"/>
  <c r="BB21" i="12"/>
  <c r="U22" i="12"/>
  <c r="X22" i="12"/>
  <c r="AD22" i="12"/>
  <c r="AG22" i="12"/>
  <c r="AJ22" i="12"/>
  <c r="AM22" i="12"/>
  <c r="AP22" i="12"/>
  <c r="AS22" i="12"/>
  <c r="AV22" i="12"/>
  <c r="BB22" i="12"/>
  <c r="AV2" i="12"/>
  <c r="AS2" i="12"/>
  <c r="AP2" i="12"/>
  <c r="AJ2" i="12"/>
  <c r="AG2" i="12"/>
  <c r="AD2" i="12"/>
  <c r="U2" i="12"/>
  <c r="P36" i="13" l="1"/>
  <c r="P8" i="13"/>
  <c r="P2" i="13"/>
  <c r="A46" i="6" l="1"/>
  <c r="D6" i="6" s="1"/>
  <c r="A172" i="6"/>
  <c r="A169" i="6"/>
  <c r="B47" i="6" l="1"/>
  <c r="C47" i="6"/>
  <c r="C50" i="6"/>
  <c r="A50" i="6" s="1"/>
  <c r="C51" i="6"/>
  <c r="A51" i="6" s="1"/>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A66" i="6" s="1"/>
  <c r="C67" i="6"/>
  <c r="A67" i="6" s="1"/>
  <c r="C68" i="6"/>
  <c r="A68" i="6" s="1"/>
  <c r="C69" i="6"/>
  <c r="A69" i="6" s="1"/>
  <c r="C70" i="6"/>
  <c r="A70" i="6" s="1"/>
  <c r="C73" i="6"/>
  <c r="C74" i="6"/>
  <c r="A74" i="6" s="1"/>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A115" i="6" s="1"/>
  <c r="C116" i="6"/>
  <c r="A116" i="6" s="1"/>
  <c r="C117" i="6"/>
  <c r="A117" i="6" s="1"/>
  <c r="C120" i="6"/>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0" i="6"/>
  <c r="A140" i="6" s="1"/>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2" i="6"/>
  <c r="A162" i="6" s="1"/>
  <c r="C163" i="6"/>
  <c r="A163" i="6" s="1"/>
  <c r="C166" i="6"/>
  <c r="D166" i="6"/>
  <c r="C167" i="6"/>
  <c r="A167" i="6" s="1"/>
  <c r="D167" i="6"/>
  <c r="C168" i="6"/>
  <c r="A168" i="6" s="1"/>
  <c r="D168" i="6"/>
  <c r="C165" i="6" l="1"/>
  <c r="A165" i="6" s="1"/>
  <c r="A164" i="6" s="1"/>
  <c r="C119" i="6"/>
  <c r="A119" i="6" s="1"/>
  <c r="A118" i="6" s="1"/>
  <c r="A166" i="6"/>
  <c r="C142" i="6"/>
  <c r="A142" i="6" s="1"/>
  <c r="A141" i="6" s="1"/>
  <c r="C72" i="6"/>
  <c r="A72" i="6" s="1"/>
  <c r="A71" i="6" s="1"/>
  <c r="A73" i="6"/>
  <c r="C49" i="6"/>
  <c r="A49" i="6" s="1"/>
  <c r="A120" i="6"/>
  <c r="C95" i="6"/>
  <c r="A95" i="6" s="1"/>
  <c r="A94" i="6" s="1"/>
  <c r="D9" i="8" l="1"/>
  <c r="D10" i="8"/>
  <c r="D11" i="8"/>
  <c r="D12" i="8"/>
  <c r="AS15" i="18"/>
  <c r="AS8" i="18"/>
  <c r="AS5" i="18"/>
  <c r="AS21" i="18"/>
  <c r="AS18" i="18"/>
  <c r="AS3" i="18"/>
  <c r="AS19" i="18"/>
  <c r="AS12" i="18"/>
  <c r="AS9" i="18"/>
  <c r="AS6" i="18"/>
  <c r="AS7" i="18"/>
  <c r="AS22" i="18"/>
  <c r="AS16" i="18"/>
  <c r="AS13" i="18"/>
  <c r="AS10" i="18"/>
  <c r="AS11" i="18"/>
  <c r="AS4" i="18"/>
  <c r="AS20" i="18"/>
  <c r="AS17" i="18"/>
  <c r="AS14" i="18"/>
  <c r="D136" i="6" l="1"/>
  <c r="D132" i="6"/>
  <c r="D128" i="6"/>
  <c r="D124" i="6"/>
  <c r="D139" i="6"/>
  <c r="D135" i="6"/>
  <c r="D131" i="6"/>
  <c r="D127" i="6"/>
  <c r="D123" i="6"/>
  <c r="D138" i="6"/>
  <c r="D134" i="6"/>
  <c r="D130" i="6"/>
  <c r="D126" i="6"/>
  <c r="D122" i="6"/>
  <c r="D140" i="6"/>
  <c r="D137" i="6"/>
  <c r="D133" i="6"/>
  <c r="D129" i="6"/>
  <c r="D125" i="6"/>
  <c r="D121" i="6"/>
  <c r="AG18" i="19"/>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O36" i="19" s="1"/>
  <c r="P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A12" i="20" s="1"/>
  <c r="K13" i="20"/>
  <c r="K14" i="20"/>
  <c r="A14" i="20" s="1"/>
  <c r="K15" i="20"/>
  <c r="A15" i="20" s="1"/>
  <c r="K16" i="20"/>
  <c r="A16" i="20" s="1"/>
  <c r="K17" i="20"/>
  <c r="K18" i="20"/>
  <c r="A18" i="20" s="1"/>
  <c r="K19" i="20"/>
  <c r="A19" i="20" s="1"/>
  <c r="K20" i="20"/>
  <c r="A20" i="20" s="1"/>
  <c r="K21" i="20"/>
  <c r="K22" i="20"/>
  <c r="A22" i="20" s="1"/>
  <c r="K2" i="20"/>
  <c r="A2" i="20" s="1"/>
  <c r="A4" i="20"/>
  <c r="A5" i="20"/>
  <c r="A13" i="20"/>
  <c r="A17" i="20"/>
  <c r="A21"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AA15" i="20"/>
  <c r="R15" i="20" s="1"/>
  <c r="AA16" i="20"/>
  <c r="AA17" i="20"/>
  <c r="R17" i="20" s="1"/>
  <c r="AA18" i="20"/>
  <c r="AA19" i="20"/>
  <c r="R19" i="20" s="1"/>
  <c r="AA20" i="20"/>
  <c r="AA21" i="20"/>
  <c r="R21" i="20" s="1"/>
  <c r="AA22" i="20"/>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2" i="20" l="1"/>
  <c r="R18" i="20"/>
  <c r="R14" i="20"/>
  <c r="R10" i="20"/>
  <c r="R6" i="20"/>
  <c r="R11" i="20"/>
  <c r="R7" i="20"/>
  <c r="R5" i="20"/>
  <c r="R2" i="20"/>
  <c r="R3"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K3" i="18"/>
  <c r="K4" i="18"/>
  <c r="K5" i="18"/>
  <c r="K6" i="18"/>
  <c r="K7" i="18"/>
  <c r="K8" i="18"/>
  <c r="K9" i="18"/>
  <c r="K10" i="18"/>
  <c r="K11" i="18"/>
  <c r="K12" i="18"/>
  <c r="K13" i="18"/>
  <c r="K14" i="18"/>
  <c r="K15" i="18"/>
  <c r="K16" i="18"/>
  <c r="K17" i="18"/>
  <c r="K18" i="18"/>
  <c r="K19" i="18"/>
  <c r="K20" i="18"/>
  <c r="K21" i="18"/>
  <c r="K22" i="18"/>
  <c r="K2" i="18"/>
  <c r="J20" i="18"/>
  <c r="P6" i="19"/>
  <c r="F3" i="18"/>
  <c r="F4" i="18"/>
  <c r="J4" i="18" s="1"/>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F21" i="18"/>
  <c r="J21" i="18" s="1"/>
  <c r="F22" i="18"/>
  <c r="I22" i="18" s="1"/>
  <c r="I16" i="18"/>
  <c r="F2" i="18"/>
  <c r="I20"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Y21" i="18"/>
  <c r="Y22" i="18"/>
  <c r="AE22" i="18"/>
  <c r="AE17" i="18"/>
  <c r="W2" i="20"/>
  <c r="Y19" i="18"/>
  <c r="AE20" i="18"/>
  <c r="AE21" i="18"/>
  <c r="W4" i="20"/>
  <c r="AE19" i="18"/>
  <c r="Y17" i="18"/>
  <c r="Y18" i="18"/>
  <c r="AE18" i="18"/>
  <c r="Y20" i="18"/>
  <c r="I19" i="18" l="1"/>
  <c r="Q26" i="19"/>
  <c r="Z21" i="18"/>
  <c r="AF28" i="19"/>
  <c r="I21" i="18"/>
  <c r="Z20" i="18"/>
  <c r="Q24" i="19"/>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3" i="6" s="1"/>
  <c r="C2" i="20"/>
  <c r="D4" i="20"/>
  <c r="B145" i="6" s="1"/>
  <c r="C4" i="20"/>
  <c r="C8" i="20"/>
  <c r="D8" i="20"/>
  <c r="B149" i="6" s="1"/>
  <c r="C12" i="20"/>
  <c r="D12" i="20"/>
  <c r="B153" i="6" s="1"/>
  <c r="C16" i="20"/>
  <c r="D16" i="20"/>
  <c r="B157" i="6" s="1"/>
  <c r="D18" i="20"/>
  <c r="B159" i="6" s="1"/>
  <c r="C18" i="20"/>
  <c r="C20" i="20"/>
  <c r="D20" i="20"/>
  <c r="B161" i="6" s="1"/>
  <c r="D22" i="20"/>
  <c r="B163" i="6" s="1"/>
  <c r="C22" i="20"/>
  <c r="C9" i="20"/>
  <c r="D9" i="20"/>
  <c r="B150" i="6" s="1"/>
  <c r="D6" i="20"/>
  <c r="B147" i="6" s="1"/>
  <c r="C6" i="20"/>
  <c r="D10" i="20"/>
  <c r="B151" i="6" s="1"/>
  <c r="C10" i="20"/>
  <c r="D14" i="20"/>
  <c r="B155" i="6" s="1"/>
  <c r="C14" i="20"/>
  <c r="C13" i="20"/>
  <c r="D13" i="20"/>
  <c r="B154" i="6" s="1"/>
  <c r="D3" i="20"/>
  <c r="B144" i="6" s="1"/>
  <c r="C3" i="20"/>
  <c r="C5" i="20"/>
  <c r="D5" i="20"/>
  <c r="B146" i="6" s="1"/>
  <c r="D7" i="20"/>
  <c r="B148" i="6" s="1"/>
  <c r="C7" i="20"/>
  <c r="D11" i="20"/>
  <c r="B152" i="6" s="1"/>
  <c r="C11" i="20"/>
  <c r="D15" i="20"/>
  <c r="B156" i="6" s="1"/>
  <c r="C15" i="20"/>
  <c r="D17" i="20"/>
  <c r="B158" i="6" s="1"/>
  <c r="C17" i="20"/>
  <c r="C19" i="20"/>
  <c r="D19" i="20"/>
  <c r="B160" i="6" s="1"/>
  <c r="D21" i="20"/>
  <c r="B162" i="6" s="1"/>
  <c r="C21" i="20"/>
  <c r="AF26" i="21"/>
  <c r="AG26" i="21" s="1"/>
  <c r="Q24" i="21"/>
  <c r="AF18" i="21"/>
  <c r="AG18" i="21" s="1"/>
  <c r="AF20" i="21"/>
  <c r="AG20" i="21" s="1"/>
  <c r="AF22" i="21"/>
  <c r="AG22" i="21" s="1"/>
  <c r="AF16" i="21"/>
  <c r="AG16" i="21" s="1"/>
  <c r="Q28" i="21"/>
  <c r="Z22" i="18"/>
  <c r="Z18" i="18"/>
  <c r="Z14" i="18"/>
  <c r="Z10" i="18"/>
  <c r="Z6" i="18"/>
  <c r="Z2" i="18"/>
  <c r="J10" i="18"/>
  <c r="J9" i="18"/>
  <c r="J8" i="18"/>
  <c r="S4" i="20"/>
  <c r="S16" i="20"/>
  <c r="S7" i="20"/>
  <c r="S9" i="20"/>
  <c r="S12" i="20"/>
  <c r="S8" i="20"/>
  <c r="S14" i="20"/>
  <c r="S3" i="20"/>
  <c r="S15" i="20"/>
  <c r="S21" i="20"/>
  <c r="S19" i="20"/>
  <c r="S10" i="20"/>
  <c r="S2" i="20"/>
  <c r="S18" i="20"/>
  <c r="S20" i="20"/>
  <c r="S17" i="20"/>
  <c r="S22" i="20"/>
  <c r="S5" i="20"/>
  <c r="S11" i="20"/>
  <c r="S13" i="20"/>
  <c r="S6" i="20"/>
  <c r="Y2" i="20" l="1"/>
  <c r="Y20" i="20"/>
  <c r="Y16" i="20"/>
  <c r="Y12" i="20"/>
  <c r="Y21" i="20"/>
  <c r="Y9" i="20"/>
  <c r="Y5" i="20"/>
  <c r="Y4" i="20"/>
  <c r="Y15" i="20"/>
  <c r="Y18" i="20"/>
  <c r="Y13" i="20"/>
  <c r="Y10" i="20"/>
  <c r="Y6" i="20"/>
  <c r="B142" i="6"/>
  <c r="Y11" i="20"/>
  <c r="Y14" i="20"/>
  <c r="Y8" i="20"/>
  <c r="Y19" i="20"/>
  <c r="Y22" i="20"/>
  <c r="Y17" i="20"/>
  <c r="Y7" i="20"/>
  <c r="Y3" i="20"/>
  <c r="E24" i="6"/>
  <c r="F24" i="6"/>
  <c r="N2" i="20"/>
  <c r="G24" i="6" l="1"/>
  <c r="N6" i="20"/>
  <c r="N7" i="20" l="1"/>
  <c r="N9" i="20" l="1"/>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W12" i="20"/>
  <c r="Q14" i="20"/>
  <c r="Q16" i="20"/>
  <c r="Q18" i="20"/>
  <c r="W20" i="20"/>
  <c r="Q22" i="20"/>
  <c r="Q12" i="20"/>
  <c r="W14" i="20"/>
  <c r="W16" i="20"/>
  <c r="W18" i="20"/>
  <c r="Q20" i="20"/>
  <c r="W22" i="20"/>
  <c r="Q11" i="20"/>
  <c r="Q13" i="20"/>
  <c r="Q15" i="20"/>
  <c r="Q17" i="20"/>
  <c r="W19" i="20"/>
  <c r="Q21" i="20"/>
  <c r="W11" i="20"/>
  <c r="W13" i="20"/>
  <c r="W15" i="20"/>
  <c r="W17" i="20"/>
  <c r="Q19" i="20"/>
  <c r="W21" i="20"/>
  <c r="AF2" i="19" l="1"/>
  <c r="I12" i="18"/>
  <c r="C12" i="18" s="1"/>
  <c r="I11" i="18"/>
  <c r="C11" i="18" s="1"/>
  <c r="I10" i="18"/>
  <c r="I9" i="18"/>
  <c r="C9" i="18" s="1"/>
  <c r="I8" i="18"/>
  <c r="I7" i="18"/>
  <c r="I6" i="18"/>
  <c r="I5" i="18"/>
  <c r="I3" i="18"/>
  <c r="I4" i="18"/>
  <c r="I2" i="18"/>
  <c r="C2" i="18" s="1"/>
  <c r="D2" i="18"/>
  <c r="B120" i="6" s="1"/>
  <c r="D3" i="18"/>
  <c r="B121" i="6" s="1"/>
  <c r="D5" i="18"/>
  <c r="B123" i="6" s="1"/>
  <c r="D7" i="18"/>
  <c r="B125" i="6" s="1"/>
  <c r="D10" i="18"/>
  <c r="B128" i="6" s="1"/>
  <c r="D12" i="18"/>
  <c r="B130" i="6" s="1"/>
  <c r="D13" i="18"/>
  <c r="B131" i="6" s="1"/>
  <c r="D14" i="18"/>
  <c r="B132" i="6" s="1"/>
  <c r="D15" i="18"/>
  <c r="B133" i="6" s="1"/>
  <c r="D16" i="18"/>
  <c r="B134" i="6" s="1"/>
  <c r="D17" i="18"/>
  <c r="B135" i="6" s="1"/>
  <c r="D18" i="18"/>
  <c r="B136" i="6" s="1"/>
  <c r="D19" i="18"/>
  <c r="B137" i="6" s="1"/>
  <c r="D20" i="18"/>
  <c r="B138" i="6" s="1"/>
  <c r="D21" i="18"/>
  <c r="B139" i="6" s="1"/>
  <c r="D22" i="18"/>
  <c r="B140" i="6" s="1"/>
  <c r="D4" i="18"/>
  <c r="B122" i="6" s="1"/>
  <c r="D6" i="18"/>
  <c r="B124" i="6" s="1"/>
  <c r="D8" i="18"/>
  <c r="B126" i="6" s="1"/>
  <c r="D9" i="18"/>
  <c r="B127" i="6" s="1"/>
  <c r="D11" i="18"/>
  <c r="B129" i="6" s="1"/>
  <c r="AE38" i="13"/>
  <c r="Z38" i="13"/>
  <c r="AA38" i="13"/>
  <c r="AB38" i="13"/>
  <c r="AC38" i="13"/>
  <c r="AD38" i="13"/>
  <c r="S38" i="13"/>
  <c r="T38" i="13"/>
  <c r="U38" i="13"/>
  <c r="V38" i="13"/>
  <c r="W38" i="13"/>
  <c r="X38" i="13"/>
  <c r="Y38" i="13"/>
  <c r="R38" i="13"/>
  <c r="AW1" i="12"/>
  <c r="O36" i="13"/>
  <c r="BI16" i="14"/>
  <c r="BI17" i="14"/>
  <c r="BI18" i="14"/>
  <c r="BI19" i="14"/>
  <c r="BI20" i="14"/>
  <c r="BI21" i="14"/>
  <c r="BI22" i="14"/>
  <c r="U14" i="20"/>
  <c r="AA20" i="18"/>
  <c r="U13" i="20"/>
  <c r="AA2" i="18"/>
  <c r="U16" i="20"/>
  <c r="AA12" i="18"/>
  <c r="U15" i="20"/>
  <c r="AA4" i="18"/>
  <c r="AA3" i="18"/>
  <c r="AA6" i="18"/>
  <c r="AA17" i="18"/>
  <c r="AA19" i="18"/>
  <c r="U12" i="20"/>
  <c r="AA13" i="18"/>
  <c r="U11" i="20"/>
  <c r="AA14" i="18"/>
  <c r="U22" i="20"/>
  <c r="AA9" i="18"/>
  <c r="U21" i="20"/>
  <c r="AA8" i="18"/>
  <c r="AA21" i="18"/>
  <c r="AA16" i="18"/>
  <c r="AA11" i="18"/>
  <c r="AA7" i="18"/>
  <c r="AA22" i="18"/>
  <c r="U18" i="20"/>
  <c r="AA18" i="18"/>
  <c r="U17" i="20"/>
  <c r="AA15" i="18"/>
  <c r="U20" i="20"/>
  <c r="AA5" i="18"/>
  <c r="U19" i="20"/>
  <c r="AA10" i="18"/>
  <c r="N11" i="20" l="1"/>
  <c r="N15" i="20"/>
  <c r="N12" i="20"/>
  <c r="N13" i="20"/>
  <c r="N14" i="20"/>
  <c r="B119" i="6"/>
  <c r="AG18" i="18"/>
  <c r="AG9" i="18"/>
  <c r="AG22" i="18"/>
  <c r="AG8" i="18"/>
  <c r="AG10" i="18"/>
  <c r="AG11" i="18"/>
  <c r="AG2" i="18"/>
  <c r="AG13" i="18"/>
  <c r="AG12" i="18"/>
  <c r="AG15" i="18"/>
  <c r="AG3" i="18"/>
  <c r="AG6" i="18"/>
  <c r="AG21" i="18"/>
  <c r="AG5" i="18"/>
  <c r="AG14" i="18"/>
  <c r="AG20" i="18"/>
  <c r="AG4" i="18"/>
  <c r="AG7" i="18"/>
  <c r="AG17" i="18"/>
  <c r="AG16" i="18"/>
  <c r="AG19" i="18"/>
  <c r="C10" i="18"/>
  <c r="C8" i="18"/>
  <c r="C7" i="18"/>
  <c r="C6" i="18"/>
  <c r="C5" i="18"/>
  <c r="C4" i="18"/>
  <c r="C3" i="18"/>
  <c r="F23"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AH1" i="12"/>
  <c r="AK1" i="12"/>
  <c r="AN1" i="12"/>
  <c r="AQ1" i="12"/>
  <c r="AT1" i="12"/>
  <c r="AZ1" i="12"/>
  <c r="AE1" i="12"/>
  <c r="P34" i="13"/>
  <c r="P32" i="13"/>
  <c r="AS2" i="18"/>
  <c r="D120" i="6" l="1"/>
  <c r="E23" i="6"/>
  <c r="B22" i="6" s="1"/>
  <c r="L19" i="6"/>
  <c r="M19" i="6"/>
  <c r="K19" i="6"/>
  <c r="A3" i="14"/>
  <c r="A4" i="14"/>
  <c r="A5" i="14"/>
  <c r="A6" i="14"/>
  <c r="A7" i="14"/>
  <c r="A8" i="14"/>
  <c r="A9" i="14"/>
  <c r="A10" i="14"/>
  <c r="A11" i="14"/>
  <c r="A12" i="14"/>
  <c r="A13" i="14"/>
  <c r="A14" i="14"/>
  <c r="A15" i="14"/>
  <c r="A16" i="14"/>
  <c r="A17" i="14"/>
  <c r="A18" i="14"/>
  <c r="A19" i="14"/>
  <c r="A20" i="14"/>
  <c r="A21" i="14"/>
  <c r="A22" i="14"/>
  <c r="A23" i="14"/>
  <c r="N29" i="8"/>
  <c r="C30" i="8" s="1"/>
  <c r="B166" i="6" s="1"/>
  <c r="N28" i="8"/>
  <c r="C29" i="8" s="1"/>
  <c r="N27" i="8"/>
  <c r="C28" i="8" s="1"/>
  <c r="N26" i="8"/>
  <c r="C27" i="8" s="1"/>
  <c r="N25" i="8"/>
  <c r="AJ22" i="14" l="1"/>
  <c r="BD22" i="14"/>
  <c r="AJ21" i="14"/>
  <c r="BD21" i="14"/>
  <c r="AJ17" i="14"/>
  <c r="BD17" i="14"/>
  <c r="AJ18" i="14"/>
  <c r="BD18" i="14"/>
  <c r="AJ20" i="14"/>
  <c r="BD20" i="14"/>
  <c r="AJ16" i="14"/>
  <c r="BD16" i="14"/>
  <c r="AJ23" i="14"/>
  <c r="BD23" i="14"/>
  <c r="AJ19" i="14"/>
  <c r="BD19" i="14"/>
  <c r="G23" i="6"/>
  <c r="D63" i="8"/>
  <c r="N28" i="15" l="1"/>
  <c r="C65" i="8"/>
  <c r="E65" i="8" s="1"/>
  <c r="C64" i="8"/>
  <c r="C62" i="8"/>
  <c r="E64" i="8" l="1"/>
  <c r="E63" i="8" s="1"/>
  <c r="C63" i="8"/>
  <c r="B168"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O39" i="13" s="1"/>
  <c r="A48" i="15"/>
  <c r="A38" i="15"/>
  <c r="A35" i="15"/>
  <c r="A34" i="15"/>
  <c r="A47" i="15" s="1"/>
  <c r="A33" i="15"/>
  <c r="A46" i="15" s="1"/>
  <c r="A32" i="15"/>
  <c r="A45" i="15" s="1"/>
  <c r="A31" i="15"/>
  <c r="A44" i="15" s="1"/>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Z23" i="14"/>
  <c r="AY23" i="14"/>
  <c r="AX23" i="14"/>
  <c r="AW23" i="14"/>
  <c r="AV23" i="14"/>
  <c r="F23" i="14"/>
  <c r="B23" i="14"/>
  <c r="BF22" i="14"/>
  <c r="AZ22" i="14"/>
  <c r="AY22" i="14"/>
  <c r="AX22" i="14"/>
  <c r="AW22" i="14"/>
  <c r="AV22" i="14"/>
  <c r="F22" i="14"/>
  <c r="B22" i="14"/>
  <c r="BF21" i="14"/>
  <c r="AZ21" i="14"/>
  <c r="AY21" i="14"/>
  <c r="AX21" i="14"/>
  <c r="AW21" i="14"/>
  <c r="AV21" i="14"/>
  <c r="F21" i="14"/>
  <c r="B21" i="14"/>
  <c r="BF20" i="14"/>
  <c r="AZ20" i="14"/>
  <c r="AY20" i="14"/>
  <c r="AX20" i="14"/>
  <c r="AW20" i="14"/>
  <c r="AV20" i="14"/>
  <c r="AO20" i="14"/>
  <c r="F20" i="14"/>
  <c r="B20" i="14"/>
  <c r="BF19" i="14"/>
  <c r="AZ19" i="14"/>
  <c r="AY19" i="14"/>
  <c r="AX19" i="14"/>
  <c r="AW19" i="14"/>
  <c r="AV19" i="14"/>
  <c r="F19" i="14"/>
  <c r="B19" i="14"/>
  <c r="BF18" i="14"/>
  <c r="AZ18" i="14"/>
  <c r="AY18" i="14"/>
  <c r="AX18" i="14"/>
  <c r="AW18" i="14"/>
  <c r="AV18" i="14"/>
  <c r="F18" i="14"/>
  <c r="B18" i="14"/>
  <c r="BF17" i="14"/>
  <c r="AZ17" i="14"/>
  <c r="AY17" i="14"/>
  <c r="AX17" i="14"/>
  <c r="AW17" i="14"/>
  <c r="AV17" i="14"/>
  <c r="F17" i="14"/>
  <c r="B17" i="14"/>
  <c r="BF16" i="14"/>
  <c r="AZ16" i="14"/>
  <c r="AY16" i="14"/>
  <c r="AX16" i="14"/>
  <c r="AW16" i="14"/>
  <c r="AV16" i="14"/>
  <c r="AO16" i="14"/>
  <c r="F16" i="14"/>
  <c r="B16" i="14"/>
  <c r="F15" i="14"/>
  <c r="B15" i="14"/>
  <c r="F14" i="14"/>
  <c r="B14" i="14"/>
  <c r="F13" i="14"/>
  <c r="B13" i="14"/>
  <c r="F12" i="14"/>
  <c r="B12" i="14"/>
  <c r="F11" i="14"/>
  <c r="B11" i="14"/>
  <c r="F10" i="14"/>
  <c r="B10" i="14"/>
  <c r="B9" i="14"/>
  <c r="B8" i="14"/>
  <c r="B7" i="14"/>
  <c r="B6" i="14"/>
  <c r="B5" i="14"/>
  <c r="B4" i="14"/>
  <c r="B3" i="14"/>
  <c r="B2" i="14"/>
  <c r="AG1" i="14"/>
  <c r="AD1" i="14"/>
  <c r="AA1" i="14"/>
  <c r="X1" i="14"/>
  <c r="U1" i="14"/>
  <c r="R1" i="14"/>
  <c r="O1" i="14"/>
  <c r="P28" i="13"/>
  <c r="O28" i="13"/>
  <c r="P26" i="13"/>
  <c r="O26" i="13"/>
  <c r="P24" i="13"/>
  <c r="O24" i="13"/>
  <c r="P22" i="13"/>
  <c r="O22" i="13"/>
  <c r="P20" i="13"/>
  <c r="O20" i="13"/>
  <c r="P18" i="13"/>
  <c r="O18" i="13"/>
  <c r="P16" i="13"/>
  <c r="O16" i="13"/>
  <c r="P14" i="13"/>
  <c r="O14" i="13"/>
  <c r="P12" i="13"/>
  <c r="O12" i="13"/>
  <c r="P10" i="13"/>
  <c r="O10" i="13"/>
  <c r="O8" i="13"/>
  <c r="P6" i="13"/>
  <c r="O6" i="13"/>
  <c r="P4" i="13"/>
  <c r="O4" i="13"/>
  <c r="N4" i="13"/>
  <c r="O2" i="13"/>
  <c r="N2" i="13"/>
  <c r="D93" i="6"/>
  <c r="B22" i="12"/>
  <c r="D92" i="6"/>
  <c r="B21" i="12"/>
  <c r="D91" i="6"/>
  <c r="B20" i="12"/>
  <c r="D90" i="6"/>
  <c r="B19" i="12"/>
  <c r="D89" i="6"/>
  <c r="B18" i="12"/>
  <c r="D88" i="6"/>
  <c r="B17" i="12"/>
  <c r="D87" i="6"/>
  <c r="B16" i="12"/>
  <c r="D86" i="6"/>
  <c r="B15" i="12"/>
  <c r="D85" i="6"/>
  <c r="B14" i="12"/>
  <c r="D84" i="6"/>
  <c r="B13" i="12"/>
  <c r="D83" i="6"/>
  <c r="B12" i="12"/>
  <c r="D82" i="6"/>
  <c r="B11" i="12"/>
  <c r="D81" i="6"/>
  <c r="B10" i="12"/>
  <c r="D80" i="6"/>
  <c r="B9" i="12"/>
  <c r="D79" i="6"/>
  <c r="B8" i="12"/>
  <c r="D78" i="6"/>
  <c r="B7" i="12"/>
  <c r="D77" i="6"/>
  <c r="B6" i="12"/>
  <c r="D76" i="6"/>
  <c r="B5" i="12"/>
  <c r="D75" i="6"/>
  <c r="B4" i="12"/>
  <c r="D74" i="6"/>
  <c r="B3" i="12"/>
  <c r="B2" i="12"/>
  <c r="N92" i="11"/>
  <c r="Q92" i="11" s="1"/>
  <c r="M92" i="11"/>
  <c r="P92" i="11" s="1"/>
  <c r="P91" i="11"/>
  <c r="N91" i="11"/>
  <c r="Q91" i="11" s="1"/>
  <c r="M91" i="11"/>
  <c r="P90" i="11"/>
  <c r="N90" i="11"/>
  <c r="Q90" i="11" s="1"/>
  <c r="M90" i="11"/>
  <c r="N89" i="11"/>
  <c r="Q89" i="11" s="1"/>
  <c r="M89" i="11"/>
  <c r="P89" i="11" s="1"/>
  <c r="N88" i="11"/>
  <c r="Q88" i="11" s="1"/>
  <c r="M88" i="11"/>
  <c r="P88" i="11" s="1"/>
  <c r="P87" i="11"/>
  <c r="N87" i="11"/>
  <c r="Q87" i="11" s="1"/>
  <c r="M87" i="11"/>
  <c r="P86" i="11"/>
  <c r="N86" i="11"/>
  <c r="Q86" i="11" s="1"/>
  <c r="M86" i="11"/>
  <c r="N85" i="11"/>
  <c r="Q85" i="11" s="1"/>
  <c r="M85" i="11"/>
  <c r="P85" i="11" s="1"/>
  <c r="N84" i="11"/>
  <c r="Q84" i="11" s="1"/>
  <c r="M84" i="11"/>
  <c r="P84" i="11" s="1"/>
  <c r="P83" i="11"/>
  <c r="N83" i="11"/>
  <c r="Q83" i="11" s="1"/>
  <c r="M83" i="11"/>
  <c r="P82" i="11"/>
  <c r="N82" i="11"/>
  <c r="Q82" i="11" s="1"/>
  <c r="M82" i="11"/>
  <c r="N81" i="11"/>
  <c r="Q81" i="11" s="1"/>
  <c r="M81" i="11"/>
  <c r="P81" i="11" s="1"/>
  <c r="N80" i="11"/>
  <c r="Q80" i="11" s="1"/>
  <c r="M80" i="11"/>
  <c r="P80" i="11" s="1"/>
  <c r="P79" i="11"/>
  <c r="N79" i="11"/>
  <c r="Q79" i="11" s="1"/>
  <c r="M79" i="11"/>
  <c r="P78" i="11"/>
  <c r="N78" i="11"/>
  <c r="Q78" i="11" s="1"/>
  <c r="M78" i="11"/>
  <c r="N77" i="11"/>
  <c r="Q77" i="11" s="1"/>
  <c r="M77" i="11"/>
  <c r="P77" i="11" s="1"/>
  <c r="N76" i="11"/>
  <c r="Q76" i="11" s="1"/>
  <c r="M76" i="11"/>
  <c r="P76" i="11" s="1"/>
  <c r="P75" i="11"/>
  <c r="N75" i="11"/>
  <c r="Q75" i="11" s="1"/>
  <c r="M75" i="11"/>
  <c r="P74" i="11"/>
  <c r="N74" i="11"/>
  <c r="Q74" i="11" s="1"/>
  <c r="M74" i="11"/>
  <c r="N73" i="11"/>
  <c r="Q73" i="11" s="1"/>
  <c r="M73" i="11"/>
  <c r="P73" i="11" s="1"/>
  <c r="N72" i="11"/>
  <c r="Q72" i="11" s="1"/>
  <c r="M72" i="11"/>
  <c r="P72" i="11" s="1"/>
  <c r="P71" i="11"/>
  <c r="N71" i="11"/>
  <c r="Q71" i="11" s="1"/>
  <c r="M71" i="11"/>
  <c r="P70" i="11"/>
  <c r="N70" i="11"/>
  <c r="Q70" i="11" s="1"/>
  <c r="M70" i="11"/>
  <c r="N69" i="11"/>
  <c r="Q69" i="11" s="1"/>
  <c r="M69" i="11"/>
  <c r="P69" i="11" s="1"/>
  <c r="N68" i="11"/>
  <c r="Q68" i="11" s="1"/>
  <c r="M68" i="11"/>
  <c r="P68" i="11" s="1"/>
  <c r="P67" i="11"/>
  <c r="N67" i="11"/>
  <c r="Q67" i="11" s="1"/>
  <c r="M67" i="11"/>
  <c r="P66" i="11"/>
  <c r="N66" i="11"/>
  <c r="Q66" i="11" s="1"/>
  <c r="M66" i="11"/>
  <c r="N65" i="11"/>
  <c r="Q65" i="11" s="1"/>
  <c r="M65" i="11"/>
  <c r="P65" i="11" s="1"/>
  <c r="N64" i="11"/>
  <c r="Q64" i="11" s="1"/>
  <c r="M64" i="11"/>
  <c r="P64" i="11" s="1"/>
  <c r="P63" i="11"/>
  <c r="N63" i="11"/>
  <c r="Q63" i="11" s="1"/>
  <c r="M63" i="11"/>
  <c r="P62" i="11"/>
  <c r="N62" i="11"/>
  <c r="Q62" i="11" s="1"/>
  <c r="M62" i="11"/>
  <c r="N61" i="11"/>
  <c r="Q61" i="11" s="1"/>
  <c r="M61" i="11"/>
  <c r="P61" i="11" s="1"/>
  <c r="N60" i="11"/>
  <c r="Q60" i="11" s="1"/>
  <c r="M60" i="11"/>
  <c r="P60" i="11" s="1"/>
  <c r="P59" i="11"/>
  <c r="N59" i="11"/>
  <c r="Q59" i="11" s="1"/>
  <c r="M59" i="11"/>
  <c r="P58" i="11"/>
  <c r="N58" i="11"/>
  <c r="Q58" i="11" s="1"/>
  <c r="M58" i="11"/>
  <c r="N57" i="11"/>
  <c r="Q57" i="11" s="1"/>
  <c r="M57" i="11"/>
  <c r="P57" i="11" s="1"/>
  <c r="N56" i="11"/>
  <c r="Q56" i="11" s="1"/>
  <c r="M56" i="11"/>
  <c r="P56" i="11" s="1"/>
  <c r="P55" i="11"/>
  <c r="N55" i="11"/>
  <c r="Q55" i="11" s="1"/>
  <c r="M55" i="11"/>
  <c r="P54" i="11"/>
  <c r="N54" i="11"/>
  <c r="Q54" i="11" s="1"/>
  <c r="M54" i="11"/>
  <c r="N53" i="11"/>
  <c r="Q53" i="11" s="1"/>
  <c r="M53" i="11"/>
  <c r="P53" i="11" s="1"/>
  <c r="N52" i="11"/>
  <c r="Q52" i="11" s="1"/>
  <c r="M52" i="11"/>
  <c r="P52" i="11" s="1"/>
  <c r="P51" i="11"/>
  <c r="N51" i="11"/>
  <c r="Q51" i="11" s="1"/>
  <c r="M51" i="11"/>
  <c r="P50" i="11"/>
  <c r="N50" i="11"/>
  <c r="Q50" i="11" s="1"/>
  <c r="M50" i="11"/>
  <c r="N49" i="11"/>
  <c r="Q49" i="11" s="1"/>
  <c r="M49" i="11"/>
  <c r="P49" i="11" s="1"/>
  <c r="N48" i="11"/>
  <c r="Q48" i="11" s="1"/>
  <c r="M48" i="11"/>
  <c r="P48" i="11" s="1"/>
  <c r="P47" i="11"/>
  <c r="N47" i="11"/>
  <c r="Q47" i="11" s="1"/>
  <c r="M47" i="11"/>
  <c r="P46" i="11"/>
  <c r="N46" i="11"/>
  <c r="Q46" i="11" s="1"/>
  <c r="M46" i="11"/>
  <c r="N45" i="11"/>
  <c r="Q45" i="11" s="1"/>
  <c r="M45" i="11"/>
  <c r="P45" i="11" s="1"/>
  <c r="N44" i="11"/>
  <c r="Q44" i="11" s="1"/>
  <c r="M44" i="11"/>
  <c r="P44" i="11" s="1"/>
  <c r="P43" i="11"/>
  <c r="N43" i="11"/>
  <c r="Q43" i="11" s="1"/>
  <c r="M43" i="11"/>
  <c r="P42" i="11"/>
  <c r="N42" i="11"/>
  <c r="Q42" i="11" s="1"/>
  <c r="M42" i="11"/>
  <c r="N41" i="11"/>
  <c r="Q41" i="11" s="1"/>
  <c r="M41" i="11"/>
  <c r="P41" i="11" s="1"/>
  <c r="N40" i="11"/>
  <c r="Q40" i="11" s="1"/>
  <c r="M40" i="11"/>
  <c r="P40" i="11" s="1"/>
  <c r="N39" i="11"/>
  <c r="Q39" i="11" s="1"/>
  <c r="M39" i="11"/>
  <c r="P39" i="11" s="1"/>
  <c r="N38" i="11"/>
  <c r="Q38" i="11" s="1"/>
  <c r="M38" i="11"/>
  <c r="P38" i="11" s="1"/>
  <c r="P37" i="11"/>
  <c r="N37" i="11"/>
  <c r="Q37" i="11" s="1"/>
  <c r="M37" i="11"/>
  <c r="P36" i="11"/>
  <c r="N36" i="11"/>
  <c r="Q36" i="11" s="1"/>
  <c r="M36" i="11"/>
  <c r="N35" i="11"/>
  <c r="Q35" i="11" s="1"/>
  <c r="M35" i="11"/>
  <c r="P35" i="11" s="1"/>
  <c r="N34" i="11"/>
  <c r="Q34" i="11" s="1"/>
  <c r="M34" i="11"/>
  <c r="P34" i="11" s="1"/>
  <c r="N33" i="11"/>
  <c r="Q33" i="11" s="1"/>
  <c r="M33" i="11"/>
  <c r="P33" i="11" s="1"/>
  <c r="N32" i="11"/>
  <c r="Q32" i="11" s="1"/>
  <c r="M32" i="11"/>
  <c r="P32" i="11" s="1"/>
  <c r="N31" i="11"/>
  <c r="Q31" i="11" s="1"/>
  <c r="M31" i="11"/>
  <c r="P31" i="11" s="1"/>
  <c r="N30" i="11"/>
  <c r="Q30" i="11" s="1"/>
  <c r="M30" i="11"/>
  <c r="P30" i="11" s="1"/>
  <c r="N29" i="11"/>
  <c r="Q29" i="11" s="1"/>
  <c r="M29" i="11"/>
  <c r="P29" i="11" s="1"/>
  <c r="N28" i="11"/>
  <c r="Q28" i="11" s="1"/>
  <c r="M28" i="11"/>
  <c r="P28" i="11" s="1"/>
  <c r="N27" i="11"/>
  <c r="Q27" i="11" s="1"/>
  <c r="M27" i="11"/>
  <c r="P27" i="11" s="1"/>
  <c r="N26" i="11"/>
  <c r="Q26" i="11" s="1"/>
  <c r="M26" i="11"/>
  <c r="P26" i="11" s="1"/>
  <c r="N25" i="11"/>
  <c r="Q25" i="11" s="1"/>
  <c r="M25" i="11"/>
  <c r="P25" i="11" s="1"/>
  <c r="N24" i="11"/>
  <c r="Q24" i="11" s="1"/>
  <c r="M24" i="11"/>
  <c r="P24" i="11" s="1"/>
  <c r="N23" i="11"/>
  <c r="Q23" i="11" s="1"/>
  <c r="M23" i="11"/>
  <c r="P23" i="11" s="1"/>
  <c r="L19" i="11"/>
  <c r="L20" i="11" s="1"/>
  <c r="L21" i="11" s="1"/>
  <c r="L22" i="11" s="1"/>
  <c r="I19" i="11"/>
  <c r="H19" i="11"/>
  <c r="H20" i="11" s="1"/>
  <c r="H21" i="11" s="1"/>
  <c r="H22" i="11" s="1"/>
  <c r="K18" i="11"/>
  <c r="K20" i="11" s="1"/>
  <c r="K22" i="11" s="1"/>
  <c r="J18" i="11"/>
  <c r="I18" i="11"/>
  <c r="K17" i="11"/>
  <c r="J17" i="11"/>
  <c r="I17" i="11"/>
  <c r="I16" i="11"/>
  <c r="M16" i="11" s="1"/>
  <c r="P16" i="11" s="1"/>
  <c r="I15" i="11"/>
  <c r="N15" i="11" s="1"/>
  <c r="Q15" i="11" s="1"/>
  <c r="K14" i="11"/>
  <c r="N14" i="11" s="1"/>
  <c r="Q14" i="11" s="1"/>
  <c r="I14" i="11"/>
  <c r="K13" i="11"/>
  <c r="I13" i="11"/>
  <c r="N13" i="11" s="1"/>
  <c r="Q13" i="11" s="1"/>
  <c r="Q11" i="11"/>
  <c r="J11" i="11"/>
  <c r="P11" i="11" s="1"/>
  <c r="Q10" i="11"/>
  <c r="P10" i="11"/>
  <c r="J10" i="11"/>
  <c r="Q9" i="11"/>
  <c r="J9" i="11"/>
  <c r="P9" i="11" s="1"/>
  <c r="Q8" i="11"/>
  <c r="J8" i="11"/>
  <c r="P8" i="11" s="1"/>
  <c r="Q7" i="11"/>
  <c r="J7" i="11"/>
  <c r="P7" i="11" s="1"/>
  <c r="Q6" i="11"/>
  <c r="J6" i="11"/>
  <c r="P6" i="11" s="1"/>
  <c r="Q5" i="11"/>
  <c r="J5" i="11"/>
  <c r="P5" i="11" s="1"/>
  <c r="Q4" i="11"/>
  <c r="J4" i="11"/>
  <c r="P4" i="11" s="1"/>
  <c r="Q3" i="11"/>
  <c r="J3" i="11"/>
  <c r="P3" i="11" s="1"/>
  <c r="Q2" i="11"/>
  <c r="J2" i="11"/>
  <c r="P2" i="11" s="1"/>
  <c r="Q1" i="11"/>
  <c r="P1" i="11"/>
  <c r="H1" i="11"/>
  <c r="Y22" i="10"/>
  <c r="X22" i="10"/>
  <c r="Z22" i="10" s="1"/>
  <c r="D70" i="6" s="1"/>
  <c r="W22" i="10"/>
  <c r="V22" i="10"/>
  <c r="U22" i="10"/>
  <c r="T22" i="10"/>
  <c r="S22" i="10"/>
  <c r="I22" i="10"/>
  <c r="P22" i="10" s="1"/>
  <c r="B22" i="10"/>
  <c r="Y21" i="10"/>
  <c r="X21" i="10"/>
  <c r="Z21" i="10" s="1"/>
  <c r="D69" i="6" s="1"/>
  <c r="W21" i="10"/>
  <c r="V21" i="10"/>
  <c r="U21" i="10"/>
  <c r="T21" i="10"/>
  <c r="S21" i="10"/>
  <c r="I21" i="10"/>
  <c r="P21" i="10" s="1"/>
  <c r="B21" i="10"/>
  <c r="Y20" i="10"/>
  <c r="X20" i="10"/>
  <c r="Z20" i="10" s="1"/>
  <c r="D68" i="6" s="1"/>
  <c r="W20" i="10"/>
  <c r="V20" i="10"/>
  <c r="U20" i="10"/>
  <c r="T20" i="10"/>
  <c r="S20" i="10"/>
  <c r="I20" i="10"/>
  <c r="P20" i="10" s="1"/>
  <c r="B20" i="10"/>
  <c r="Z19" i="10"/>
  <c r="D67" i="6" s="1"/>
  <c r="Y19" i="10"/>
  <c r="X19" i="10"/>
  <c r="W19" i="10"/>
  <c r="V19" i="10"/>
  <c r="U19" i="10"/>
  <c r="T19" i="10"/>
  <c r="S19" i="10"/>
  <c r="I19" i="10"/>
  <c r="P19" i="10" s="1"/>
  <c r="B19" i="10"/>
  <c r="Y18" i="10"/>
  <c r="X18" i="10"/>
  <c r="Z18" i="10" s="1"/>
  <c r="D66" i="6" s="1"/>
  <c r="W18" i="10"/>
  <c r="V18" i="10"/>
  <c r="U18" i="10"/>
  <c r="T18" i="10"/>
  <c r="S18" i="10"/>
  <c r="I18" i="10"/>
  <c r="P18" i="10" s="1"/>
  <c r="B18" i="10"/>
  <c r="Y17" i="10"/>
  <c r="X17" i="10"/>
  <c r="Z17" i="10" s="1"/>
  <c r="D65" i="6" s="1"/>
  <c r="W17" i="10"/>
  <c r="V17" i="10"/>
  <c r="U17" i="10"/>
  <c r="T17" i="10"/>
  <c r="S17" i="10"/>
  <c r="I17" i="10"/>
  <c r="P17" i="10" s="1"/>
  <c r="B17" i="10"/>
  <c r="Y16" i="10"/>
  <c r="X16" i="10"/>
  <c r="Z16" i="10" s="1"/>
  <c r="D64" i="6" s="1"/>
  <c r="W16" i="10"/>
  <c r="V16" i="10"/>
  <c r="U16" i="10"/>
  <c r="T16" i="10"/>
  <c r="S16" i="10"/>
  <c r="I16" i="10"/>
  <c r="P16" i="10" s="1"/>
  <c r="B16" i="10"/>
  <c r="Y15" i="10"/>
  <c r="X15" i="10"/>
  <c r="Z15" i="10" s="1"/>
  <c r="D63" i="6" s="1"/>
  <c r="W15" i="10"/>
  <c r="V15" i="10"/>
  <c r="U15" i="10"/>
  <c r="T15" i="10"/>
  <c r="S15" i="10"/>
  <c r="I15" i="10"/>
  <c r="P15" i="10" s="1"/>
  <c r="B15" i="10"/>
  <c r="Y14" i="10"/>
  <c r="X14" i="10"/>
  <c r="Z14" i="10" s="1"/>
  <c r="D62" i="6" s="1"/>
  <c r="W14" i="10"/>
  <c r="V14" i="10"/>
  <c r="U14" i="10"/>
  <c r="T14" i="10"/>
  <c r="S14" i="10"/>
  <c r="I14" i="10"/>
  <c r="P14" i="10" s="1"/>
  <c r="B14" i="10"/>
  <c r="Y13" i="10"/>
  <c r="X13" i="10"/>
  <c r="Z13" i="10" s="1"/>
  <c r="D61" i="6" s="1"/>
  <c r="W13" i="10"/>
  <c r="V13" i="10"/>
  <c r="U13" i="10"/>
  <c r="T13" i="10"/>
  <c r="S13" i="10"/>
  <c r="I13" i="10"/>
  <c r="P13" i="10" s="1"/>
  <c r="B13" i="10"/>
  <c r="Y12" i="10"/>
  <c r="X12" i="10"/>
  <c r="Z12" i="10" s="1"/>
  <c r="D60" i="6" s="1"/>
  <c r="W12" i="10"/>
  <c r="V12" i="10"/>
  <c r="U12" i="10"/>
  <c r="T12" i="10"/>
  <c r="S12" i="10"/>
  <c r="I12" i="10"/>
  <c r="P12" i="10" s="1"/>
  <c r="B12" i="10"/>
  <c r="Y11" i="10"/>
  <c r="X11" i="10"/>
  <c r="Z11" i="10" s="1"/>
  <c r="D59" i="6" s="1"/>
  <c r="W11" i="10"/>
  <c r="V11" i="10"/>
  <c r="U11" i="10"/>
  <c r="T11" i="10"/>
  <c r="S11" i="10"/>
  <c r="I11" i="10"/>
  <c r="P11" i="10" s="1"/>
  <c r="B11" i="10"/>
  <c r="Y10" i="10"/>
  <c r="X10" i="10"/>
  <c r="Z10" i="10" s="1"/>
  <c r="D58" i="6" s="1"/>
  <c r="W10" i="10"/>
  <c r="V10" i="10"/>
  <c r="U10" i="10"/>
  <c r="T10" i="10"/>
  <c r="S10" i="10"/>
  <c r="I10" i="10"/>
  <c r="P10" i="10" s="1"/>
  <c r="B10" i="10"/>
  <c r="Z9" i="10"/>
  <c r="D57" i="6" s="1"/>
  <c r="Y9" i="10"/>
  <c r="X9" i="10"/>
  <c r="W9" i="10"/>
  <c r="V9" i="10"/>
  <c r="U9" i="10"/>
  <c r="T9" i="10"/>
  <c r="S9" i="10"/>
  <c r="I9" i="10"/>
  <c r="P9" i="10" s="1"/>
  <c r="B9" i="10"/>
  <c r="Y8" i="10"/>
  <c r="X8" i="10"/>
  <c r="Z8" i="10" s="1"/>
  <c r="D56" i="6" s="1"/>
  <c r="W8" i="10"/>
  <c r="V8" i="10"/>
  <c r="U8" i="10"/>
  <c r="T8" i="10"/>
  <c r="S8" i="10"/>
  <c r="I8" i="10"/>
  <c r="P8" i="10" s="1"/>
  <c r="B8" i="10"/>
  <c r="Y7" i="10"/>
  <c r="X7" i="10"/>
  <c r="Z7" i="10" s="1"/>
  <c r="D55" i="6" s="1"/>
  <c r="W7" i="10"/>
  <c r="V7" i="10"/>
  <c r="U7" i="10"/>
  <c r="T7" i="10"/>
  <c r="S7" i="10"/>
  <c r="I7" i="10"/>
  <c r="P7" i="10" s="1"/>
  <c r="B7" i="10"/>
  <c r="Y6" i="10"/>
  <c r="X6" i="10"/>
  <c r="Z6" i="10" s="1"/>
  <c r="D54" i="6" s="1"/>
  <c r="W6" i="10"/>
  <c r="V6" i="10"/>
  <c r="U6" i="10"/>
  <c r="T6" i="10"/>
  <c r="S6" i="10"/>
  <c r="I6" i="10"/>
  <c r="A6" i="10" s="1"/>
  <c r="Q6" i="10" s="1"/>
  <c r="B6" i="10"/>
  <c r="Y5" i="10"/>
  <c r="X5" i="10"/>
  <c r="Z5" i="10" s="1"/>
  <c r="D53" i="6" s="1"/>
  <c r="W5" i="10"/>
  <c r="V5" i="10"/>
  <c r="U5" i="10"/>
  <c r="T5" i="10"/>
  <c r="S5" i="10"/>
  <c r="I5" i="10"/>
  <c r="A5" i="10" s="1"/>
  <c r="Q5" i="10" s="1"/>
  <c r="B5" i="10"/>
  <c r="Y4" i="10"/>
  <c r="X4" i="10"/>
  <c r="Z4" i="10" s="1"/>
  <c r="D52" i="6" s="1"/>
  <c r="W4" i="10"/>
  <c r="V4" i="10"/>
  <c r="U4" i="10"/>
  <c r="T4" i="10"/>
  <c r="S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B2" i="10"/>
  <c r="Y1" i="10"/>
  <c r="X1" i="10"/>
  <c r="V1" i="10"/>
  <c r="U1" i="10"/>
  <c r="T1" i="10"/>
  <c r="BO21" i="14"/>
  <c r="BO16" i="14"/>
  <c r="BO23" i="14"/>
  <c r="BO18" i="14"/>
  <c r="BO22" i="14"/>
  <c r="BO20" i="14"/>
  <c r="BO19" i="14"/>
  <c r="BO17" i="14"/>
  <c r="A21" i="10" l="1"/>
  <c r="Q21" i="10" s="1"/>
  <c r="AY5" i="12"/>
  <c r="AA5" i="12"/>
  <c r="AY6" i="12"/>
  <c r="AA6" i="12"/>
  <c r="U6" i="12"/>
  <c r="AX5" i="12"/>
  <c r="Z5" i="12"/>
  <c r="AX6" i="12"/>
  <c r="Z6" i="12"/>
  <c r="T6" i="12"/>
  <c r="Q6" i="12"/>
  <c r="R6" i="12"/>
  <c r="AX19" i="12"/>
  <c r="AX15" i="12"/>
  <c r="AX11" i="12"/>
  <c r="AX7" i="12"/>
  <c r="Z22" i="12"/>
  <c r="Z18" i="12"/>
  <c r="Z14" i="12"/>
  <c r="Z10" i="12"/>
  <c r="Z3" i="12"/>
  <c r="Q7" i="12"/>
  <c r="Q11" i="12"/>
  <c r="Q15" i="12"/>
  <c r="Q19" i="12"/>
  <c r="AX17" i="12"/>
  <c r="AX9" i="12"/>
  <c r="Z20" i="12"/>
  <c r="Z12" i="12"/>
  <c r="Q9" i="12"/>
  <c r="Q17" i="12"/>
  <c r="AX16" i="12"/>
  <c r="AX8" i="12"/>
  <c r="Z19" i="12"/>
  <c r="Z7" i="12"/>
  <c r="Q14" i="12"/>
  <c r="Q22" i="12"/>
  <c r="I22" i="12" s="1"/>
  <c r="AX22" i="12"/>
  <c r="AX18" i="12"/>
  <c r="AX14" i="12"/>
  <c r="AX10" i="12"/>
  <c r="AX4" i="12"/>
  <c r="Z21" i="12"/>
  <c r="Z17" i="12"/>
  <c r="Z13" i="12"/>
  <c r="Z9" i="12"/>
  <c r="Q8" i="12"/>
  <c r="Q12" i="12"/>
  <c r="Q16" i="12"/>
  <c r="Q20" i="12"/>
  <c r="AX21" i="12"/>
  <c r="AX13" i="12"/>
  <c r="AX3" i="12"/>
  <c r="Z16" i="12"/>
  <c r="Z8" i="12"/>
  <c r="Q13" i="12"/>
  <c r="Q21" i="12"/>
  <c r="I21" i="12" s="1"/>
  <c r="AX20" i="12"/>
  <c r="AX12" i="12"/>
  <c r="AX2" i="12"/>
  <c r="Z15" i="12"/>
  <c r="Z11" i="12"/>
  <c r="Q10" i="12"/>
  <c r="I10" i="12" s="1"/>
  <c r="Q18" i="12"/>
  <c r="I18" i="12" s="1"/>
  <c r="AY7" i="12"/>
  <c r="AY11" i="12"/>
  <c r="AY15" i="12"/>
  <c r="AY19" i="12"/>
  <c r="AY2" i="12"/>
  <c r="AA9" i="12"/>
  <c r="AA13" i="12"/>
  <c r="AA17" i="12"/>
  <c r="AA21" i="12"/>
  <c r="R9" i="12"/>
  <c r="R13" i="12"/>
  <c r="R17" i="12"/>
  <c r="R21" i="12"/>
  <c r="AY9" i="12"/>
  <c r="AY21" i="12"/>
  <c r="AA11" i="12"/>
  <c r="AA19" i="12"/>
  <c r="R11" i="12"/>
  <c r="R19" i="12"/>
  <c r="AY4" i="12"/>
  <c r="AY18" i="12"/>
  <c r="AA8" i="12"/>
  <c r="AA16" i="12"/>
  <c r="R8" i="12"/>
  <c r="R16" i="12"/>
  <c r="AY8" i="12"/>
  <c r="AY12" i="12"/>
  <c r="AY16" i="12"/>
  <c r="AY20" i="12"/>
  <c r="AA3" i="12"/>
  <c r="AA10" i="12"/>
  <c r="AA14" i="12"/>
  <c r="AA18" i="12"/>
  <c r="AA22" i="12"/>
  <c r="R10" i="12"/>
  <c r="R14" i="12"/>
  <c r="R18" i="12"/>
  <c r="R22" i="12"/>
  <c r="AY3" i="12"/>
  <c r="AY13" i="12"/>
  <c r="AY17" i="12"/>
  <c r="AA7" i="12"/>
  <c r="AA15" i="12"/>
  <c r="R7" i="12"/>
  <c r="R15" i="12"/>
  <c r="AY10" i="12"/>
  <c r="AY14" i="12"/>
  <c r="AY22" i="12"/>
  <c r="AA12" i="12"/>
  <c r="AA20" i="12"/>
  <c r="R12" i="12"/>
  <c r="R20" i="12"/>
  <c r="X5" i="12"/>
  <c r="X3" i="12"/>
  <c r="X2" i="12"/>
  <c r="BA5" i="12"/>
  <c r="BB4" i="12"/>
  <c r="BA3" i="12"/>
  <c r="BA2" i="12"/>
  <c r="BB6" i="12"/>
  <c r="BA4" i="12"/>
  <c r="BB2" i="12"/>
  <c r="BA6" i="12"/>
  <c r="BB3" i="12"/>
  <c r="BB5" i="12"/>
  <c r="R5" i="12"/>
  <c r="T6" i="14"/>
  <c r="T10" i="14"/>
  <c r="T14" i="14"/>
  <c r="T18" i="14"/>
  <c r="T22" i="14"/>
  <c r="S6" i="14"/>
  <c r="S10" i="14"/>
  <c r="S14" i="14"/>
  <c r="S18" i="14"/>
  <c r="S22" i="14"/>
  <c r="T7" i="14"/>
  <c r="T11" i="14"/>
  <c r="T15" i="14"/>
  <c r="T19" i="14"/>
  <c r="T23" i="14"/>
  <c r="S7" i="14"/>
  <c r="S11" i="14"/>
  <c r="S15" i="14"/>
  <c r="S19" i="14"/>
  <c r="S23" i="14"/>
  <c r="S8" i="14"/>
  <c r="S16" i="14"/>
  <c r="T4" i="14"/>
  <c r="T13" i="14"/>
  <c r="T21" i="14"/>
  <c r="S13" i="14"/>
  <c r="S21" i="14"/>
  <c r="T3" i="14"/>
  <c r="T8" i="14"/>
  <c r="T12" i="14"/>
  <c r="T16" i="14"/>
  <c r="T20" i="14"/>
  <c r="S3" i="14"/>
  <c r="S12" i="14"/>
  <c r="S20" i="14"/>
  <c r="T9" i="14"/>
  <c r="T17" i="14"/>
  <c r="S4" i="14"/>
  <c r="S9" i="14"/>
  <c r="S17" i="14"/>
  <c r="S5" i="14"/>
  <c r="M17" i="11"/>
  <c r="P17" i="11" s="1"/>
  <c r="N18" i="11"/>
  <c r="Q18" i="11" s="1"/>
  <c r="T5" i="14"/>
  <c r="D62" i="8"/>
  <c r="E62" i="8" s="1"/>
  <c r="N16" i="11"/>
  <c r="Q16" i="11" s="1"/>
  <c r="M18" i="11"/>
  <c r="P18" i="11" s="1"/>
  <c r="AL2" i="12"/>
  <c r="S2" i="14"/>
  <c r="V2" i="14"/>
  <c r="A10" i="10"/>
  <c r="Q10" i="10" s="1"/>
  <c r="A22" i="10"/>
  <c r="Q22" i="10" s="1"/>
  <c r="M13" i="11"/>
  <c r="P13" i="11" s="1"/>
  <c r="N17" i="11"/>
  <c r="Q17" i="11" s="1"/>
  <c r="Q5" i="12"/>
  <c r="W5" i="12"/>
  <c r="AM2" i="12"/>
  <c r="T2" i="14"/>
  <c r="W2" i="14"/>
  <c r="T3" i="12"/>
  <c r="T5" i="12"/>
  <c r="U3" i="12"/>
  <c r="U5" i="12"/>
  <c r="R3" i="12"/>
  <c r="R2" i="12"/>
  <c r="R4" i="12"/>
  <c r="P11" i="14"/>
  <c r="P15" i="14"/>
  <c r="P19" i="14"/>
  <c r="P23" i="14"/>
  <c r="P8" i="14"/>
  <c r="P12" i="14"/>
  <c r="P16" i="14"/>
  <c r="P20" i="14"/>
  <c r="P9" i="14"/>
  <c r="P13" i="14"/>
  <c r="P17" i="14"/>
  <c r="P21" i="14"/>
  <c r="P10" i="14"/>
  <c r="P14" i="14"/>
  <c r="P18" i="14"/>
  <c r="P22" i="14"/>
  <c r="AA2" i="12"/>
  <c r="AA4" i="12"/>
  <c r="P3" i="14"/>
  <c r="P7" i="14"/>
  <c r="P4" i="14"/>
  <c r="P2" i="14"/>
  <c r="P5" i="14"/>
  <c r="P6" i="14"/>
  <c r="Q9" i="14"/>
  <c r="Q13" i="14"/>
  <c r="Q17" i="14"/>
  <c r="Q21" i="14"/>
  <c r="Q10" i="14"/>
  <c r="Q14" i="14"/>
  <c r="Q18" i="14"/>
  <c r="Q22" i="14"/>
  <c r="Q19" i="14"/>
  <c r="Q11" i="14"/>
  <c r="Q15" i="14"/>
  <c r="Q23" i="14"/>
  <c r="Q8" i="14"/>
  <c r="Q12" i="14"/>
  <c r="Q16" i="14"/>
  <c r="Q20" i="14"/>
  <c r="Z2" i="12"/>
  <c r="Z4" i="12"/>
  <c r="Q5" i="14"/>
  <c r="Q6" i="14"/>
  <c r="Q3" i="14"/>
  <c r="Q7" i="14"/>
  <c r="Q4" i="14"/>
  <c r="Q2" i="14"/>
  <c r="Q3" i="12"/>
  <c r="Q2" i="12"/>
  <c r="Q4" i="12"/>
  <c r="W3" i="12"/>
  <c r="W2" i="12"/>
  <c r="A2" i="14"/>
  <c r="AS18" i="14"/>
  <c r="AO17" i="14"/>
  <c r="AS17" i="14"/>
  <c r="AO22" i="14"/>
  <c r="R4" i="10"/>
  <c r="G8" i="10"/>
  <c r="C8" i="10" s="1"/>
  <c r="A9" i="10"/>
  <c r="Q9" i="10" s="1"/>
  <c r="G12" i="10"/>
  <c r="C12" i="10" s="1"/>
  <c r="A13" i="10"/>
  <c r="Q13" i="10" s="1"/>
  <c r="G16" i="10"/>
  <c r="C16" i="10" s="1"/>
  <c r="A17" i="10"/>
  <c r="Q17" i="10" s="1"/>
  <c r="G20" i="10"/>
  <c r="C20" i="10" s="1"/>
  <c r="G22" i="10"/>
  <c r="C22" i="10" s="1"/>
  <c r="A7" i="10"/>
  <c r="Q7" i="10" s="1"/>
  <c r="G10" i="10"/>
  <c r="C10" i="10" s="1"/>
  <c r="A11" i="10"/>
  <c r="Q11" i="10" s="1"/>
  <c r="G14" i="10"/>
  <c r="C14" i="10" s="1"/>
  <c r="A15" i="10"/>
  <c r="Q15" i="10" s="1"/>
  <c r="G18" i="10"/>
  <c r="C18" i="10" s="1"/>
  <c r="A19" i="10"/>
  <c r="Q19" i="10" s="1"/>
  <c r="H5" i="10"/>
  <c r="D5" i="10" s="1"/>
  <c r="B53" i="6" s="1"/>
  <c r="R7" i="10"/>
  <c r="H8" i="10"/>
  <c r="D8" i="10" s="1"/>
  <c r="B56" i="6" s="1"/>
  <c r="R9" i="10"/>
  <c r="H10" i="10"/>
  <c r="D10" i="10" s="1"/>
  <c r="B58" i="6" s="1"/>
  <c r="R11" i="10"/>
  <c r="H12" i="10"/>
  <c r="D12" i="10" s="1"/>
  <c r="B60" i="6" s="1"/>
  <c r="R13" i="10"/>
  <c r="H14" i="10"/>
  <c r="D14" i="10" s="1"/>
  <c r="B62" i="6" s="1"/>
  <c r="R15" i="10"/>
  <c r="H16" i="10"/>
  <c r="D16" i="10" s="1"/>
  <c r="B64" i="6" s="1"/>
  <c r="R17" i="10"/>
  <c r="H18" i="10"/>
  <c r="D18" i="10" s="1"/>
  <c r="B66" i="6" s="1"/>
  <c r="R19" i="10"/>
  <c r="H20" i="10"/>
  <c r="D20" i="10" s="1"/>
  <c r="B68" i="6" s="1"/>
  <c r="R21" i="10"/>
  <c r="H22" i="10"/>
  <c r="D22" i="10" s="1"/>
  <c r="B70" i="6" s="1"/>
  <c r="M14" i="11"/>
  <c r="P14" i="11" s="1"/>
  <c r="K19" i="11"/>
  <c r="K21" i="11" s="1"/>
  <c r="G7" i="10"/>
  <c r="C7" i="10" s="1"/>
  <c r="A8" i="10"/>
  <c r="Q8" i="10" s="1"/>
  <c r="G13" i="10"/>
  <c r="C13" i="10" s="1"/>
  <c r="A14" i="10"/>
  <c r="Q14" i="10" s="1"/>
  <c r="G17" i="10"/>
  <c r="C17" i="10" s="1"/>
  <c r="A18" i="10"/>
  <c r="Q18" i="10" s="1"/>
  <c r="G21" i="10"/>
  <c r="C21" i="10" s="1"/>
  <c r="M15" i="11"/>
  <c r="P15" i="11" s="1"/>
  <c r="I20" i="11"/>
  <c r="G9" i="10"/>
  <c r="C9" i="10" s="1"/>
  <c r="G11" i="10"/>
  <c r="C11" i="10" s="1"/>
  <c r="A12" i="10"/>
  <c r="Q12" i="10" s="1"/>
  <c r="G15" i="10"/>
  <c r="C15" i="10" s="1"/>
  <c r="A16" i="10"/>
  <c r="Q16" i="10" s="1"/>
  <c r="G19" i="10"/>
  <c r="C19" i="10" s="1"/>
  <c r="A20" i="10"/>
  <c r="Q20" i="10" s="1"/>
  <c r="H2" i="10"/>
  <c r="D2" i="10" s="1"/>
  <c r="B50" i="6" s="1"/>
  <c r="H4" i="10"/>
  <c r="D4" i="10" s="1"/>
  <c r="B52" i="6" s="1"/>
  <c r="H7" i="10"/>
  <c r="D7" i="10" s="1"/>
  <c r="B55" i="6" s="1"/>
  <c r="R8" i="10"/>
  <c r="H9" i="10"/>
  <c r="D9" i="10" s="1"/>
  <c r="B57" i="6" s="1"/>
  <c r="R10" i="10"/>
  <c r="H11" i="10"/>
  <c r="D11" i="10" s="1"/>
  <c r="B59" i="6" s="1"/>
  <c r="R12" i="10"/>
  <c r="H13" i="10"/>
  <c r="D13" i="10" s="1"/>
  <c r="B61" i="6" s="1"/>
  <c r="R14" i="10"/>
  <c r="H15" i="10"/>
  <c r="D15" i="10" s="1"/>
  <c r="B63" i="6" s="1"/>
  <c r="R16" i="10"/>
  <c r="H17" i="10"/>
  <c r="D17" i="10" s="1"/>
  <c r="B65" i="6" s="1"/>
  <c r="R18" i="10"/>
  <c r="H19" i="10"/>
  <c r="D19" i="10" s="1"/>
  <c r="B67" i="6" s="1"/>
  <c r="R20" i="10"/>
  <c r="H21" i="10"/>
  <c r="D21" i="10" s="1"/>
  <c r="B69" i="6" s="1"/>
  <c r="R22" i="10"/>
  <c r="N19" i="11"/>
  <c r="Q19" i="11" s="1"/>
  <c r="AO18" i="14"/>
  <c r="A42" i="15"/>
  <c r="AO23" i="14"/>
  <c r="AO21" i="14"/>
  <c r="AO19" i="14"/>
  <c r="AS16" i="14"/>
  <c r="O14" i="19"/>
  <c r="O10" i="19"/>
  <c r="O6" i="19"/>
  <c r="O8" i="19"/>
  <c r="O4" i="19"/>
  <c r="W31" i="13"/>
  <c r="D40" i="8"/>
  <c r="O32" i="13"/>
  <c r="H3" i="10"/>
  <c r="D3" i="10" s="1"/>
  <c r="B51" i="6" s="1"/>
  <c r="R3" i="10"/>
  <c r="A3" i="10"/>
  <c r="Q3" i="10" s="1"/>
  <c r="G3" i="10"/>
  <c r="C3" i="10" s="1"/>
  <c r="R5" i="10"/>
  <c r="P5" i="10"/>
  <c r="H6" i="10"/>
  <c r="D6" i="10" s="1"/>
  <c r="B54" i="6" s="1"/>
  <c r="P6" i="10"/>
  <c r="D73" i="6"/>
  <c r="AB2" i="10"/>
  <c r="E58" i="8"/>
  <c r="E59" i="8"/>
  <c r="AA2" i="10"/>
  <c r="G4" i="10"/>
  <c r="C4" i="10" s="1"/>
  <c r="G6" i="10"/>
  <c r="C6" i="10" s="1"/>
  <c r="R6" i="10"/>
  <c r="A4" i="10"/>
  <c r="Q4" i="10" s="1"/>
  <c r="G5" i="10"/>
  <c r="C5" i="10" s="1"/>
  <c r="E55" i="8"/>
  <c r="E54" i="8"/>
  <c r="E56" i="8"/>
  <c r="E57" i="8"/>
  <c r="E53" i="8"/>
  <c r="R2" i="10"/>
  <c r="G2" i="10"/>
  <c r="C2" i="10" s="1"/>
  <c r="A2" i="10"/>
  <c r="P2" i="10"/>
  <c r="AD3" i="10"/>
  <c r="AB3" i="10" s="1"/>
  <c r="BH17" i="14"/>
  <c r="BH18" i="14"/>
  <c r="BH19" i="14"/>
  <c r="BH20" i="14"/>
  <c r="BH21" i="14"/>
  <c r="BH22" i="14"/>
  <c r="BH16" i="14"/>
  <c r="A39" i="15"/>
  <c r="AR23" i="14"/>
  <c r="AN23" i="14"/>
  <c r="AU23" i="14" s="1"/>
  <c r="BN23" i="14" s="1"/>
  <c r="AR22" i="14"/>
  <c r="AN22" i="14"/>
  <c r="AU22" i="14" s="1"/>
  <c r="AR21" i="14"/>
  <c r="AN21" i="14"/>
  <c r="AU21" i="14" s="1"/>
  <c r="AR20" i="14"/>
  <c r="AN20" i="14"/>
  <c r="AU20" i="14" s="1"/>
  <c r="AR19" i="14"/>
  <c r="AN19" i="14"/>
  <c r="AU19" i="14" s="1"/>
  <c r="AR18" i="14"/>
  <c r="AN18" i="14"/>
  <c r="AU18" i="14" s="1"/>
  <c r="AR17" i="14"/>
  <c r="AN17" i="14"/>
  <c r="AU17" i="14" s="1"/>
  <c r="AR16" i="14"/>
  <c r="AN16" i="14"/>
  <c r="AU16" i="14" s="1"/>
  <c r="AP23" i="14"/>
  <c r="AP22" i="14"/>
  <c r="AP21" i="14"/>
  <c r="AP20" i="14"/>
  <c r="AP19" i="14"/>
  <c r="AP18" i="14"/>
  <c r="AP17" i="14"/>
  <c r="AP16" i="14"/>
  <c r="D96" i="6"/>
  <c r="D97" i="6"/>
  <c r="D98" i="6"/>
  <c r="D99" i="6"/>
  <c r="AQ16" i="14"/>
  <c r="AQ17" i="14"/>
  <c r="AQ18" i="14"/>
  <c r="AQ19" i="14"/>
  <c r="AQ20" i="14"/>
  <c r="AQ21" i="14"/>
  <c r="AQ22" i="14"/>
  <c r="AQ23" i="14"/>
  <c r="AS19" i="14"/>
  <c r="AS20" i="14"/>
  <c r="AS21" i="14"/>
  <c r="AS22" i="14"/>
  <c r="AS23" i="14"/>
  <c r="N31" i="8"/>
  <c r="C31" i="8" s="1"/>
  <c r="I13" i="12" l="1"/>
  <c r="I5" i="12"/>
  <c r="I8" i="12"/>
  <c r="I17" i="12"/>
  <c r="I11" i="12"/>
  <c r="I6" i="12"/>
  <c r="I20" i="12"/>
  <c r="I9" i="12"/>
  <c r="I7" i="12"/>
  <c r="I16" i="12"/>
  <c r="I19" i="12"/>
  <c r="K5" i="14"/>
  <c r="L5" i="14" s="1"/>
  <c r="I5" i="14" s="1"/>
  <c r="C5" i="14" s="1"/>
  <c r="K9" i="14"/>
  <c r="L9" i="14" s="1"/>
  <c r="I9" i="14" s="1"/>
  <c r="C9" i="14" s="1"/>
  <c r="K13" i="14"/>
  <c r="L13" i="14" s="1"/>
  <c r="I13" i="14" s="1"/>
  <c r="K17" i="14"/>
  <c r="L17" i="14" s="1"/>
  <c r="I17" i="14" s="1"/>
  <c r="C17" i="14" s="1"/>
  <c r="K21" i="14"/>
  <c r="L21" i="14" s="1"/>
  <c r="M4" i="14"/>
  <c r="N4" i="14" s="1"/>
  <c r="M8" i="14"/>
  <c r="N8" i="14" s="1"/>
  <c r="J8" i="14" s="1"/>
  <c r="D8" i="14" s="1"/>
  <c r="B102" i="6" s="1"/>
  <c r="M12" i="14"/>
  <c r="N12" i="14" s="1"/>
  <c r="M16" i="14"/>
  <c r="N16" i="14" s="1"/>
  <c r="J16" i="14" s="1"/>
  <c r="D16" i="14" s="1"/>
  <c r="B110" i="6" s="1"/>
  <c r="M20" i="14"/>
  <c r="N20" i="14" s="1"/>
  <c r="K6" i="14"/>
  <c r="L6" i="14" s="1"/>
  <c r="K10" i="14"/>
  <c r="L10" i="14" s="1"/>
  <c r="K14" i="14"/>
  <c r="L14" i="14" s="1"/>
  <c r="I14" i="14" s="1"/>
  <c r="C14" i="14" s="1"/>
  <c r="K18" i="14"/>
  <c r="L18" i="14" s="1"/>
  <c r="I18" i="14" s="1"/>
  <c r="C18" i="14" s="1"/>
  <c r="K22" i="14"/>
  <c r="L22" i="14" s="1"/>
  <c r="M5" i="14"/>
  <c r="N5" i="14" s="1"/>
  <c r="M9" i="14"/>
  <c r="N9" i="14" s="1"/>
  <c r="J9" i="14" s="1"/>
  <c r="D9" i="14" s="1"/>
  <c r="B103" i="6" s="1"/>
  <c r="M13" i="14"/>
  <c r="N13" i="14" s="1"/>
  <c r="M17" i="14"/>
  <c r="N17" i="14" s="1"/>
  <c r="J17" i="14" s="1"/>
  <c r="D17" i="14" s="1"/>
  <c r="B111" i="6" s="1"/>
  <c r="M21" i="14"/>
  <c r="N21" i="14" s="1"/>
  <c r="K8" i="14"/>
  <c r="L8" i="14" s="1"/>
  <c r="I8" i="14" s="1"/>
  <c r="C8" i="14" s="1"/>
  <c r="K12" i="14"/>
  <c r="L12" i="14" s="1"/>
  <c r="I12" i="14" s="1"/>
  <c r="K20" i="14"/>
  <c r="L20" i="14" s="1"/>
  <c r="M7" i="14"/>
  <c r="N7" i="14" s="1"/>
  <c r="J7" i="14" s="1"/>
  <c r="D7" i="14" s="1"/>
  <c r="B101" i="6" s="1"/>
  <c r="M15" i="14"/>
  <c r="N15" i="14" s="1"/>
  <c r="J15" i="14" s="1"/>
  <c r="D15" i="14" s="1"/>
  <c r="B109" i="6" s="1"/>
  <c r="M23" i="14"/>
  <c r="N23" i="14" s="1"/>
  <c r="K3" i="14"/>
  <c r="L3" i="14" s="1"/>
  <c r="I3" i="14" s="1"/>
  <c r="C3" i="14" s="1"/>
  <c r="K7" i="14"/>
  <c r="L7" i="14" s="1"/>
  <c r="K11" i="14"/>
  <c r="L11" i="14" s="1"/>
  <c r="K15" i="14"/>
  <c r="L15" i="14" s="1"/>
  <c r="I15" i="14" s="1"/>
  <c r="C15" i="14" s="1"/>
  <c r="K19" i="14"/>
  <c r="L19" i="14" s="1"/>
  <c r="I19" i="14" s="1"/>
  <c r="C19" i="14" s="1"/>
  <c r="K23" i="14"/>
  <c r="L23" i="14" s="1"/>
  <c r="M6" i="14"/>
  <c r="N6" i="14" s="1"/>
  <c r="J6" i="14" s="1"/>
  <c r="D6" i="14" s="1"/>
  <c r="B100" i="6" s="1"/>
  <c r="M10" i="14"/>
  <c r="N10" i="14" s="1"/>
  <c r="M14" i="14"/>
  <c r="N14" i="14" s="1"/>
  <c r="J14" i="14" s="1"/>
  <c r="D14" i="14" s="1"/>
  <c r="B108" i="6" s="1"/>
  <c r="M18" i="14"/>
  <c r="N18" i="14" s="1"/>
  <c r="J18" i="14" s="1"/>
  <c r="D18" i="14" s="1"/>
  <c r="B112" i="6" s="1"/>
  <c r="M22" i="14"/>
  <c r="N22" i="14" s="1"/>
  <c r="K4" i="14"/>
  <c r="L4" i="14" s="1"/>
  <c r="I4" i="14" s="1"/>
  <c r="C4" i="14" s="1"/>
  <c r="K16" i="14"/>
  <c r="L16" i="14" s="1"/>
  <c r="I16" i="14" s="1"/>
  <c r="C16" i="14" s="1"/>
  <c r="M3" i="14"/>
  <c r="N3" i="14" s="1"/>
  <c r="J3" i="14" s="1"/>
  <c r="D3" i="14" s="1"/>
  <c r="B97" i="6" s="1"/>
  <c r="M11" i="14"/>
  <c r="N11" i="14" s="1"/>
  <c r="M19" i="14"/>
  <c r="N19" i="14" s="1"/>
  <c r="J19" i="14" s="1"/>
  <c r="D19" i="14" s="1"/>
  <c r="B113" i="6" s="1"/>
  <c r="M2" i="14"/>
  <c r="N2" i="14" s="1"/>
  <c r="J2" i="14" s="1"/>
  <c r="D2" i="14" s="1"/>
  <c r="B96" i="6" s="1"/>
  <c r="K2" i="14"/>
  <c r="L2" i="14" s="1"/>
  <c r="I2" i="14" s="1"/>
  <c r="C2" i="14" s="1"/>
  <c r="J4" i="14"/>
  <c r="D4" i="14" s="1"/>
  <c r="B98" i="6" s="1"/>
  <c r="J5" i="14"/>
  <c r="D5" i="14" s="1"/>
  <c r="B99" i="6" s="1"/>
  <c r="J20" i="14"/>
  <c r="J23" i="14"/>
  <c r="J22" i="14"/>
  <c r="J21" i="14"/>
  <c r="I6" i="14"/>
  <c r="I7" i="14"/>
  <c r="C7" i="14" s="1"/>
  <c r="I22" i="14"/>
  <c r="I21" i="14"/>
  <c r="I20" i="14"/>
  <c r="I23" i="14"/>
  <c r="I12" i="12"/>
  <c r="I14" i="12"/>
  <c r="I15" i="12"/>
  <c r="I2" i="12"/>
  <c r="C2" i="12" s="1"/>
  <c r="J13" i="14"/>
  <c r="D13" i="14" s="1"/>
  <c r="B107" i="6" s="1"/>
  <c r="J12" i="14"/>
  <c r="D12" i="14" s="1"/>
  <c r="B106" i="6" s="1"/>
  <c r="I4" i="12"/>
  <c r="J11" i="14"/>
  <c r="D11" i="14" s="1"/>
  <c r="B105" i="6" s="1"/>
  <c r="D20" i="14"/>
  <c r="B114" i="6" s="1"/>
  <c r="C22" i="14"/>
  <c r="D21" i="14"/>
  <c r="B115" i="6" s="1"/>
  <c r="I10" i="14"/>
  <c r="I3" i="12"/>
  <c r="I11" i="14"/>
  <c r="J10" i="14"/>
  <c r="D10" i="14" s="1"/>
  <c r="B104" i="6" s="1"/>
  <c r="C6" i="14"/>
  <c r="D103" i="6"/>
  <c r="D107" i="6"/>
  <c r="D102" i="6"/>
  <c r="D106" i="6"/>
  <c r="D100" i="6"/>
  <c r="D104" i="6"/>
  <c r="D108" i="6"/>
  <c r="D101" i="6"/>
  <c r="D105" i="6"/>
  <c r="D109" i="6"/>
  <c r="M20" i="11"/>
  <c r="P20" i="11" s="1"/>
  <c r="N20" i="11"/>
  <c r="Q20" i="11" s="1"/>
  <c r="I21" i="11"/>
  <c r="M19" i="11"/>
  <c r="P19" i="11" s="1"/>
  <c r="B49" i="6"/>
  <c r="Q2" i="10"/>
  <c r="X3" i="6" s="1"/>
  <c r="F20" i="6"/>
  <c r="E20" i="6"/>
  <c r="AC2" i="10"/>
  <c r="C11" i="14"/>
  <c r="C10" i="14"/>
  <c r="C12" i="14"/>
  <c r="D22" i="14"/>
  <c r="B116" i="6" s="1"/>
  <c r="AD4" i="10"/>
  <c r="AB4" i="10" s="1"/>
  <c r="C23" i="14"/>
  <c r="C20" i="14"/>
  <c r="D23" i="14"/>
  <c r="B117" i="6" s="1"/>
  <c r="C21" i="14"/>
  <c r="C13" i="14"/>
  <c r="AA3" i="10"/>
  <c r="AC3" i="10" s="1"/>
  <c r="BN16" i="14"/>
  <c r="BJ16" i="14"/>
  <c r="BN17" i="14"/>
  <c r="BJ17" i="14"/>
  <c r="BN18" i="14"/>
  <c r="BJ18" i="14"/>
  <c r="BN19" i="14"/>
  <c r="BJ19" i="14"/>
  <c r="BN20" i="14"/>
  <c r="BJ20" i="14"/>
  <c r="BN21" i="14"/>
  <c r="BJ21" i="14"/>
  <c r="BN22" i="14"/>
  <c r="BJ22" i="14"/>
  <c r="AP2116" i="1"/>
  <c r="AP1" i="1"/>
  <c r="BQ16" i="14"/>
  <c r="BQ18" i="14"/>
  <c r="BQ17" i="14"/>
  <c r="BQ22" i="14"/>
  <c r="BQ21" i="14"/>
  <c r="BQ19" i="14"/>
  <c r="BQ23" i="14"/>
  <c r="BQ20" i="14"/>
  <c r="D113" i="6" l="1"/>
  <c r="D116" i="6"/>
  <c r="D112" i="6"/>
  <c r="D114" i="6"/>
  <c r="D115" i="6"/>
  <c r="D111" i="6"/>
  <c r="D110" i="6"/>
  <c r="D117" i="6"/>
  <c r="B95" i="6"/>
  <c r="M21" i="11"/>
  <c r="P21" i="11" s="1"/>
  <c r="I22" i="11"/>
  <c r="N21" i="11"/>
  <c r="Q21" i="11" s="1"/>
  <c r="B19" i="6"/>
  <c r="G20" i="6"/>
  <c r="E22" i="6"/>
  <c r="B21" i="6" s="1"/>
  <c r="F22" i="6"/>
  <c r="AD5" i="10"/>
  <c r="AB5" i="10" s="1"/>
  <c r="AA4" i="10"/>
  <c r="AC4" i="10"/>
  <c r="M14" i="6"/>
  <c r="M15" i="6"/>
  <c r="K14" i="6"/>
  <c r="K15" i="6"/>
  <c r="I14" i="6"/>
  <c r="I15" i="6"/>
  <c r="M22" i="11" l="1"/>
  <c r="P22" i="11" s="1"/>
  <c r="N22" i="11"/>
  <c r="Q22" i="11" s="1"/>
  <c r="G22" i="6"/>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D23" i="8"/>
  <c r="N23" i="8"/>
  <c r="C22" i="8" s="1"/>
  <c r="N22" i="8"/>
  <c r="C21" i="8" s="1"/>
  <c r="N21" i="8"/>
  <c r="C20" i="8" s="1"/>
  <c r="N17"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L23" i="8" s="1"/>
  <c r="R16" i="9"/>
  <c r="M23" i="8" s="1"/>
  <c r="B22" i="8" s="1"/>
  <c r="S16" i="9"/>
  <c r="T16" i="9"/>
  <c r="O23" i="8" s="1"/>
  <c r="D22" i="8" s="1"/>
  <c r="Q17" i="9"/>
  <c r="L25" i="8" s="1"/>
  <c r="R17" i="9"/>
  <c r="M25" i="8" s="1"/>
  <c r="S17" i="9"/>
  <c r="T17" i="9"/>
  <c r="O25" i="8" s="1"/>
  <c r="Q19" i="9"/>
  <c r="L26" i="8" s="1"/>
  <c r="R19" i="9"/>
  <c r="M26" i="8" s="1"/>
  <c r="S19" i="9"/>
  <c r="T19" i="9"/>
  <c r="O26" i="8" s="1"/>
  <c r="Q20" i="9"/>
  <c r="L27" i="8" s="1"/>
  <c r="R20" i="9"/>
  <c r="M27" i="8" s="1"/>
  <c r="S20" i="9"/>
  <c r="T20" i="9"/>
  <c r="O27" i="8" s="1"/>
  <c r="Q27" i="8" s="1"/>
  <c r="Q21" i="9"/>
  <c r="L28" i="8" s="1"/>
  <c r="R21" i="9"/>
  <c r="M28" i="8" s="1"/>
  <c r="S21" i="9"/>
  <c r="T21" i="9"/>
  <c r="O28" i="8" s="1"/>
  <c r="D29" i="8" s="1"/>
  <c r="Q22" i="9"/>
  <c r="L29" i="8" s="1"/>
  <c r="R22" i="9"/>
  <c r="M29" i="8" s="1"/>
  <c r="S22" i="9"/>
  <c r="T22" i="9"/>
  <c r="O29" i="8" s="1"/>
  <c r="D30" i="8" s="1"/>
  <c r="Q23" i="9"/>
  <c r="L39" i="8" s="1"/>
  <c r="R23" i="9"/>
  <c r="M39" i="8" s="1"/>
  <c r="S23" i="9"/>
  <c r="T23" i="9"/>
  <c r="O39" i="8" s="1"/>
  <c r="E9" i="8" s="1"/>
  <c r="G9" i="8" s="1"/>
  <c r="Q24" i="9"/>
  <c r="L31" i="8" s="1"/>
  <c r="R24" i="9"/>
  <c r="M31" i="8" s="1"/>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B167" i="6" s="1"/>
  <c r="B165"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s="1"/>
  <c r="E24" i="9"/>
  <c r="G24" i="9" s="1"/>
  <c r="E25" i="9"/>
  <c r="G25" i="9" s="1"/>
  <c r="E26" i="9"/>
  <c r="G26" i="9" s="1"/>
  <c r="E27" i="9"/>
  <c r="G27" i="9" s="1"/>
  <c r="E28" i="9"/>
  <c r="G28" i="9" s="1"/>
  <c r="E29" i="9"/>
  <c r="G29" i="9" s="1"/>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59" i="5" l="1"/>
  <c r="Z1814" i="1"/>
  <c r="C66" i="5"/>
  <c r="Z1813"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BD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AT1776" i="1" l="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T2121" i="1" l="1"/>
  <c r="AT2120" i="1"/>
  <c r="AT2119" i="1"/>
  <c r="J15" i="1"/>
  <c r="C14" i="1"/>
  <c r="N1922" i="1" l="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S1920" i="1" l="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I2099" i="1"/>
  <c r="AG2099" i="1"/>
  <c r="AC2099" i="1"/>
  <c r="AB2099" i="1" s="1"/>
  <c r="Z2099" i="1"/>
  <c r="V2099" i="1"/>
  <c r="W2099" i="1" s="1"/>
  <c r="K2099" i="1"/>
  <c r="J2099" i="1"/>
  <c r="A2099" i="1"/>
  <c r="AG2098" i="1"/>
  <c r="Z2098" i="1"/>
  <c r="K2098" i="1"/>
  <c r="J2098" i="1"/>
  <c r="A2098" i="1"/>
  <c r="AG2097" i="1"/>
  <c r="Z2097" i="1"/>
  <c r="K2097" i="1"/>
  <c r="J2097" i="1"/>
  <c r="A2097" i="1"/>
  <c r="Z2096" i="1"/>
  <c r="AJ2096" i="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Z188" i="1"/>
  <c r="C42" i="5"/>
  <c r="C41" i="5"/>
  <c r="P112" i="1" l="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H2097" i="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V1236" i="1" l="1"/>
  <c r="W1236" i="1" s="1"/>
  <c r="AC1236" i="1"/>
  <c r="AB1236" i="1" s="1"/>
  <c r="AA1236" i="1" s="1"/>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M2096" i="1" l="1"/>
  <c r="S2098" i="1" s="1"/>
  <c r="AJ2098" i="1" s="1"/>
  <c r="X4" i="6"/>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5" i="1"/>
  <c r="S2100" i="1" s="1"/>
  <c r="AJ2100" i="1" s="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R15" i="1" l="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I2098" i="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K1946" i="1" l="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I2100" i="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T786" i="1" l="1"/>
  <c r="P2116" i="1"/>
  <c r="AM234" i="1"/>
  <c r="AN234" i="1"/>
  <c r="AM258" i="1"/>
  <c r="AN258" i="1"/>
  <c r="P2118" i="1" l="1"/>
  <c r="K2118" i="1"/>
  <c r="B23" i="6" s="1"/>
  <c r="AM2116" i="1"/>
  <c r="AM13" i="1" s="1"/>
  <c r="C9" i="1" s="1"/>
  <c r="AN2118" i="1" l="1"/>
  <c r="AP2118" i="1"/>
  <c r="AP15" i="1" s="1"/>
  <c r="J9" i="1"/>
  <c r="J12" i="1" s="1"/>
  <c r="AM15" i="1" s="1"/>
  <c r="AV15" i="1" l="1"/>
  <c r="AT15" i="1" l="1"/>
  <c r="C71" i="8" l="1"/>
  <c r="BE1" i="14" l="1"/>
  <c r="BE16" i="14" l="1"/>
  <c r="BE17" i="14" l="1"/>
  <c r="BG16" i="14"/>
  <c r="BL16" i="14"/>
  <c r="BM16" i="14"/>
  <c r="BE18" i="14" l="1"/>
  <c r="BM17" i="14"/>
  <c r="BK16" i="14"/>
  <c r="BG17" i="14"/>
  <c r="BL17" i="14"/>
  <c r="BE19" i="14" l="1"/>
  <c r="BL18" i="14"/>
  <c r="BM18" i="14"/>
  <c r="BK17" i="14"/>
  <c r="BG18" i="14"/>
  <c r="BE20" i="14" l="1"/>
  <c r="BG19" i="14"/>
  <c r="BL19" i="14"/>
  <c r="BM19" i="14"/>
  <c r="BK18" i="14"/>
  <c r="BE21" i="14" l="1"/>
  <c r="BG20" i="14"/>
  <c r="BK19" i="14"/>
  <c r="BL20" i="14"/>
  <c r="BM20" i="14"/>
  <c r="BE22" i="14" l="1"/>
  <c r="W1" i="18" s="1"/>
  <c r="BG21" i="14"/>
  <c r="BL21" i="14"/>
  <c r="BM21" i="14"/>
  <c r="BK20" i="14"/>
  <c r="W2" i="18" l="1"/>
  <c r="BL22" i="14"/>
  <c r="BM22" i="14"/>
  <c r="BK21" i="14"/>
  <c r="AF2" i="18"/>
  <c r="BG22" i="14"/>
  <c r="W3" i="18" l="1"/>
  <c r="G3" i="8"/>
  <c r="BK22" i="14"/>
  <c r="AF3" i="18"/>
  <c r="AD2" i="18"/>
  <c r="AE2" i="18"/>
  <c r="Y2" i="18"/>
  <c r="V2" i="18" l="1"/>
  <c r="W4" i="18"/>
  <c r="F3" i="8"/>
  <c r="I7" i="8" s="1"/>
  <c r="AD3" i="18"/>
  <c r="AC2" i="18"/>
  <c r="AE3" i="18"/>
  <c r="AF4" i="18"/>
  <c r="Y3" i="18"/>
  <c r="V3" i="18" l="1"/>
  <c r="W5" i="18"/>
  <c r="B28" i="6"/>
  <c r="AC3" i="18"/>
  <c r="AE4" i="18"/>
  <c r="AD4" i="18"/>
  <c r="AF5" i="18"/>
  <c r="Y4" i="18"/>
  <c r="V4" i="18" l="1"/>
  <c r="W6" i="18"/>
  <c r="B27" i="6"/>
  <c r="AE5" i="18"/>
  <c r="AD5" i="18"/>
  <c r="AF6" i="18"/>
  <c r="Y5" i="18"/>
  <c r="AC4" i="18"/>
  <c r="V5" i="18" l="1"/>
  <c r="W7" i="18"/>
  <c r="AC5" i="18"/>
  <c r="Y6" i="18"/>
  <c r="AD6" i="18"/>
  <c r="AE6" i="18"/>
  <c r="AF7" i="18"/>
  <c r="V6" i="18" l="1"/>
  <c r="W8" i="18"/>
  <c r="AD7" i="18"/>
  <c r="AE7" i="18"/>
  <c r="AF8" i="18"/>
  <c r="AC6" i="18"/>
  <c r="Y7" i="18"/>
  <c r="V7" i="18" l="1"/>
  <c r="W9" i="18"/>
  <c r="AC7" i="18"/>
  <c r="Y8" i="18"/>
  <c r="AD8" i="18"/>
  <c r="AE8" i="18"/>
  <c r="AF9" i="18"/>
  <c r="V8" i="18" l="1"/>
  <c r="W10" i="18"/>
  <c r="AD9" i="18"/>
  <c r="AE9" i="18"/>
  <c r="AF10" i="18"/>
  <c r="AC8" i="18"/>
  <c r="Y9" i="18"/>
  <c r="V9" i="18" l="1"/>
  <c r="W11" i="18"/>
  <c r="AC9" i="18"/>
  <c r="AF11" i="18"/>
  <c r="AD10" i="18"/>
  <c r="AE10" i="18"/>
  <c r="Y10" i="18"/>
  <c r="V10" i="18" l="1"/>
  <c r="W12" i="18"/>
  <c r="AF12" i="18" s="1"/>
  <c r="AD11" i="18"/>
  <c r="AE11" i="18"/>
  <c r="AC10" i="18"/>
  <c r="Y11" i="18"/>
  <c r="V11" i="18" l="1"/>
  <c r="W13" i="18"/>
  <c r="AC11" i="18"/>
  <c r="Y12" i="18"/>
  <c r="AD12" i="18"/>
  <c r="AE12" i="18"/>
  <c r="AF13" i="18"/>
  <c r="W14" i="18" l="1"/>
  <c r="AD13" i="18"/>
  <c r="AC12" i="18"/>
  <c r="AE13" i="18"/>
  <c r="AF14" i="18"/>
  <c r="Y13" i="18"/>
  <c r="V12" i="18" l="1"/>
  <c r="V13" i="18"/>
  <c r="W15" i="18"/>
  <c r="AF15" i="18" s="1"/>
  <c r="AD14" i="18"/>
  <c r="AE14" i="18"/>
  <c r="X5" i="6"/>
  <c r="Y14" i="18"/>
  <c r="AC13" i="18"/>
  <c r="V14" i="18" l="1"/>
  <c r="W16" i="18"/>
  <c r="AE15" i="18"/>
  <c r="AF16" i="18"/>
  <c r="Y15" i="18"/>
  <c r="AC14" i="18"/>
  <c r="AD15" i="18"/>
  <c r="V15" i="18" l="1"/>
  <c r="W17" i="18"/>
  <c r="AF17" i="18" s="1"/>
  <c r="AC15" i="18"/>
  <c r="AD16" i="18"/>
  <c r="Y16" i="18"/>
  <c r="AE16" i="18"/>
  <c r="X6" i="6"/>
  <c r="W18" i="18" l="1"/>
  <c r="AC17" i="18"/>
  <c r="AF18" i="18"/>
  <c r="AC16" i="18"/>
  <c r="AD17" i="18"/>
  <c r="W19" i="18" l="1"/>
  <c r="AC18" i="18"/>
  <c r="AD18" i="18"/>
  <c r="AF19" i="18"/>
  <c r="W20" i="18" l="1"/>
  <c r="AD19" i="18"/>
  <c r="AC19" i="18"/>
  <c r="AF20" i="18"/>
  <c r="W21" i="18" l="1"/>
  <c r="AF21" i="18"/>
  <c r="AD20" i="18"/>
  <c r="AC20" i="18"/>
  <c r="W22" i="18" l="1"/>
  <c r="AC21" i="18"/>
  <c r="AF22" i="18"/>
  <c r="AD21" i="18"/>
  <c r="O1" i="20" l="1"/>
  <c r="O2" i="20" s="1"/>
  <c r="AD22" i="18"/>
  <c r="AC22" i="18"/>
  <c r="O3" i="20" l="1"/>
  <c r="Q2" i="20"/>
  <c r="V2" i="20"/>
  <c r="O4" i="20" l="1"/>
  <c r="V3" i="20"/>
  <c r="U2" i="20"/>
  <c r="Q3" i="20"/>
  <c r="O5" i="20" l="1"/>
  <c r="U3" i="20"/>
  <c r="V4" i="20"/>
  <c r="Q4" i="20"/>
  <c r="N3" i="20" l="1"/>
  <c r="O6" i="20"/>
  <c r="Q5" i="20"/>
  <c r="U4" i="20"/>
  <c r="V5" i="20"/>
  <c r="W5" i="20"/>
  <c r="N5" i="20" l="1"/>
  <c r="N4" i="20"/>
  <c r="O7" i="20"/>
  <c r="Q6" i="20"/>
  <c r="U5" i="20"/>
  <c r="W6" i="20"/>
  <c r="V6" i="20"/>
  <c r="O8" i="20" l="1"/>
  <c r="W7" i="20"/>
  <c r="U6" i="20"/>
  <c r="Q7" i="20"/>
  <c r="V7" i="20"/>
  <c r="O9" i="20" l="1"/>
  <c r="W8" i="20"/>
  <c r="V8" i="20"/>
  <c r="U7" i="20"/>
  <c r="Q8" i="20"/>
  <c r="O10" i="20" l="1"/>
  <c r="V9" i="20"/>
  <c r="Q9" i="20"/>
  <c r="W9" i="20"/>
  <c r="U8" i="20"/>
  <c r="N8" i="20" l="1"/>
  <c r="O11" i="20"/>
  <c r="V10" i="20"/>
  <c r="Q10" i="20"/>
  <c r="U9" i="20"/>
  <c r="W10" i="20"/>
  <c r="O12" i="20" l="1"/>
  <c r="U10" i="20"/>
  <c r="V11" i="20"/>
  <c r="N10" i="20" l="1"/>
  <c r="X7" i="6" s="1"/>
  <c r="O13" i="20"/>
  <c r="V12" i="20"/>
  <c r="O14" i="20" l="1"/>
  <c r="V13" i="20"/>
  <c r="O15" i="20" l="1"/>
  <c r="V14" i="20"/>
  <c r="O16" i="20" l="1"/>
  <c r="V15" i="20"/>
  <c r="O17" i="20" l="1"/>
  <c r="V16" i="20"/>
  <c r="O18" i="20" l="1"/>
  <c r="V17" i="20"/>
  <c r="O19" i="20" l="1"/>
  <c r="V18" i="20"/>
  <c r="O20" i="20" l="1"/>
  <c r="V19" i="20"/>
  <c r="O21" i="20" l="1"/>
  <c r="V20" i="20"/>
  <c r="O22" i="20" l="1"/>
  <c r="V21"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E1" i="8"/>
  <c r="W8" i="6" s="1"/>
  <c r="AQ14" i="8"/>
  <c r="B36" i="6" l="1"/>
  <c r="B39" i="6"/>
  <c r="A3" i="12"/>
  <c r="F3" i="12" s="1"/>
  <c r="A16" i="12"/>
  <c r="F16" i="12" s="1"/>
  <c r="A19" i="12"/>
  <c r="F19" i="12" s="1"/>
  <c r="A9" i="12"/>
  <c r="F9" i="12" s="1"/>
  <c r="A6" i="12"/>
  <c r="F6" i="12" s="1"/>
  <c r="N6" i="12" s="1"/>
  <c r="A4" i="12"/>
  <c r="F4" i="12" s="1"/>
  <c r="A21" i="12"/>
  <c r="F21" i="12" s="1"/>
  <c r="A20" i="12"/>
  <c r="F20" i="12" s="1"/>
  <c r="A5" i="12"/>
  <c r="F5" i="12" s="1"/>
  <c r="A8" i="12"/>
  <c r="F8" i="12" s="1"/>
  <c r="A14" i="12"/>
  <c r="F14" i="12" s="1"/>
  <c r="N14" i="12" s="1"/>
  <c r="J14" i="12" s="1"/>
  <c r="D14" i="12" s="1"/>
  <c r="B85" i="6" s="1"/>
  <c r="A22" i="12"/>
  <c r="F22" i="12" s="1"/>
  <c r="A18" i="12"/>
  <c r="F18" i="12" s="1"/>
  <c r="A15" i="12"/>
  <c r="F15" i="12" s="1"/>
  <c r="A12" i="12"/>
  <c r="F12" i="12" s="1"/>
  <c r="A10" i="12"/>
  <c r="F10" i="12" s="1"/>
  <c r="A17" i="12"/>
  <c r="F17" i="12" s="1"/>
  <c r="A13" i="12"/>
  <c r="F13" i="12" s="1"/>
  <c r="C13" i="12" s="1"/>
  <c r="A11" i="12"/>
  <c r="F11" i="12" s="1"/>
  <c r="A2" i="12"/>
  <c r="F2" i="12" s="1"/>
  <c r="A7" i="12"/>
  <c r="AE12" i="20"/>
  <c r="AE15" i="20"/>
  <c r="AE11" i="20"/>
  <c r="AE21" i="20"/>
  <c r="AE7" i="20"/>
  <c r="AE19" i="20"/>
  <c r="AE2" i="20"/>
  <c r="AE3" i="20"/>
  <c r="AE13" i="20"/>
  <c r="AE22" i="20"/>
  <c r="AE5" i="20"/>
  <c r="AE6" i="20"/>
  <c r="AE20" i="20"/>
  <c r="AE9" i="20"/>
  <c r="AE17" i="20"/>
  <c r="X8" i="6"/>
  <c r="AE18" i="20"/>
  <c r="AE16" i="20"/>
  <c r="AE4" i="20"/>
  <c r="AE10" i="20"/>
  <c r="AE8" i="20"/>
  <c r="AE14" i="20"/>
  <c r="F7" i="12" l="1"/>
  <c r="N7" i="12" s="1"/>
  <c r="D148" i="6"/>
  <c r="D149" i="6"/>
  <c r="D158" i="6"/>
  <c r="D163" i="6"/>
  <c r="D162" i="6"/>
  <c r="D151" i="6"/>
  <c r="D150" i="6"/>
  <c r="D154" i="6"/>
  <c r="D152" i="6"/>
  <c r="D145" i="6"/>
  <c r="D161" i="6"/>
  <c r="D144" i="6"/>
  <c r="D156" i="6"/>
  <c r="D157" i="6"/>
  <c r="D147" i="6"/>
  <c r="D143" i="6"/>
  <c r="D153" i="6"/>
  <c r="D159" i="6"/>
  <c r="D146" i="6"/>
  <c r="D160" i="6"/>
  <c r="D155" i="6"/>
  <c r="C4" i="12"/>
  <c r="N4" i="12"/>
  <c r="J4" i="12" s="1"/>
  <c r="D4" i="12" s="1"/>
  <c r="B75" i="6" s="1"/>
  <c r="C14" i="12"/>
  <c r="C17" i="12"/>
  <c r="N17" i="12"/>
  <c r="J17" i="12" s="1"/>
  <c r="D17" i="12" s="1"/>
  <c r="B88" i="6" s="1"/>
  <c r="N21" i="12"/>
  <c r="J21" i="12" s="1"/>
  <c r="D21" i="12" s="1"/>
  <c r="B92" i="6" s="1"/>
  <c r="C21" i="12"/>
  <c r="N2" i="12"/>
  <c r="N15" i="12"/>
  <c r="J15" i="12" s="1"/>
  <c r="D15" i="12" s="1"/>
  <c r="B86" i="6" s="1"/>
  <c r="C15" i="12"/>
  <c r="N5" i="12"/>
  <c r="C5" i="12"/>
  <c r="C20" i="12"/>
  <c r="N20" i="12"/>
  <c r="J20" i="12" s="1"/>
  <c r="D20" i="12" s="1"/>
  <c r="B91" i="6" s="1"/>
  <c r="N19" i="12"/>
  <c r="J19" i="12" s="1"/>
  <c r="D19" i="12" s="1"/>
  <c r="B90" i="6" s="1"/>
  <c r="C19" i="12"/>
  <c r="N11" i="12"/>
  <c r="J11" i="12" s="1"/>
  <c r="D11" i="12" s="1"/>
  <c r="B82" i="6" s="1"/>
  <c r="C11" i="12"/>
  <c r="N10" i="12"/>
  <c r="J10" i="12" s="1"/>
  <c r="D10" i="12" s="1"/>
  <c r="B81" i="6" s="1"/>
  <c r="C10" i="12"/>
  <c r="C18" i="12"/>
  <c r="N18" i="12"/>
  <c r="J18" i="12" s="1"/>
  <c r="D18" i="12" s="1"/>
  <c r="B89" i="6" s="1"/>
  <c r="N22" i="12"/>
  <c r="J22" i="12" s="1"/>
  <c r="D22" i="12" s="1"/>
  <c r="B93" i="6" s="1"/>
  <c r="C22" i="12"/>
  <c r="N16" i="12"/>
  <c r="J16" i="12" s="1"/>
  <c r="D16" i="12" s="1"/>
  <c r="B87" i="6" s="1"/>
  <c r="C16" i="12"/>
  <c r="C7" i="12"/>
  <c r="N12" i="12"/>
  <c r="J12" i="12" s="1"/>
  <c r="D12" i="12" s="1"/>
  <c r="B83" i="6" s="1"/>
  <c r="C12" i="12"/>
  <c r="C8" i="12"/>
  <c r="N8" i="12"/>
  <c r="J8" i="12" s="1"/>
  <c r="D8" i="12" s="1"/>
  <c r="B79" i="6" s="1"/>
  <c r="C6" i="12"/>
  <c r="N3" i="12"/>
  <c r="J3" i="12" s="1"/>
  <c r="D3" i="12" s="1"/>
  <c r="B74" i="6" s="1"/>
  <c r="C3" i="12"/>
  <c r="N13" i="12"/>
  <c r="J13" i="12" s="1"/>
  <c r="D13" i="12" s="1"/>
  <c r="B84" i="6" s="1"/>
  <c r="N9" i="12"/>
  <c r="J9" i="12" s="1"/>
  <c r="D9" i="12" s="1"/>
  <c r="B80" i="6" s="1"/>
  <c r="C9" i="12"/>
  <c r="X1" i="6"/>
  <c r="M1" i="6" l="1"/>
  <c r="J7" i="12"/>
  <c r="D7" i="12" s="1"/>
  <c r="B78" i="6" s="1"/>
  <c r="J6" i="12"/>
  <c r="D6" i="12" s="1"/>
  <c r="B77" i="6" s="1"/>
  <c r="J5" i="12"/>
  <c r="D5" i="12" s="1"/>
  <c r="B76" i="6" s="1"/>
  <c r="J2" i="12"/>
  <c r="D2" i="12" s="1"/>
  <c r="E21" i="6"/>
  <c r="B73" i="6" l="1"/>
  <c r="B72" i="6" s="1"/>
  <c r="B48" i="6" s="1"/>
  <c r="F21" i="6"/>
  <c r="G21" i="6" s="1"/>
  <c r="E19" i="6"/>
  <c r="B20" i="6"/>
  <c r="B9" i="6" s="1"/>
  <c r="K22" i="6" s="1"/>
  <c r="K20" i="6" s="1"/>
  <c r="F19" i="6" l="1"/>
  <c r="E9" i="6" s="1"/>
  <c r="I9" i="6" s="1"/>
  <c r="G19" i="6"/>
  <c r="S18" i="6" s="1"/>
  <c r="K9" i="6" l="1"/>
  <c r="M9" i="6"/>
  <c r="F25" i="6"/>
  <c r="E11" i="6"/>
  <c r="I11" i="6" s="1"/>
  <c r="E12" i="6"/>
  <c r="K12" i="6" s="1"/>
  <c r="B14" i="6"/>
  <c r="E10" i="6"/>
  <c r="I10" i="6" s="1"/>
  <c r="E28" i="6"/>
  <c r="G28" i="6" s="1"/>
  <c r="G29" i="6" s="1"/>
  <c r="S19" i="6"/>
  <c r="S22" i="6"/>
  <c r="S20" i="6"/>
  <c r="S21" i="6"/>
  <c r="S17" i="6"/>
  <c r="B17" i="6" l="1"/>
  <c r="N9" i="6"/>
  <c r="O9" i="6" s="1"/>
  <c r="M12" i="6"/>
  <c r="I12" i="6"/>
  <c r="B16" i="6"/>
  <c r="K10" i="6"/>
  <c r="M11" i="6"/>
  <c r="K11" i="6"/>
  <c r="E32" i="6"/>
  <c r="B37" i="6" s="1"/>
  <c r="B35" i="6" s="1"/>
  <c r="B10" i="6" s="1"/>
  <c r="M10" i="6"/>
  <c r="B15" i="6"/>
  <c r="E8" i="6"/>
  <c r="G14" i="6" s="1"/>
  <c r="G33" i="6"/>
  <c r="G31" i="6"/>
  <c r="N12" i="6" l="1"/>
  <c r="O12" i="6" s="1"/>
  <c r="N10" i="6"/>
  <c r="O10" i="6" s="1"/>
  <c r="B8" i="6"/>
  <c r="B7" i="6" s="1"/>
  <c r="N11" i="6"/>
  <c r="O11" i="6" s="1"/>
  <c r="B13" i="6"/>
  <c r="G9" i="6"/>
  <c r="L22" i="6"/>
  <c r="L20" i="6" s="1"/>
  <c r="G13" i="6"/>
  <c r="G15" i="6"/>
  <c r="B3" i="6" l="1"/>
  <c r="B1" i="6"/>
  <c r="M22" i="6" s="1"/>
  <c r="M20" i="6" s="1"/>
  <c r="N20" i="6" s="1"/>
  <c r="O16" i="6"/>
  <c r="N16" i="6"/>
  <c r="B2" i="6"/>
  <c r="C1" i="6" l="1"/>
  <c r="P3" i="22"/>
  <c r="N3" i="22"/>
  <c r="O3" i="22"/>
</calcChain>
</file>

<file path=xl/sharedStrings.xml><?xml version="1.0" encoding="utf-8"?>
<sst xmlns="http://schemas.openxmlformats.org/spreadsheetml/2006/main" count="15869" uniqueCount="1430">
  <si>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</si>
  <si>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</si>
  <si>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</si>
  <si>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</si>
  <si>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</si>
  <si>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</si>
  <si>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</si>
  <si>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</si>
  <si>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</si>
  <si>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</si>
  <si>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</si>
  <si>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</si>
  <si>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</si>
  <si>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</si>
  <si>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</si>
  <si>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</si>
  <si>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</si>
  <si>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</si>
  <si>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</si>
  <si>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</si>
  <si>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</si>
  <si>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</si>
  <si>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</si>
  <si>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</si>
  <si>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</si>
  <si>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</si>
  <si>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</si>
  <si>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</si>
  <si>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</si>
  <si>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</si>
  <si>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</si>
  <si>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</si>
  <si>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</si>
  <si>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</si>
  <si>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</si>
  <si>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</si>
  <si>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</si>
  <si>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</si>
  <si>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</si>
  <si>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</si>
  <si>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</si>
  <si>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</si>
  <si>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</si>
  <si>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</si>
  <si>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</si>
  <si>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</si>
  <si>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</si>
  <si>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</si>
  <si>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</si>
  <si>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</si>
  <si>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</si>
  <si>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</si>
  <si>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</si>
  <si>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</si>
  <si>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</si>
  <si>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</si>
  <si>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</si>
  <si>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</si>
  <si>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</si>
  <si>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</si>
  <si>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</si>
  <si>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</si>
  <si>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</si>
  <si>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</si>
  <si>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</si>
  <si>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</si>
  <si>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</si>
  <si>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</si>
  <si>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</si>
  <si>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</si>
  <si>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</si>
  <si>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</si>
  <si>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</si>
  <si>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</si>
  <si>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</si>
  <si>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</si>
  <si>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</si>
  <si>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</si>
  <si>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</si>
  <si>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</si>
  <si>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</si>
  <si>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</si>
  <si>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</si>
  <si>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</si>
  <si>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</si>
  <si>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</si>
  <si>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</si>
  <si>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</si>
  <si>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</si>
  <si>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</si>
  <si>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</si>
  <si>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</si>
  <si>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</si>
  <si>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</si>
  <si>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</si>
  <si>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</si>
  <si>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</si>
  <si>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</si>
  <si>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</si>
  <si>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</si>
  <si>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</si>
  <si>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</si>
  <si>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</si>
  <si>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</si>
  <si>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</si>
  <si>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</si>
  <si>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</si>
  <si>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</si>
  <si>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</si>
  <si>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</si>
  <si>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</si>
  <si>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</si>
  <si>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</si>
  <si>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</si>
  <si>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</si>
  <si>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</si>
  <si>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</si>
  <si>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</si>
  <si>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</si>
  <si>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</si>
  <si>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</si>
  <si>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</si>
  <si>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</si>
  <si>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</si>
  <si>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</si>
  <si>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</si>
  <si>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</si>
  <si>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</si>
  <si>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</si>
  <si>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</si>
  <si>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</si>
  <si>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</si>
  <si>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</si>
  <si>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</si>
  <si>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</si>
  <si>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</si>
  <si>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</si>
  <si>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</si>
  <si>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</si>
  <si>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</si>
  <si>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</si>
  <si>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</si>
  <si>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</si>
  <si>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</si>
  <si>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</si>
  <si>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</si>
  <si>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</si>
  <si>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</si>
  <si>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</si>
  <si>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</si>
  <si>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</si>
  <si>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</si>
  <si>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</si>
  <si>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</si>
  <si>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</si>
  <si>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</si>
  <si>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</si>
  <si>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</si>
  <si>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</si>
  <si>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</si>
  <si>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</si>
  <si>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</si>
  <si>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</si>
  <si>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</si>
  <si>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</si>
  <si>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</si>
  <si>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</si>
  <si>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</si>
  <si>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</si>
  <si>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</si>
  <si>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</si>
  <si>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</si>
  <si>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</si>
  <si>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</si>
  <si>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</si>
  <si>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</si>
  <si>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</si>
  <si>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</si>
  <si>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</si>
  <si>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</si>
  <si>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</si>
  <si>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</si>
  <si>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</si>
  <si>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</si>
  <si>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</si>
  <si>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</si>
  <si>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</si>
  <si>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</si>
  <si>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</si>
  <si>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</si>
  <si>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</si>
  <si>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</si>
  <si>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</si>
  <si>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</si>
  <si>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</si>
  <si>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</si>
  <si>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</si>
  <si>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</si>
  <si>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</si>
  <si>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</si>
  <si>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</si>
  <si>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</si>
  <si>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</si>
  <si>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</si>
  <si>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</si>
  <si>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</si>
  <si>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</si>
  <si>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</si>
  <si>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</si>
  <si>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</si>
  <si>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</si>
  <si>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</si>
  <si>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</si>
  <si>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</si>
  <si>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</si>
  <si>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</si>
  <si>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</si>
  <si>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</si>
  <si>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</si>
  <si>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</si>
  <si>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</si>
  <si>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</si>
  <si>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</si>
  <si>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</si>
  <si>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</si>
  <si>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</si>
  <si>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</si>
  <si>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</si>
  <si>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</si>
  <si>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</si>
  <si>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</si>
  <si>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</si>
  <si>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</si>
  <si>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</si>
  <si>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</si>
  <si>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</si>
  <si>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</si>
  <si>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</si>
  <si>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</si>
  <si>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</si>
  <si>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</si>
  <si>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</si>
  <si>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</si>
  <si>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</si>
  <si>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</si>
  <si>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</si>
  <si>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</si>
  <si>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</si>
  <si>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</si>
  <si>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</si>
  <si>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</si>
  <si>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</si>
  <si>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</si>
  <si>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</si>
  <si>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</si>
  <si>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</si>
  <si>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</si>
  <si>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</si>
  <si>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</si>
  <si>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</si>
  <si>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</si>
  <si>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</si>
  <si>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</si>
  <si>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</si>
  <si>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</si>
  <si>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</si>
  <si>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</si>
  <si>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</si>
  <si>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</si>
  <si>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</si>
  <si>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</si>
  <si>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</si>
  <si>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</si>
  <si>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</si>
  <si>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</si>
  <si>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</si>
  <si>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</si>
  <si>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</si>
  <si>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</si>
  <si>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</si>
  <si>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</si>
  <si>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</si>
  <si>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</si>
  <si>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</si>
  <si>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</si>
  <si>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</si>
  <si>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</si>
  <si>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</si>
  <si>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</si>
  <si>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</si>
  <si>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</si>
  <si>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</si>
  <si>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</si>
  <si>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</si>
  <si>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</si>
  <si>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</si>
  <si>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</si>
  <si>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</si>
  <si>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</si>
  <si>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</si>
  <si>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</si>
  <si>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</si>
  <si>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</si>
  <si>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</si>
  <si>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</si>
  <si>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</si>
  <si>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</si>
  <si>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</si>
  <si>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</si>
  <si>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</si>
  <si>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</si>
  <si>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</si>
  <si>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</si>
  <si>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</si>
  <si>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</si>
  <si>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</si>
  <si>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</si>
  <si>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</si>
  <si>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</si>
  <si>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</si>
  <si>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</si>
  <si>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</si>
  <si>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</si>
  <si>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</si>
  <si>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</si>
  <si>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</si>
  <si>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</si>
  <si>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</si>
  <si>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</si>
  <si>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</si>
  <si>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</si>
  <si>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</si>
  <si>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</si>
  <si>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</si>
  <si>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</si>
  <si>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</si>
  <si>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</si>
  <si>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</si>
  <si>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</si>
  <si>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</si>
  <si>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</si>
  <si>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</si>
  <si>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</si>
  <si>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</si>
  <si>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</si>
  <si>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</si>
  <si>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</si>
  <si>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</si>
  <si>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</si>
  <si>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</si>
  <si>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</si>
  <si>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</si>
  <si>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</si>
  <si>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</si>
  <si>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</si>
  <si>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</si>
  <si>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</si>
  <si>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</si>
  <si>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</si>
  <si>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</si>
  <si>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</si>
  <si>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</si>
  <si>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</si>
  <si>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</si>
  <si>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</si>
  <si>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</si>
  <si>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</si>
  <si>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</si>
  <si>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</si>
  <si>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</si>
  <si>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</si>
  <si>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</si>
  <si>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</si>
  <si>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</si>
  <si>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</si>
  <si>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</si>
  <si>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</si>
  <si>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</si>
  <si>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</si>
  <si>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</si>
  <si>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</si>
  <si>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</si>
  <si>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</si>
  <si>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</si>
  <si>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</si>
  <si>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</si>
  <si>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</si>
  <si>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</si>
  <si>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</si>
  <si>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</si>
  <si>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</si>
  <si>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</si>
  <si>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</si>
  <si>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</si>
  <si>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</si>
  <si>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</si>
  <si>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</si>
  <si>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</si>
  <si>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</si>
  <si>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</si>
  <si>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</si>
  <si>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</si>
  <si>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</si>
  <si>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</si>
  <si>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</si>
  <si>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</si>
  <si>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</si>
  <si>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</si>
  <si>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</si>
  <si>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</si>
  <si>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</si>
  <si>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</si>
  <si>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</si>
  <si>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</si>
  <si>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</si>
  <si>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</si>
  <si>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</si>
  <si>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</si>
  <si>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</si>
  <si>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</si>
  <si>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</si>
  <si>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</si>
  <si>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</si>
  <si>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</si>
  <si>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</si>
  <si>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</si>
  <si>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</si>
  <si>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</si>
  <si>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</si>
  <si>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</si>
  <si>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</si>
  <si>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</si>
  <si>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</si>
  <si>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</si>
  <si>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</si>
  <si>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</si>
  <si>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</si>
  <si>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</si>
  <si>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</si>
  <si>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</si>
  <si>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</si>
  <si>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</si>
  <si>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</si>
  <si>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</si>
  <si>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</si>
  <si>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</si>
  <si>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</si>
  <si>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</si>
  <si>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</si>
  <si>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</si>
  <si>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</si>
  <si>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</si>
  <si>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</si>
  <si>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</si>
  <si>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</si>
  <si>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</si>
  <si>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</si>
  <si>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</si>
  <si>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</si>
  <si>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</si>
  <si>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</si>
  <si>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</si>
  <si>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</si>
  <si>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</si>
  <si>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</si>
  <si>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</si>
  <si>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</si>
  <si>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</si>
  <si>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</si>
  <si>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</si>
  <si>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</si>
  <si>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</si>
  <si>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</si>
  <si>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</si>
  <si>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</si>
  <si>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</si>
  <si>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</si>
  <si>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</si>
  <si>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</si>
  <si>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</si>
  <si>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</si>
  <si>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</si>
  <si>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</si>
  <si>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</si>
  <si>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</si>
  <si>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</si>
  <si>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</si>
  <si>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</si>
  <si>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</si>
  <si>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</si>
  <si>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</si>
  <si>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</si>
  <si>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</si>
  <si>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</si>
  <si>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</si>
  <si>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</si>
  <si>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</si>
  <si>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</si>
  <si>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</si>
  <si>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</si>
  <si>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</si>
  <si>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</si>
  <si>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</si>
  <si>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</si>
  <si>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</si>
  <si>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</si>
  <si>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</si>
  <si>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</si>
  <si>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</si>
  <si>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</si>
  <si>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</si>
  <si>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</si>
  <si>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</si>
  <si>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</si>
  <si>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</si>
  <si>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</si>
  <si>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</si>
  <si>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</si>
  <si>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</si>
  <si>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</si>
  <si>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</si>
  <si>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</si>
  <si>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</si>
  <si>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</si>
  <si>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</si>
  <si>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</si>
  <si>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</si>
  <si>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</si>
  <si>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</si>
  <si>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</si>
  <si>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</si>
  <si>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</si>
  <si>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</si>
  <si>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</si>
  <si>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</si>
  <si>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</si>
  <si>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</si>
  <si>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</si>
  <si>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</si>
  <si>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</si>
  <si>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</si>
  <si>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</si>
  <si>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</si>
  <si>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</si>
  <si>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</si>
  <si>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</si>
  <si>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</si>
  <si>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</si>
  <si>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</si>
  <si>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</si>
  <si>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</si>
  <si>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</si>
  <si>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</si>
  <si>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</si>
  <si>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</si>
  <si>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</si>
  <si>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</si>
  <si>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</si>
  <si>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</si>
  <si>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</si>
  <si>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</si>
  <si>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</si>
  <si>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</si>
  <si>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</si>
  <si>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</si>
  <si>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</si>
  <si>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</si>
  <si>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</si>
  <si>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</si>
  <si>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</si>
  <si>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</si>
  <si>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</si>
  <si>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</si>
  <si>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</si>
  <si>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</si>
  <si>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</si>
  <si>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</si>
  <si>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</si>
  <si>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</si>
  <si>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</si>
  <si>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</si>
  <si>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</si>
  <si>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</si>
  <si>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</si>
  <si>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</si>
  <si>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</si>
  <si>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</si>
  <si>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</si>
  <si>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</si>
  <si>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</si>
  <si>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</si>
  <si>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</si>
  <si>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</si>
  <si>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</si>
  <si>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</si>
  <si>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</si>
  <si>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</si>
  <si>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</si>
  <si>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</si>
  <si>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</si>
  <si>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</si>
  <si>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</si>
  <si>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</si>
  <si>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</si>
  <si>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</si>
  <si>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</si>
  <si>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</si>
  <si>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</si>
  <si>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</si>
  <si>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</si>
  <si>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</si>
  <si>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</si>
  <si>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</si>
  <si>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</si>
  <si>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</si>
  <si>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</si>
  <si>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</si>
  <si>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</si>
  <si>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</si>
  <si>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</si>
  <si>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</si>
  <si>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</si>
  <si>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</si>
  <si>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</si>
  <si>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</si>
  <si>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</si>
  <si>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</si>
  <si>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</si>
  <si>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</si>
  <si>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</si>
  <si>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</si>
  <si>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</si>
  <si>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</si>
  <si>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</si>
  <si>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</si>
  <si>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</si>
  <si>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</si>
  <si>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</si>
  <si>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</si>
  <si>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</si>
  <si>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</si>
  <si>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</si>
  <si>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</si>
  <si>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</si>
  <si>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</si>
  <si>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</si>
  <si>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</si>
  <si>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</si>
  <si>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</si>
  <si>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</si>
  <si>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</si>
  <si>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</si>
  <si>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</si>
  <si>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</si>
  <si>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</si>
  <si>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</si>
  <si>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</si>
  <si>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</si>
  <si>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</si>
  <si>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</si>
  <si>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</si>
  <si>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</si>
  <si>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</si>
  <si>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</si>
  <si>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</si>
  <si>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</si>
  <si>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</si>
  <si>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</si>
  <si>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</si>
  <si>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</si>
  <si>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</si>
  <si>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</si>
  <si>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</si>
  <si>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</si>
  <si>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</si>
  <si>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</si>
  <si>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</si>
  <si>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</si>
  <si>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</si>
  <si>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</si>
  <si>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</si>
  <si>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</si>
  <si>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</si>
  <si>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</si>
  <si>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</si>
  <si>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</si>
  <si>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</si>
  <si>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</si>
  <si>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</si>
  <si>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</si>
  <si>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</si>
  <si>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</si>
  <si>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</si>
  <si>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</si>
  <si>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</si>
  <si>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</si>
  <si>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</si>
  <si>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</si>
  <si>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</si>
  <si>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</si>
  <si>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</si>
  <si>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</si>
  <si>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</si>
  <si>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</si>
  <si>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</si>
  <si>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</si>
  <si>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</si>
  <si>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</si>
  <si>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</si>
  <si>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</si>
  <si>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</si>
  <si>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</si>
  <si>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</si>
  <si>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</si>
  <si>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</si>
  <si>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</si>
  <si>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</si>
  <si>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</si>
  <si>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</si>
  <si>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</si>
  <si>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</si>
  <si>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</si>
  <si>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</si>
  <si>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</si>
  <si>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</si>
  <si>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</si>
  <si>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</si>
  <si>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</si>
  <si>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</si>
  <si>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</si>
  <si>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</si>
  <si>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</si>
  <si>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</si>
  <si>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</si>
  <si>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</si>
  <si>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</si>
  <si>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</si>
  <si>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</si>
  <si>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</si>
  <si>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</si>
  <si>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</si>
  <si>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</si>
  <si>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</si>
  <si>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</si>
  <si>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</si>
  <si>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</si>
  <si>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</si>
  <si>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</si>
  <si>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</si>
  <si>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</si>
  <si>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</si>
  <si>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</si>
  <si>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</si>
  <si>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</si>
  <si>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</si>
  <si>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</si>
  <si>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</si>
  <si>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</si>
  <si>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</si>
  <si>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</si>
  <si>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</si>
  <si>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</si>
  <si>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</si>
  <si>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</si>
  <si>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</si>
  <si>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</si>
  <si>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</si>
  <si>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</si>
  <si>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</si>
  <si>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</si>
  <si>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</si>
  <si>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</si>
  <si>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</si>
  <si>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</si>
  <si>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</si>
  <si>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</si>
  <si>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</si>
  <si>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</si>
  <si>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</si>
  <si>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</si>
  <si>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</si>
  <si>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</si>
  <si>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</si>
  <si>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</si>
  <si>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</si>
  <si>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</si>
  <si>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</si>
  <si>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</si>
  <si>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</si>
  <si>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</si>
  <si>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</si>
  <si>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</si>
  <si>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</si>
  <si>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</si>
  <si>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</si>
  <si>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</si>
  <si>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</si>
  <si>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</si>
  <si>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</si>
  <si>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</si>
  <si>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</si>
  <si>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</si>
  <si>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</si>
  <si>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</si>
  <si>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</si>
  <si>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</si>
  <si>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</si>
  <si>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</si>
  <si>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</si>
  <si>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</si>
  <si>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</si>
  <si>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</si>
  <si>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</si>
  <si>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</si>
  <si>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</si>
  <si>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</si>
  <si>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</si>
  <si>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</si>
  <si>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</si>
  <si>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</si>
  <si>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</si>
  <si>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</si>
  <si>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</si>
  <si>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</si>
  <si>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</si>
  <si>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</si>
  <si>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</si>
  <si>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</si>
  <si>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</si>
  <si>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</si>
  <si>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</si>
  <si>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</si>
  <si>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</si>
  <si>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</si>
  <si>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</si>
  <si>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</si>
  <si>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</si>
  <si>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</si>
  <si>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</si>
  <si>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</si>
  <si>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</si>
  <si>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</si>
  <si>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</si>
  <si>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</si>
  <si>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</si>
  <si>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</si>
  <si>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</si>
  <si>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</si>
  <si>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</si>
  <si>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</si>
  <si>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</si>
  <si>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</si>
  <si>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</si>
  <si>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</si>
  <si>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</si>
  <si>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</si>
  <si>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</si>
  <si>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</si>
  <si>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</si>
  <si>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</si>
  <si>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</si>
  <si>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</si>
  <si>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</si>
  <si>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</si>
  <si>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</si>
  <si>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</si>
  <si>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</si>
  <si>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</si>
  <si>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</si>
  <si>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</si>
  <si>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</si>
  <si>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</si>
  <si>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</si>
  <si>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</si>
  <si>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</si>
  <si>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</si>
  <si>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</si>
  <si>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</si>
  <si>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</si>
  <si>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</si>
  <si>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</si>
  <si>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</si>
  <si>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</si>
  <si>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</si>
  <si>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</si>
  <si>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</si>
  <si>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</si>
  <si>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</si>
  <si>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</si>
  <si>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</si>
  <si>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</si>
  <si>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</si>
  <si>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</si>
  <si>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</si>
  <si>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</si>
  <si>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</si>
  <si>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</si>
  <si>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</si>
  <si>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</si>
  <si>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</si>
  <si>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</si>
  <si>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</si>
  <si>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</si>
  <si>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</si>
  <si>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</si>
  <si>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</si>
  <si>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</si>
  <si>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</si>
  <si>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</si>
  <si>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</si>
  <si>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</si>
  <si>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</si>
  <si>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</si>
  <si>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</si>
  <si>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</si>
  <si>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</si>
  <si>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</si>
  <si>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</si>
  <si>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</si>
  <si>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</si>
  <si>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</si>
  <si>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</si>
  <si>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</si>
  <si>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</si>
  <si>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</si>
  <si>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</si>
  <si>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</si>
  <si>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</si>
  <si>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</si>
  <si>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</si>
  <si>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</si>
  <si>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</si>
  <si>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</si>
  <si>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</si>
  <si>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</si>
  <si>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</si>
  <si>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</si>
  <si>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</si>
  <si>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</si>
  <si>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</si>
  <si>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</si>
  <si>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</si>
  <si>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</si>
  <si>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</si>
  <si>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</si>
  <si>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</si>
  <si>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</si>
  <si>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</si>
  <si>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</si>
  <si>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</si>
  <si>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</si>
  <si>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</si>
  <si>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</si>
  <si>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</si>
  <si>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</si>
  <si>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</si>
  <si>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</si>
  <si>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</si>
  <si>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</si>
  <si>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</si>
  <si>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</si>
  <si>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</si>
  <si>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</si>
  <si>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</si>
  <si>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</si>
  <si>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</si>
  <si>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</si>
  <si>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</si>
  <si>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</si>
  <si>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</si>
  <si>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</si>
  <si>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</si>
  <si>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</si>
  <si>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</si>
  <si>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</si>
  <si>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</si>
  <si>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</si>
  <si>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</si>
  <si>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</si>
  <si>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</si>
  <si>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</si>
  <si>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</si>
  <si>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</si>
  <si>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</si>
  <si>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</si>
  <si>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</si>
  <si>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</si>
  <si>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</si>
  <si>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</si>
  <si>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</si>
  <si>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</si>
  <si>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</si>
  <si>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</si>
  <si>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</si>
  <si>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</si>
  <si>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</si>
  <si>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</si>
  <si>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</si>
  <si>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</si>
  <si>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</si>
  <si>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</si>
  <si>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</si>
  <si>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</si>
  <si>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</si>
  <si>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</si>
  <si>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</si>
  <si>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</si>
  <si>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</si>
  <si>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</si>
  <si>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</si>
  <si>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</si>
  <si>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</si>
  <si>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</si>
  <si>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</si>
  <si>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</si>
  <si>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</si>
  <si>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</si>
  <si>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</si>
  <si>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</si>
  <si>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</si>
  <si>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</si>
  <si>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</si>
  <si>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</si>
  <si>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</si>
  <si>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</si>
  <si>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</si>
  <si>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</si>
  <si>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</si>
  <si>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</si>
  <si>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</si>
  <si>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</si>
  <si>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</si>
  <si>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</si>
  <si>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</si>
  <si>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</si>
  <si>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</si>
  <si>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</si>
  <si>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</si>
  <si>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</si>
  <si>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</si>
  <si>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</si>
  <si>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</si>
  <si>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</si>
  <si>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</si>
  <si>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</si>
  <si>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</si>
  <si>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</si>
  <si>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</si>
  <si>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</si>
  <si>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</si>
  <si>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</si>
  <si>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</si>
  <si>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</si>
  <si>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</si>
  <si>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</si>
  <si>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</si>
  <si>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</si>
  <si>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</si>
  <si>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</si>
  <si>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</si>
  <si>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</si>
  <si>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</si>
  <si>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</si>
  <si>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</si>
  <si>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</si>
  <si>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</si>
  <si>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</si>
  <si>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</si>
  <si>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</si>
  <si>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</si>
  <si>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</si>
  <si>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</si>
  <si>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</si>
  <si>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</si>
  <si>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</si>
  <si>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</si>
  <si>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</si>
  <si>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</si>
  <si>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</si>
  <si>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</si>
  <si>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</si>
  <si>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</si>
  <si>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</si>
  <si>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</si>
  <si>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</si>
  <si>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</si>
  <si>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</si>
  <si>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</si>
  <si>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</si>
  <si>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</si>
  <si>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</si>
  <si>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</si>
  <si>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</si>
  <si>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</si>
  <si>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</si>
  <si>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</si>
  <si>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</si>
  <si>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</si>
  <si>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</si>
  <si>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</si>
  <si>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</si>
  <si>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</si>
  <si>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</si>
  <si>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</si>
  <si>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</si>
  <si>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</si>
  <si>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</si>
  <si>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</si>
  <si>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</si>
  <si>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</si>
  <si>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</si>
  <si>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</si>
  <si>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</si>
  <si>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</si>
  <si>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</si>
  <si>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</si>
  <si>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</si>
  <si>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</si>
  <si>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</si>
  <si>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</si>
  <si>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</si>
  <si>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</si>
  <si>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</si>
  <si>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</si>
  <si>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</si>
  <si>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</si>
  <si>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</si>
  <si>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</si>
  <si>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</si>
  <si>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</si>
  <si>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</si>
  <si>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</si>
  <si>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</si>
  <si>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</si>
  <si>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</si>
  <si>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</si>
  <si>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</si>
  <si>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</si>
  <si>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</si>
  <si>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</si>
  <si>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</si>
  <si>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</si>
  <si>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</si>
  <si>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</si>
  <si>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</si>
  <si>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</si>
  <si>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</si>
  <si>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</si>
  <si>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</si>
  <si>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</si>
  <si>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</si>
  <si>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</si>
  <si>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</si>
  <si>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</si>
  <si>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</si>
  <si>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</si>
  <si>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</si>
  <si>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</si>
  <si>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</si>
  <si>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</si>
  <si>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</si>
  <si>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</si>
  <si>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</si>
  <si>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</si>
  <si>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</si>
  <si>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</si>
  <si>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</si>
  <si>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</si>
  <si>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</si>
  <si>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</si>
  <si>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</si>
  <si>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</si>
  <si>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</si>
  <si>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</si>
  <si>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</si>
  <si>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</si>
  <si>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</si>
  <si>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</si>
  <si>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</si>
  <si>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</si>
  <si>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</si>
  <si>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</si>
  <si>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</si>
  <si>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</si>
  <si>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</si>
  <si>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</si>
  <si>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</si>
  <si>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</si>
  <si>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</si>
  <si>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</si>
  <si>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</si>
  <si>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</si>
  <si>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</si>
  <si>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</si>
  <si>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</si>
  <si>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</si>
  <si>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</si>
  <si>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</si>
  <si>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</si>
  <si>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</si>
  <si>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</si>
  <si>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</si>
  <si>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</si>
  <si>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</si>
  <si>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</si>
  <si>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</si>
  <si>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</si>
  <si>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</si>
  <si>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</si>
  <si>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</si>
  <si>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</si>
  <si>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</si>
  <si>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</si>
  <si>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</si>
  <si>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</si>
  <si>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</si>
  <si>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</si>
  <si>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</si>
  <si>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</si>
  <si>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</si>
  <si>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</si>
  <si>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</si>
  <si>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</si>
  <si>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</si>
  <si>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</si>
  <si>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</si>
  <si>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</si>
  <si>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</si>
  <si>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</si>
  <si>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</si>
  <si>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</si>
  <si>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</si>
  <si>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</si>
  <si>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</si>
  <si>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</si>
  <si>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</si>
  <si>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</si>
  <si>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</si>
  <si>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</si>
  <si>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</si>
  <si>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</si>
  <si>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</si>
  <si>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</si>
  <si>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</si>
  <si>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</si>
  <si>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</si>
  <si>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</si>
  <si>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</si>
  <si>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</si>
  <si>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</si>
  <si>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</si>
  <si>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</si>
  <si>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</si>
  <si>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</si>
  <si>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</si>
  <si>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</si>
  <si>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</si>
  <si>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</si>
  <si>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</si>
  <si>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</si>
  <si>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</si>
  <si>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</si>
  <si>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</si>
  <si>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</si>
  <si>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</si>
  <si>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</si>
  <si>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</si>
  <si>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</si>
  <si>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</si>
  <si>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</si>
  <si>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</si>
  <si>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</si>
  <si>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</si>
  <si>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</si>
  <si>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</si>
  <si>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</si>
  <si>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</si>
  <si>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</si>
  <si>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</si>
  <si>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</si>
  <si>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</si>
  <si>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</si>
  <si>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</si>
  <si>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</si>
  <si>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</si>
  <si>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</si>
  <si>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</si>
  <si>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</si>
  <si>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</si>
  <si>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</si>
  <si>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</si>
  <si>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</si>
  <si>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</si>
  <si>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</si>
  <si>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</si>
  <si>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</si>
  <si>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</si>
  <si>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</si>
  <si>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</si>
  <si>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</si>
  <si>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</si>
  <si>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</si>
  <si>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</si>
  <si>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</si>
  <si>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</si>
  <si>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</si>
  <si>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</si>
  <si>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</si>
  <si>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</si>
  <si>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</si>
  <si>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</si>
  <si>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</si>
  <si>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</si>
  <si>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</si>
  <si>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</si>
  <si>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</si>
  <si>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</si>
  <si>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</si>
  <si>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</si>
  <si>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</si>
  <si>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</si>
  <si>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</si>
  <si>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</si>
  <si>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</si>
  <si>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</si>
  <si>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</si>
  <si>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</si>
  <si>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</si>
  <si>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</si>
  <si>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</si>
  <si>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</si>
  <si>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</si>
  <si>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</si>
  <si>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</si>
  <si>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</si>
  <si>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</si>
  <si>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</si>
  <si>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</si>
  <si>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</si>
  <si>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</si>
  <si>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</si>
  <si>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</si>
  <si>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</si>
  <si>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</si>
  <si>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</si>
  <si>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</si>
  <si>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</si>
  <si>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</si>
  <si>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</si>
  <si>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</si>
  <si>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</si>
  <si>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</si>
  <si>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</si>
  <si>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</si>
  <si>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</si>
  <si>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</si>
  <si>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</si>
  <si>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</si>
  <si>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</si>
  <si>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</si>
  <si>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</si>
  <si>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</si>
  <si>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</si>
  <si>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</si>
  <si>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</si>
  <si>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</si>
  <si>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</si>
  <si>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</si>
  <si>
    <t>Travel Calcs</t>
  </si>
  <si>
    <t>Job (in Days)</t>
  </si>
  <si>
    <t>Number of Guys</t>
  </si>
  <si>
    <t>Job Time</t>
  </si>
  <si>
    <t>Travel Cost (per Hour)</t>
  </si>
  <si>
    <t>Accomodation Required?</t>
  </si>
  <si>
    <t>Travel Allowance?</t>
  </si>
  <si>
    <t>LAHA?</t>
  </si>
  <si>
    <t>Accomodation Cost</t>
  </si>
  <si>
    <t>Days Away</t>
  </si>
  <si>
    <t>Accom Cost</t>
  </si>
  <si>
    <t>LAHA Cost</t>
  </si>
  <si>
    <t>&lt;------------</t>
  </si>
  <si>
    <t>Cable Time</t>
  </si>
  <si>
    <t>Cable Cost</t>
  </si>
  <si>
    <t>Cable hr/m</t>
  </si>
  <si>
    <t>Cable Cost/m</t>
  </si>
  <si>
    <t>Cable/m</t>
  </si>
  <si>
    <t>Cable ($)</t>
  </si>
  <si>
    <t>Cable (t)</t>
  </si>
  <si>
    <t>Cable
(t/m)</t>
  </si>
  <si>
    <t>Contactor</t>
  </si>
  <si>
    <t>mssb 2</t>
  </si>
  <si>
    <t>mssb 3</t>
  </si>
  <si>
    <t>Overloads</t>
  </si>
  <si>
    <t>Template Version</t>
  </si>
  <si>
    <t>Unit</t>
  </si>
  <si>
    <t>t [U]</t>
  </si>
  <si>
    <t>$ [U]</t>
  </si>
  <si>
    <t>Cost [$]</t>
  </si>
  <si>
    <t xml:space="preserve">Constant Labour Costs </t>
  </si>
  <si>
    <t>Name</t>
  </si>
  <si>
    <t>Value</t>
  </si>
  <si>
    <t>Local_With_Isolator</t>
  </si>
  <si>
    <t>Local_WithOUT_Isolator</t>
  </si>
  <si>
    <t>C - 2.5mm Twin and Earth</t>
  </si>
  <si>
    <t>C - Switchboard Cable 1mm</t>
  </si>
  <si>
    <t>C - 7030 2 pair TCAS7302P</t>
  </si>
  <si>
    <t>C - 4mm Cable 3 core and Earth</t>
  </si>
  <si>
    <t>C - 6mm Cable 3 core and Earth</t>
  </si>
  <si>
    <t>C - Network cable</t>
  </si>
  <si>
    <t>C - FRC3025+E</t>
  </si>
  <si>
    <t>Run-On Timer</t>
  </si>
  <si>
    <t>KEF [Facet]</t>
  </si>
  <si>
    <t>Run &amp; Fault LEDs [Facet]</t>
  </si>
  <si>
    <t>VSD [Facet]</t>
  </si>
  <si>
    <t>Run Status Light [Facet]</t>
  </si>
  <si>
    <t>Local Switch [Facet]</t>
  </si>
  <si>
    <t>Time Clock [Facet]</t>
  </si>
  <si>
    <t>Run-On Timer [Facet]</t>
  </si>
  <si>
    <t>Mechanical Thermostat [Facet]</t>
  </si>
  <si>
    <t>Reed Switch [Facet]</t>
  </si>
  <si>
    <t>Please don't touch these without updating the template, please</t>
  </si>
  <si>
    <t>TOTALS</t>
  </si>
  <si>
    <t>Ingredients</t>
  </si>
  <si>
    <t>Recipe</t>
  </si>
  <si>
    <t>Sum</t>
  </si>
  <si>
    <t>Fan Count</t>
  </si>
  <si>
    <t>Back end calcs, don't touch</t>
  </si>
  <si>
    <t>KEEP</t>
  </si>
  <si>
    <t>[Unit Name]</t>
  </si>
  <si>
    <t>High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</si>
</sst>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 numFmtId="175" formatCode="#\ &quot;Guys&quot;"/>
    <numFmt numFmtId="176" formatCode="####.0\ &quot;Days&quot;"/>
    <numFmt numFmtId="177" formatCode="&quot;$&quot;####.00&quot;/Day&quot;"/>
    <numFmt numFmtId="178" formatCode="&quot;Rev &quot;0.00"/>
    <numFmt numFmtId="180" formatCode="_-* #,##0.00_-;\-* #,##0.00_-;_-* &quot;-&quot;_-;_-@_-"/>
  </numFmts>
  <fonts count="46"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5">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
      <patternFill patternType="solid">
        <fgColor theme="5"/>
      </patternFill>
    </fill>
    <fill>
      <patternFill patternType="solid">
        <fgColor theme="8" tint="0.79998168889431442"/>
        <bgColor indexed="65"/>
      </patternFill>
    </fill>
  </fills>
  <borders count="79">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rgb="FF3F3F3F"/>
      </left>
      <right/>
      <top style="thin">
        <color rgb="FF3F3F3F"/>
      </top>
      <bottom/>
      <diagonal/>
    </border>
    <border>
      <left/>
      <right/>
      <top style="thin">
        <color rgb="FF3F3F3F"/>
      </top>
      <bottom/>
      <diagonal/>
    </border>
    <border>
      <left/>
      <right style="thin">
        <color rgb="FF3F3F3F"/>
      </right>
      <top style="thin">
        <color rgb="FF3F3F3F"/>
      </top>
      <bottom/>
      <diagonal/>
    </border>
    <border>
      <left style="thin">
        <color rgb="FF3F3F3F"/>
      </left>
      <right/>
      <top/>
      <bottom style="thin">
        <color rgb="FF3F3F3F"/>
      </bottom>
      <diagonal/>
    </border>
    <border>
      <left/>
      <right/>
      <top/>
      <bottom style="thin">
        <color rgb="FF3F3F3F"/>
      </bottom>
      <diagonal/>
    </border>
    <border>
      <left/>
      <right style="thin">
        <color rgb="FF3F3F3F"/>
      </right>
      <top/>
      <bottom style="thin">
        <color rgb="FF3F3F3F"/>
      </bottom>
      <diagonal/>
    </border>
    <border>
      <left style="thin">
        <color rgb="FF3F3F3F"/>
      </left>
      <right/>
      <top/>
      <bottom/>
      <diagonal/>
    </border>
    <border>
      <left/>
      <right style="thin">
        <color rgb="FF3F3F3F"/>
      </right>
      <top/>
      <bottom/>
      <diagonal/>
    </border>
    <border>
      <left/>
      <right style="thin">
        <color rgb="FF7F7F7F"/>
      </right>
      <top style="thin">
        <color rgb="FF7F7F7F"/>
      </top>
      <bottom style="thin">
        <color rgb="FF7F7F7F"/>
      </bottom>
      <diagonal/>
    </border>
  </borders>
  <cellStyleXfs count="21">
    <xf numFmtId="0" fontId="0" fillId="0" borderId="0"/>
    <xf numFmtId="42" fontId="27" fillId="0" borderId="0" applyFont="0" applyFill="0" applyBorder="0" applyAlignment="0" applyProtection="0"/>
    <xf numFmtId="0" fontId="28" fillId="25" borderId="21" applyNumberFormat="0" applyAlignment="0" applyProtection="0"/>
    <xf numFmtId="9" fontId="27" fillId="0" borderId="0" applyFont="0" applyFill="0" applyBorder="0" applyAlignment="0" applyProtection="0"/>
    <xf numFmtId="44" fontId="27" fillId="0" borderId="0" applyFont="0" applyFill="0" applyBorder="0" applyAlignment="0" applyProtection="0"/>
    <xf numFmtId="0" fontId="30" fillId="26" borderId="0" applyNumberFormat="0" applyBorder="0" applyAlignment="0" applyProtection="0"/>
    <xf numFmtId="0" fontId="31" fillId="27" borderId="21" applyNumberFormat="0" applyAlignment="0" applyProtection="0"/>
    <xf numFmtId="0" fontId="32" fillId="25" borderId="22" applyNumberFormat="0" applyAlignment="0" applyProtection="0"/>
    <xf numFmtId="43" fontId="27" fillId="0" borderId="0" applyFont="0" applyFill="0" applyBorder="0" applyAlignment="0" applyProtection="0"/>
    <xf numFmtId="0" fontId="35" fillId="32" borderId="0" applyNumberFormat="0" applyBorder="0" applyAlignment="0" applyProtection="0"/>
    <xf numFmtId="0" fontId="36" fillId="0" borderId="0" applyNumberFormat="0" applyFill="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7" fillId="38" borderId="44" applyNumberFormat="0" applyFont="0" applyAlignment="0" applyProtection="0"/>
    <xf numFmtId="0" fontId="3" fillId="39" borderId="0" applyNumberFormat="0" applyBorder="0" applyAlignment="0" applyProtection="0"/>
    <xf numFmtId="0" fontId="39" fillId="40" borderId="0" applyNumberFormat="0" applyBorder="0" applyAlignment="0" applyProtection="0"/>
    <xf numFmtId="0" fontId="2" fillId="41" borderId="0" applyNumberFormat="0" applyBorder="0" applyAlignment="0" applyProtection="0"/>
    <xf numFmtId="0" fontId="41" fillId="0" borderId="57" applyNumberFormat="0" applyFill="0" applyAlignment="0" applyProtection="0"/>
    <xf numFmtId="41" fontId="27" fillId="0" borderId="0" applyFont="0" applyFill="0" applyBorder="0" applyAlignment="0" applyProtection="0"/>
    <xf numFmtId="0" fontId="30" fillId="43" borderId="0" applyNumberFormat="0" applyBorder="0" applyAlignment="0" applyProtection="0"/>
  </cellStyleXfs>
  <cellXfs count="595">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10" fillId="4" borderId="2" xfId="0" applyFont="1" applyFill="1" applyBorder="1" applyAlignment="1">
      <alignment vertical="center" wrapText="1"/>
    </xf>
    <xf numFmtId="0" fontId="11" fillId="4" borderId="2" xfId="0" applyFont="1" applyFill="1" applyBorder="1" applyAlignment="1">
      <alignment vertical="center" wrapText="1"/>
    </xf>
    <xf numFmtId="0" fontId="10" fillId="4" borderId="3" xfId="0" applyFont="1" applyFill="1" applyBorder="1" applyAlignment="1">
      <alignment vertical="center" wrapText="1"/>
    </xf>
    <xf numFmtId="0" fontId="11" fillId="4" borderId="3" xfId="0" applyFont="1" applyFill="1" applyBorder="1" applyAlignment="1">
      <alignment vertical="center" wrapText="1"/>
    </xf>
    <xf numFmtId="0" fontId="0" fillId="5" borderId="0" xfId="0" applyFill="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8" fillId="6" borderId="1" xfId="0" applyFont="1" applyFill="1" applyBorder="1" applyAlignment="1">
      <alignment wrapText="1"/>
    </xf>
    <xf numFmtId="0" fontId="0" fillId="11" borderId="1" xfId="0" applyFill="1" applyBorder="1"/>
    <xf numFmtId="0" fontId="12" fillId="7" borderId="0" xfId="0" applyFont="1" applyFill="1" applyAlignment="1">
      <alignment wrapText="1"/>
    </xf>
    <xf numFmtId="0" fontId="12" fillId="7" borderId="0" xfId="0" applyFont="1" applyFill="1" applyAlignment="1">
      <alignment vertical="top" wrapText="1"/>
    </xf>
    <xf numFmtId="44" fontId="0" fillId="8" borderId="0" xfId="0" applyNumberFormat="1" applyFill="1" applyBorder="1"/>
    <xf numFmtId="0" fontId="0" fillId="0" borderId="0" xfId="0"/>
    <xf numFmtId="0" fontId="6" fillId="0" borderId="0" xfId="0" applyFont="1"/>
    <xf numFmtId="0" fontId="9" fillId="0" borderId="0" xfId="0" applyFont="1"/>
    <xf numFmtId="0" fontId="7" fillId="0" borderId="0" xfId="0" applyFont="1"/>
    <xf numFmtId="164" fontId="0" fillId="0" borderId="0" xfId="0" applyNumberFormat="1"/>
    <xf numFmtId="0" fontId="9" fillId="0" borderId="1" xfId="0" applyFont="1" applyBorder="1"/>
    <xf numFmtId="0" fontId="0" fillId="0" borderId="1" xfId="0" applyBorder="1"/>
    <xf numFmtId="0" fontId="0" fillId="9" borderId="0" xfId="0" applyFill="1"/>
    <xf numFmtId="0" fontId="6" fillId="9" borderId="0" xfId="0" applyFont="1" applyFill="1"/>
    <xf numFmtId="164" fontId="6"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3" fillId="9" borderId="0" xfId="0" applyFont="1" applyFill="1"/>
    <xf numFmtId="0" fontId="14" fillId="9" borderId="0" xfId="0" applyFont="1" applyFill="1"/>
    <xf numFmtId="164" fontId="14"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9"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5"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0" fillId="19" borderId="0" xfId="0" applyFill="1" applyBorder="1"/>
    <xf numFmtId="0" fontId="16" fillId="19" borderId="0" xfId="0" applyFont="1" applyFill="1" applyBorder="1"/>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9"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9"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8"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9"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5"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9" fillId="21" borderId="1" xfId="0" applyFont="1" applyFill="1" applyBorder="1" applyAlignment="1">
      <alignment wrapText="1"/>
    </xf>
    <xf numFmtId="164" fontId="15" fillId="0" borderId="6" xfId="0" applyNumberFormat="1" applyFont="1" applyBorder="1"/>
    <xf numFmtId="44" fontId="0" fillId="13" borderId="4" xfId="0" applyNumberFormat="1" applyFill="1" applyBorder="1"/>
    <xf numFmtId="0" fontId="9"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9" fillId="19" borderId="14" xfId="0" applyNumberFormat="1" applyFont="1" applyFill="1" applyBorder="1"/>
    <xf numFmtId="44" fontId="19"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20" fillId="17" borderId="0" xfId="0" applyFont="1" applyFill="1"/>
    <xf numFmtId="0" fontId="21" fillId="13" borderId="0" xfId="0" applyFont="1" applyFill="1"/>
    <xf numFmtId="44" fontId="21" fillId="13" borderId="11" xfId="0" applyNumberFormat="1" applyFont="1" applyFill="1" applyBorder="1"/>
    <xf numFmtId="44" fontId="21" fillId="13" borderId="13" xfId="0" applyNumberFormat="1" applyFont="1" applyFill="1" applyBorder="1"/>
    <xf numFmtId="0" fontId="21" fillId="13" borderId="9" xfId="0" applyFont="1" applyFill="1" applyBorder="1"/>
    <xf numFmtId="0" fontId="21" fillId="13" borderId="15" xfId="0" applyFont="1" applyFill="1" applyBorder="1"/>
    <xf numFmtId="0" fontId="21" fillId="13" borderId="11" xfId="0" applyFont="1" applyFill="1" applyBorder="1"/>
    <xf numFmtId="0" fontId="21" fillId="13" borderId="1" xfId="0" applyFont="1" applyFill="1" applyBorder="1"/>
    <xf numFmtId="0" fontId="20" fillId="0" borderId="0" xfId="0" applyFont="1"/>
    <xf numFmtId="0" fontId="22" fillId="0" borderId="1" xfId="0" applyFont="1" applyBorder="1"/>
    <xf numFmtId="164" fontId="22" fillId="0" borderId="1" xfId="0" applyNumberFormat="1" applyFont="1" applyBorder="1"/>
    <xf numFmtId="0" fontId="22" fillId="3" borderId="0" xfId="0" applyFont="1" applyFill="1" applyAlignment="1">
      <alignment wrapText="1"/>
    </xf>
    <xf numFmtId="0" fontId="20" fillId="8" borderId="0" xfId="0" applyFont="1" applyFill="1"/>
    <xf numFmtId="0" fontId="20" fillId="0" borderId="0" xfId="0" applyFont="1" applyAlignment="1">
      <alignment wrapText="1"/>
    </xf>
    <xf numFmtId="0" fontId="20" fillId="21" borderId="0" xfId="0" applyFont="1" applyFill="1"/>
    <xf numFmtId="0" fontId="20" fillId="12" borderId="0" xfId="0" applyFont="1" applyFill="1"/>
    <xf numFmtId="0" fontId="20" fillId="2" borderId="0" xfId="0" applyFont="1" applyFill="1"/>
    <xf numFmtId="0" fontId="20" fillId="0" borderId="1" xfId="0" applyFont="1" applyBorder="1" applyAlignment="1">
      <alignment wrapText="1"/>
    </xf>
    <xf numFmtId="0" fontId="22" fillId="3" borderId="1" xfId="0" applyFont="1" applyFill="1" applyBorder="1" applyAlignment="1">
      <alignment wrapText="1"/>
    </xf>
    <xf numFmtId="0" fontId="20" fillId="0" borderId="1" xfId="0" applyFont="1" applyBorder="1"/>
    <xf numFmtId="0" fontId="20" fillId="8" borderId="1" xfId="0" applyFont="1" applyFill="1" applyBorder="1"/>
    <xf numFmtId="0" fontId="23" fillId="0" borderId="1" xfId="0" applyFont="1" applyBorder="1"/>
    <xf numFmtId="0" fontId="17" fillId="3" borderId="1" xfId="0" applyFont="1" applyFill="1" applyBorder="1" applyAlignment="1">
      <alignment wrapText="1"/>
    </xf>
    <xf numFmtId="0" fontId="23" fillId="8" borderId="1" xfId="0" applyFont="1" applyFill="1" applyBorder="1"/>
    <xf numFmtId="0" fontId="23" fillId="0" borderId="0" xfId="0" applyFont="1"/>
    <xf numFmtId="0" fontId="17" fillId="0" borderId="1" xfId="0" applyFont="1" applyBorder="1"/>
    <xf numFmtId="10" fontId="17" fillId="0" borderId="1" xfId="0" applyNumberFormat="1" applyFont="1" applyBorder="1"/>
    <xf numFmtId="0" fontId="17" fillId="3" borderId="0" xfId="0" applyFont="1" applyFill="1" applyAlignment="1">
      <alignment wrapText="1"/>
    </xf>
    <xf numFmtId="0" fontId="23" fillId="8" borderId="0" xfId="0" applyFont="1" applyFill="1"/>
    <xf numFmtId="164" fontId="15" fillId="0" borderId="0" xfId="0" applyNumberFormat="1" applyFont="1"/>
    <xf numFmtId="44" fontId="22"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20" fillId="13" borderId="1" xfId="0" applyFont="1" applyFill="1" applyBorder="1"/>
    <xf numFmtId="0" fontId="20" fillId="13" borderId="1" xfId="0" applyFont="1" applyFill="1" applyBorder="1" applyAlignment="1">
      <alignment wrapText="1"/>
    </xf>
    <xf numFmtId="44" fontId="20" fillId="13" borderId="1" xfId="0" applyNumberFormat="1" applyFont="1" applyFill="1" applyBorder="1"/>
    <xf numFmtId="164" fontId="15" fillId="13" borderId="1" xfId="0" applyNumberFormat="1" applyFont="1" applyFill="1" applyBorder="1"/>
    <xf numFmtId="0" fontId="20" fillId="0" borderId="8" xfId="0" applyFont="1" applyBorder="1" applyAlignment="1">
      <alignment wrapText="1"/>
    </xf>
    <xf numFmtId="0" fontId="0" fillId="0" borderId="5" xfId="0" applyBorder="1"/>
    <xf numFmtId="0" fontId="17" fillId="3" borderId="5" xfId="0" applyFont="1" applyFill="1" applyBorder="1" applyAlignment="1">
      <alignment wrapText="1"/>
    </xf>
    <xf numFmtId="0" fontId="20" fillId="7" borderId="1" xfId="0" applyFont="1" applyFill="1" applyBorder="1" applyAlignment="1">
      <alignment wrapText="1"/>
    </xf>
    <xf numFmtId="0" fontId="23" fillId="0" borderId="17" xfId="0" applyFont="1" applyBorder="1"/>
    <xf numFmtId="0" fontId="23" fillId="0" borderId="6" xfId="0" applyFont="1" applyBorder="1"/>
    <xf numFmtId="0" fontId="23" fillId="17" borderId="7" xfId="0" applyFont="1" applyFill="1" applyBorder="1"/>
    <xf numFmtId="0" fontId="20" fillId="0" borderId="6" xfId="0" applyFont="1" applyBorder="1" applyAlignment="1">
      <alignment wrapText="1"/>
    </xf>
    <xf numFmtId="44" fontId="23" fillId="13" borderId="17" xfId="0" applyNumberFormat="1" applyFont="1" applyFill="1" applyBorder="1"/>
    <xf numFmtId="44" fontId="0" fillId="19" borderId="6" xfId="0" applyNumberFormat="1" applyFill="1" applyBorder="1"/>
    <xf numFmtId="44" fontId="23" fillId="13" borderId="18" xfId="0" applyNumberFormat="1" applyFont="1" applyFill="1" applyBorder="1"/>
    <xf numFmtId="44" fontId="23" fillId="13" borderId="19" xfId="0" applyNumberFormat="1" applyFont="1" applyFill="1" applyBorder="1"/>
    <xf numFmtId="44" fontId="0" fillId="21" borderId="6" xfId="0" applyNumberFormat="1" applyFill="1" applyBorder="1"/>
    <xf numFmtId="44" fontId="23" fillId="13" borderId="20" xfId="0" applyNumberFormat="1" applyFont="1" applyFill="1" applyBorder="1"/>
    <xf numFmtId="0" fontId="0" fillId="0" borderId="5" xfId="0" applyBorder="1" applyAlignment="1">
      <alignment wrapText="1"/>
    </xf>
    <xf numFmtId="0" fontId="9" fillId="3" borderId="5" xfId="0" applyFont="1" applyFill="1" applyBorder="1" applyAlignment="1">
      <alignment wrapText="1"/>
    </xf>
    <xf numFmtId="0" fontId="20" fillId="17" borderId="1" xfId="0" applyFont="1" applyFill="1" applyBorder="1"/>
    <xf numFmtId="0" fontId="0" fillId="17" borderId="1" xfId="0" applyFill="1" applyBorder="1"/>
    <xf numFmtId="164" fontId="6" fillId="0" borderId="1" xfId="0" applyNumberFormat="1" applyFont="1" applyBorder="1"/>
    <xf numFmtId="0" fontId="0" fillId="13" borderId="1" xfId="0" applyFill="1" applyBorder="1"/>
    <xf numFmtId="0" fontId="20" fillId="0" borderId="1" xfId="0" applyFont="1" applyBorder="1" applyAlignment="1">
      <alignment horizontal="center" vertical="center"/>
    </xf>
    <xf numFmtId="0" fontId="20" fillId="17" borderId="1" xfId="0" applyFont="1" applyFill="1" applyBorder="1" applyAlignment="1">
      <alignment horizontal="center" vertical="center"/>
    </xf>
    <xf numFmtId="0" fontId="20" fillId="0" borderId="1" xfId="0" applyFont="1" applyBorder="1" applyAlignment="1">
      <alignment horizontal="center" vertical="center" wrapText="1"/>
    </xf>
    <xf numFmtId="0" fontId="18" fillId="22" borderId="1" xfId="0" applyFont="1" applyFill="1" applyBorder="1" applyAlignment="1">
      <alignment horizontal="center" wrapText="1"/>
    </xf>
    <xf numFmtId="0" fontId="25" fillId="0" borderId="1" xfId="0" applyFont="1" applyBorder="1" applyAlignment="1">
      <alignment horizontal="center" vertical="center"/>
    </xf>
    <xf numFmtId="0" fontId="25" fillId="0" borderId="0" xfId="0" applyFont="1" applyAlignment="1">
      <alignment horizontal="center" vertical="center"/>
    </xf>
    <xf numFmtId="0" fontId="25" fillId="8" borderId="0" xfId="0" applyFont="1" applyFill="1" applyAlignment="1">
      <alignment horizontal="center" vertical="center"/>
    </xf>
    <xf numFmtId="0" fontId="0" fillId="24" borderId="0" xfId="0" applyFill="1"/>
    <xf numFmtId="0" fontId="20" fillId="24" borderId="0" xfId="0" applyFont="1" applyFill="1"/>
    <xf numFmtId="0" fontId="9" fillId="24" borderId="0" xfId="0" applyFont="1" applyFill="1" applyAlignment="1">
      <alignment wrapText="1"/>
    </xf>
    <xf numFmtId="0" fontId="12" fillId="24" borderId="0" xfId="0" applyFont="1" applyFill="1"/>
    <xf numFmtId="0" fontId="18" fillId="22" borderId="1" xfId="0" applyFont="1" applyFill="1" applyBorder="1" applyAlignment="1">
      <alignment horizontal="center" vertical="center" wrapText="1"/>
    </xf>
    <xf numFmtId="0" fontId="18" fillId="13" borderId="1" xfId="0" applyFont="1" applyFill="1" applyBorder="1" applyAlignment="1">
      <alignment horizontal="center" vertical="center"/>
    </xf>
    <xf numFmtId="0" fontId="18" fillId="24" borderId="0" xfId="0" applyFont="1" applyFill="1" applyAlignment="1">
      <alignment horizontal="center" vertical="center"/>
    </xf>
    <xf numFmtId="0" fontId="18" fillId="22" borderId="1" xfId="0" quotePrefix="1" applyFont="1" applyFill="1" applyBorder="1" applyAlignment="1">
      <alignment horizontal="center" vertical="center" wrapText="1"/>
    </xf>
    <xf numFmtId="0" fontId="18" fillId="13" borderId="1" xfId="0" quotePrefix="1" applyFont="1" applyFill="1" applyBorder="1" applyAlignment="1">
      <alignment horizontal="center" vertical="center"/>
    </xf>
    <xf numFmtId="0" fontId="18" fillId="17" borderId="1" xfId="0" quotePrefix="1" applyFont="1" applyFill="1" applyBorder="1" applyAlignment="1">
      <alignment horizontal="center" vertical="center"/>
    </xf>
    <xf numFmtId="22" fontId="26"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8" fillId="22" borderId="1" xfId="1" applyFont="1" applyFill="1" applyBorder="1" applyAlignment="1">
      <alignment horizontal="center" wrapText="1"/>
    </xf>
    <xf numFmtId="42" fontId="9" fillId="3" borderId="0" xfId="1" applyFont="1" applyFill="1" applyAlignment="1">
      <alignment wrapText="1"/>
    </xf>
    <xf numFmtId="42" fontId="0" fillId="8" borderId="0" xfId="1" applyFont="1" applyFill="1"/>
    <xf numFmtId="42" fontId="20" fillId="13" borderId="1" xfId="1" applyFont="1" applyFill="1" applyBorder="1"/>
    <xf numFmtId="0" fontId="0" fillId="0" borderId="0" xfId="0" applyAlignment="1">
      <alignment wrapText="1"/>
    </xf>
    <xf numFmtId="0" fontId="0" fillId="8" borderId="0" xfId="0" applyFill="1" applyAlignment="1">
      <alignment wrapText="1"/>
    </xf>
    <xf numFmtId="44" fontId="20" fillId="13" borderId="1" xfId="0" applyNumberFormat="1" applyFont="1" applyFill="1" applyBorder="1" applyAlignment="1">
      <alignment wrapText="1"/>
    </xf>
    <xf numFmtId="0" fontId="17" fillId="3" borderId="1" xfId="0" applyFont="1" applyFill="1" applyBorder="1" applyAlignment="1">
      <alignment horizontal="center" vertical="center" wrapText="1"/>
    </xf>
    <xf numFmtId="0" fontId="28" fillId="25" borderId="21" xfId="2"/>
    <xf numFmtId="10" fontId="28" fillId="25" borderId="21" xfId="2" applyNumberFormat="1"/>
    <xf numFmtId="0" fontId="28" fillId="25" borderId="21" xfId="2" applyAlignment="1">
      <alignment wrapText="1"/>
    </xf>
    <xf numFmtId="0" fontId="28" fillId="25" borderId="21" xfId="2" applyAlignment="1">
      <alignment horizontal="center" wrapText="1"/>
    </xf>
    <xf numFmtId="44" fontId="28" fillId="25" borderId="21" xfId="2" applyNumberFormat="1"/>
    <xf numFmtId="42" fontId="28" fillId="25" borderId="21" xfId="2" applyNumberFormat="1"/>
    <xf numFmtId="42" fontId="0" fillId="0" borderId="0" xfId="0" applyNumberFormat="1"/>
    <xf numFmtId="0" fontId="18" fillId="3" borderId="1" xfId="0" applyFont="1" applyFill="1" applyBorder="1" applyAlignment="1">
      <alignment horizontal="center" vertical="center" wrapText="1"/>
    </xf>
    <xf numFmtId="0" fontId="18"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6"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30" fillId="26" borderId="21" xfId="5" applyBorder="1"/>
    <xf numFmtId="0" fontId="28" fillId="25" borderId="21" xfId="2" applyAlignment="1">
      <alignment horizontal="right"/>
    </xf>
    <xf numFmtId="0" fontId="28" fillId="25" borderId="21" xfId="2" applyAlignment="1">
      <alignment horizontal="center"/>
    </xf>
    <xf numFmtId="0" fontId="33" fillId="25" borderId="22" xfId="7" applyFont="1"/>
    <xf numFmtId="0" fontId="31" fillId="27" borderId="21" xfId="6"/>
    <xf numFmtId="44" fontId="32" fillId="25" borderId="22" xfId="4" applyFont="1" applyFill="1" applyBorder="1"/>
    <xf numFmtId="0" fontId="32" fillId="25" borderId="22" xfId="7" applyAlignment="1">
      <alignment horizontal="right"/>
    </xf>
    <xf numFmtId="0" fontId="33"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4"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6" fillId="0" borderId="28" xfId="0" applyFont="1" applyBorder="1"/>
    <xf numFmtId="0" fontId="6" fillId="0" borderId="18" xfId="0" applyFont="1" applyBorder="1"/>
    <xf numFmtId="0" fontId="6" fillId="0" borderId="29" xfId="0" applyFont="1" applyBorder="1"/>
    <xf numFmtId="0" fontId="0" fillId="36" borderId="0" xfId="0" applyFont="1" applyFill="1"/>
    <xf numFmtId="0" fontId="0" fillId="0" borderId="0" xfId="0" applyFont="1"/>
    <xf numFmtId="0" fontId="36" fillId="0" borderId="0" xfId="10"/>
    <xf numFmtId="0" fontId="36" fillId="0" borderId="0" xfId="10" applyFill="1" applyBorder="1"/>
    <xf numFmtId="0" fontId="35" fillId="32" borderId="0" xfId="9"/>
    <xf numFmtId="0" fontId="0" fillId="37" borderId="0" xfId="0" applyFont="1" applyFill="1"/>
    <xf numFmtId="43" fontId="0" fillId="0" borderId="0" xfId="8" applyFont="1"/>
    <xf numFmtId="0" fontId="4" fillId="33" borderId="0" xfId="11" applyAlignment="1">
      <alignment horizontal="right"/>
    </xf>
    <xf numFmtId="44" fontId="4" fillId="33" borderId="0" xfId="11" applyNumberFormat="1"/>
    <xf numFmtId="0" fontId="4" fillId="33" borderId="0" xfId="11"/>
    <xf numFmtId="170" fontId="4" fillId="33" borderId="0" xfId="11" applyNumberFormat="1"/>
    <xf numFmtId="44" fontId="4" fillId="34" borderId="0" xfId="12" applyNumberFormat="1"/>
    <xf numFmtId="0" fontId="4" fillId="35" borderId="0" xfId="13"/>
    <xf numFmtId="0" fontId="33" fillId="25" borderId="30" xfId="7" applyFont="1" applyBorder="1" applyAlignment="1">
      <alignment horizontal="right"/>
    </xf>
    <xf numFmtId="170" fontId="28" fillId="25" borderId="21" xfId="2" applyNumberFormat="1"/>
    <xf numFmtId="0" fontId="33" fillId="25" borderId="31" xfId="7" applyFont="1" applyBorder="1" applyAlignment="1">
      <alignment horizontal="right"/>
    </xf>
    <xf numFmtId="0" fontId="35" fillId="32" borderId="32" xfId="9" applyBorder="1" applyAlignment="1">
      <alignment horizontal="center" vertical="center"/>
    </xf>
    <xf numFmtId="0" fontId="35" fillId="32" borderId="33" xfId="9" applyBorder="1" applyAlignment="1">
      <alignment horizontal="center" vertical="center"/>
    </xf>
    <xf numFmtId="0" fontId="35" fillId="32" borderId="34" xfId="9" applyBorder="1" applyAlignment="1">
      <alignment horizontal="center" vertical="center"/>
    </xf>
    <xf numFmtId="43" fontId="32" fillId="25" borderId="22" xfId="8" applyFont="1" applyFill="1" applyBorder="1"/>
    <xf numFmtId="43" fontId="4" fillId="34" borderId="0" xfId="8" applyFont="1" applyFill="1"/>
    <xf numFmtId="44" fontId="32" fillId="25" borderId="22" xfId="7" applyNumberFormat="1" applyAlignment="1">
      <alignment horizontal="right"/>
    </xf>
    <xf numFmtId="42" fontId="33" fillId="25" borderId="22" xfId="7" applyNumberFormat="1" applyFont="1" applyAlignment="1">
      <alignment horizontal="right"/>
    </xf>
    <xf numFmtId="43" fontId="33" fillId="25" borderId="22" xfId="8" applyFont="1" applyFill="1" applyBorder="1" applyAlignment="1">
      <alignment horizontal="right"/>
    </xf>
    <xf numFmtId="0" fontId="33" fillId="25" borderId="30" xfId="7" applyFont="1" applyBorder="1" applyAlignment="1">
      <alignment horizontal="center" vertical="center"/>
    </xf>
    <xf numFmtId="43" fontId="33" fillId="25" borderId="22" xfId="7" applyNumberFormat="1" applyFont="1" applyAlignment="1">
      <alignment horizontal="center" vertical="center"/>
    </xf>
    <xf numFmtId="44" fontId="33" fillId="25" borderId="30" xfId="7" applyNumberFormat="1" applyFont="1" applyBorder="1" applyAlignment="1">
      <alignment horizontal="center" vertical="center"/>
    </xf>
    <xf numFmtId="0" fontId="0" fillId="6" borderId="0" xfId="0" applyFill="1"/>
    <xf numFmtId="0" fontId="28" fillId="25" borderId="35" xfId="2" applyBorder="1"/>
    <xf numFmtId="0" fontId="0" fillId="0" borderId="23" xfId="0" applyBorder="1"/>
    <xf numFmtId="0" fontId="0" fillId="0" borderId="25" xfId="0" applyBorder="1"/>
    <xf numFmtId="0" fontId="28" fillId="25" borderId="36" xfId="2" applyBorder="1"/>
    <xf numFmtId="0" fontId="28"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4" fillId="33" borderId="24" xfId="11" applyBorder="1"/>
    <xf numFmtId="0" fontId="4" fillId="33" borderId="27" xfId="11" applyBorder="1"/>
    <xf numFmtId="0" fontId="4" fillId="35" borderId="24" xfId="13" applyBorder="1"/>
    <xf numFmtId="0" fontId="4" fillId="35" borderId="27" xfId="13" applyBorder="1"/>
    <xf numFmtId="0" fontId="4" fillId="34" borderId="24" xfId="12" applyBorder="1"/>
    <xf numFmtId="0" fontId="4" fillId="34" borderId="27" xfId="12" applyBorder="1"/>
    <xf numFmtId="0" fontId="28" fillId="25" borderId="38" xfId="2" applyBorder="1"/>
    <xf numFmtId="164" fontId="28"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4" fillId="33" borderId="42" xfId="11" applyBorder="1"/>
    <xf numFmtId="0" fontId="4" fillId="34" borderId="42" xfId="12" applyBorder="1"/>
    <xf numFmtId="0" fontId="4" fillId="35" borderId="42" xfId="13" applyBorder="1"/>
    <xf numFmtId="164" fontId="0" fillId="0" borderId="42" xfId="0" applyNumberFormat="1" applyBorder="1"/>
    <xf numFmtId="164" fontId="0" fillId="0" borderId="27" xfId="0" applyNumberFormat="1" applyBorder="1"/>
    <xf numFmtId="0" fontId="28" fillId="25" borderId="43" xfId="2" applyBorder="1"/>
    <xf numFmtId="42" fontId="28"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8"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8"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9"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4" fillId="33" borderId="40" xfId="3" applyFont="1" applyFill="1" applyBorder="1"/>
    <xf numFmtId="9" fontId="4" fillId="33" borderId="23" xfId="3" applyFont="1" applyFill="1" applyBorder="1"/>
    <xf numFmtId="9" fontId="4" fillId="33" borderId="25" xfId="3" applyFont="1" applyFill="1" applyBorder="1"/>
    <xf numFmtId="9" fontId="4" fillId="34" borderId="40" xfId="3" applyFont="1" applyFill="1" applyBorder="1"/>
    <xf numFmtId="9" fontId="4" fillId="34" borderId="23" xfId="3" applyFont="1" applyFill="1" applyBorder="1"/>
    <xf numFmtId="9" fontId="4" fillId="34" borderId="25" xfId="3" applyFont="1" applyFill="1" applyBorder="1"/>
    <xf numFmtId="9" fontId="4" fillId="35" borderId="40" xfId="3" applyFont="1" applyFill="1" applyBorder="1"/>
    <xf numFmtId="9" fontId="4" fillId="35" borderId="23" xfId="3" applyFont="1" applyFill="1" applyBorder="1"/>
    <xf numFmtId="9" fontId="4" fillId="35" borderId="25" xfId="3" applyFont="1" applyFill="1" applyBorder="1"/>
    <xf numFmtId="44" fontId="17" fillId="3" borderId="1" xfId="4" applyFont="1" applyFill="1" applyBorder="1" applyAlignment="1">
      <alignment horizontal="center" vertical="center" wrapText="1"/>
    </xf>
    <xf numFmtId="44" fontId="9" fillId="7" borderId="0" xfId="0" applyNumberFormat="1" applyFont="1" applyFill="1" applyAlignment="1">
      <alignment wrapText="1"/>
    </xf>
    <xf numFmtId="0" fontId="0" fillId="0" borderId="0" xfId="0" applyAlignment="1"/>
    <xf numFmtId="0" fontId="6" fillId="0" borderId="0" xfId="0" applyFont="1" applyAlignment="1">
      <alignment horizontal="center" vertical="top"/>
    </xf>
    <xf numFmtId="44" fontId="6" fillId="0" borderId="0" xfId="4" applyFont="1" applyAlignment="1">
      <alignment horizontal="center" vertical="top"/>
    </xf>
    <xf numFmtId="0" fontId="6" fillId="0" borderId="0" xfId="0" applyFont="1" applyAlignment="1">
      <alignment horizontal="center" vertical="top" wrapText="1"/>
    </xf>
    <xf numFmtId="0" fontId="28" fillId="25" borderId="21" xfId="2" applyAlignment="1">
      <alignment horizontal="center" vertical="center" wrapText="1"/>
    </xf>
    <xf numFmtId="0" fontId="28" fillId="25" borderId="21" xfId="2" applyAlignment="1">
      <alignment horizontal="center" vertical="center"/>
    </xf>
    <xf numFmtId="0" fontId="6"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7" fillId="0" borderId="0" xfId="0" applyFont="1" applyAlignment="1">
      <alignment horizontal="center" vertical="top"/>
    </xf>
    <xf numFmtId="44" fontId="37" fillId="0" borderId="0" xfId="4" applyFont="1" applyAlignment="1">
      <alignment horizontal="center" vertical="top"/>
    </xf>
    <xf numFmtId="0" fontId="37" fillId="0" borderId="0" xfId="0" applyFont="1" applyAlignment="1">
      <alignment horizontal="center" vertical="top" wrapText="1"/>
    </xf>
    <xf numFmtId="0" fontId="6" fillId="0" borderId="32" xfId="0" applyFont="1" applyBorder="1" applyAlignment="1">
      <alignment horizontal="center" vertical="center"/>
    </xf>
    <xf numFmtId="0" fontId="38" fillId="0" borderId="0" xfId="0" applyFont="1" applyAlignment="1">
      <alignment horizontal="center"/>
    </xf>
    <xf numFmtId="0" fontId="38" fillId="0" borderId="0" xfId="0" applyFont="1"/>
    <xf numFmtId="44" fontId="38" fillId="0" borderId="0" xfId="4" applyFont="1"/>
    <xf numFmtId="0" fontId="38" fillId="0" borderId="33" xfId="0" applyFont="1" applyBorder="1"/>
    <xf numFmtId="0" fontId="37" fillId="0" borderId="40" xfId="0" applyFont="1" applyBorder="1" applyAlignment="1">
      <alignment horizontal="center" vertical="top" wrapText="1"/>
    </xf>
    <xf numFmtId="0" fontId="37" fillId="0" borderId="42" xfId="0" applyFont="1" applyBorder="1" applyAlignment="1">
      <alignment horizontal="center" vertical="top" wrapText="1"/>
    </xf>
    <xf numFmtId="0" fontId="37" fillId="0" borderId="40" xfId="0" applyFont="1" applyBorder="1" applyAlignment="1">
      <alignment horizontal="center" vertical="top"/>
    </xf>
    <xf numFmtId="0" fontId="37" fillId="0" borderId="42" xfId="0" applyFont="1" applyBorder="1" applyAlignment="1">
      <alignment horizontal="center" vertical="top"/>
    </xf>
    <xf numFmtId="0" fontId="37" fillId="0" borderId="41" xfId="0" applyFont="1" applyBorder="1" applyAlignment="1">
      <alignment horizontal="center" vertical="top" wrapText="1"/>
    </xf>
    <xf numFmtId="0" fontId="38" fillId="0" borderId="23" xfId="0" applyFont="1" applyBorder="1"/>
    <xf numFmtId="0" fontId="38" fillId="0" borderId="24" xfId="0" applyFont="1" applyBorder="1"/>
    <xf numFmtId="0" fontId="0" fillId="0" borderId="0" xfId="0" applyFont="1" applyBorder="1"/>
    <xf numFmtId="0" fontId="0" fillId="0" borderId="0" xfId="0" applyFont="1" applyFill="1" applyBorder="1"/>
    <xf numFmtId="44" fontId="6" fillId="0" borderId="0" xfId="4" applyFont="1"/>
    <xf numFmtId="0" fontId="3" fillId="39" borderId="0" xfId="15"/>
    <xf numFmtId="43" fontId="0" fillId="0" borderId="0" xfId="0" applyNumberFormat="1"/>
    <xf numFmtId="170" fontId="28" fillId="25" borderId="38" xfId="2" applyNumberFormat="1" applyBorder="1"/>
    <xf numFmtId="0" fontId="0" fillId="0" borderId="0" xfId="0" applyFill="1" applyBorder="1"/>
    <xf numFmtId="0" fontId="28" fillId="25" borderId="40" xfId="2" applyBorder="1"/>
    <xf numFmtId="44" fontId="0" fillId="0" borderId="40" xfId="0" applyNumberFormat="1" applyBorder="1"/>
    <xf numFmtId="44" fontId="0" fillId="0" borderId="23" xfId="0" applyNumberFormat="1" applyBorder="1"/>
    <xf numFmtId="0" fontId="28" fillId="25" borderId="37" xfId="2" applyBorder="1" applyAlignment="1">
      <alignment horizontal="right"/>
    </xf>
    <xf numFmtId="0" fontId="39" fillId="40" borderId="0" xfId="16"/>
    <xf numFmtId="0" fontId="0" fillId="0" borderId="34" xfId="0" applyBorder="1"/>
    <xf numFmtId="0" fontId="0" fillId="0" borderId="53" xfId="0" applyBorder="1"/>
    <xf numFmtId="44" fontId="28" fillId="25" borderId="43" xfId="2" applyNumberFormat="1" applyBorder="1" applyAlignment="1">
      <alignment horizontal="right"/>
    </xf>
    <xf numFmtId="170" fontId="6" fillId="0" borderId="41" xfId="0" applyNumberFormat="1" applyFont="1" applyBorder="1"/>
    <xf numFmtId="0" fontId="28" fillId="25" borderId="42" xfId="2" applyBorder="1" applyAlignment="1">
      <alignment horizontal="right"/>
    </xf>
    <xf numFmtId="0" fontId="0" fillId="0" borderId="33" xfId="0" applyFill="1" applyBorder="1"/>
    <xf numFmtId="0" fontId="2" fillId="41" borderId="0" xfId="17" applyAlignment="1">
      <alignment horizontal="center"/>
    </xf>
    <xf numFmtId="0" fontId="2" fillId="35" borderId="0" xfId="13" applyFont="1"/>
    <xf numFmtId="171" fontId="6" fillId="0" borderId="40" xfId="0" applyNumberFormat="1" applyFont="1" applyBorder="1"/>
    <xf numFmtId="171" fontId="6" fillId="0" borderId="42" xfId="0" applyNumberFormat="1" applyFont="1" applyBorder="1"/>
    <xf numFmtId="171" fontId="0" fillId="0" borderId="24" xfId="0" applyNumberFormat="1" applyBorder="1"/>
    <xf numFmtId="171" fontId="0" fillId="0" borderId="25" xfId="0" applyNumberFormat="1" applyBorder="1"/>
    <xf numFmtId="9" fontId="39"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8" fillId="25" borderId="39" xfId="2" applyNumberFormat="1" applyBorder="1"/>
    <xf numFmtId="0" fontId="39" fillId="40" borderId="53" xfId="16" applyBorder="1" applyAlignment="1">
      <alignment horizontal="center" vertical="center"/>
    </xf>
    <xf numFmtId="173" fontId="0" fillId="0" borderId="0" xfId="8" applyNumberFormat="1" applyFont="1"/>
    <xf numFmtId="0" fontId="28" fillId="25" borderId="56" xfId="2" applyBorder="1"/>
    <xf numFmtId="0" fontId="40" fillId="0" borderId="29" xfId="0" applyFont="1" applyBorder="1"/>
    <xf numFmtId="9" fontId="40" fillId="0" borderId="34" xfId="3" applyFont="1" applyBorder="1" applyAlignment="1">
      <alignment horizontal="center" vertical="center"/>
    </xf>
    <xf numFmtId="0" fontId="40" fillId="0" borderId="53" xfId="0" applyFont="1" applyBorder="1" applyAlignment="1">
      <alignment horizontal="center" vertical="center"/>
    </xf>
    <xf numFmtId="0" fontId="40" fillId="0" borderId="34" xfId="0" applyFont="1" applyBorder="1" applyAlignment="1">
      <alignment horizontal="center" vertical="center"/>
    </xf>
    <xf numFmtId="0" fontId="6" fillId="42" borderId="0" xfId="0" applyFont="1" applyFill="1"/>
    <xf numFmtId="0" fontId="0" fillId="0" borderId="0" xfId="0" quotePrefix="1"/>
    <xf numFmtId="171" fontId="0" fillId="0" borderId="23" xfId="0" applyNumberFormat="1" applyBorder="1" applyAlignment="1">
      <alignment wrapText="1"/>
    </xf>
    <xf numFmtId="0" fontId="43" fillId="13" borderId="36" xfId="2" applyFont="1" applyFill="1" applyBorder="1"/>
    <xf numFmtId="0" fontId="43" fillId="13" borderId="37" xfId="2" applyFont="1" applyFill="1" applyBorder="1" applyAlignment="1">
      <alignment wrapText="1"/>
    </xf>
    <xf numFmtId="0" fontId="44" fillId="13" borderId="15" xfId="0" applyFont="1" applyFill="1" applyBorder="1"/>
    <xf numFmtId="0" fontId="44" fillId="13" borderId="16" xfId="0" applyFont="1" applyFill="1" applyBorder="1" applyAlignment="1">
      <alignment wrapText="1"/>
    </xf>
    <xf numFmtId="0" fontId="44" fillId="13" borderId="16" xfId="0" applyFont="1" applyFill="1" applyBorder="1"/>
    <xf numFmtId="0" fontId="44" fillId="13" borderId="11" xfId="0" applyFont="1" applyFill="1" applyBorder="1"/>
    <xf numFmtId="0" fontId="44" fillId="13" borderId="12" xfId="0" applyFont="1" applyFill="1" applyBorder="1"/>
    <xf numFmtId="0" fontId="43" fillId="13" borderId="37" xfId="2" applyFont="1" applyFill="1" applyBorder="1"/>
    <xf numFmtId="167" fontId="28" fillId="25" borderId="21" xfId="2" applyNumberFormat="1" applyAlignment="1">
      <alignment horizontal="center" vertical="center"/>
    </xf>
    <xf numFmtId="1" fontId="28" fillId="25" borderId="21" xfId="2" applyNumberFormat="1" applyAlignment="1">
      <alignment horizontal="center" vertical="center"/>
    </xf>
    <xf numFmtId="174" fontId="43" fillId="13" borderId="38" xfId="2" applyNumberFormat="1" applyFont="1" applyFill="1" applyBorder="1" applyAlignment="1">
      <alignment horizontal="center" vertical="center"/>
    </xf>
    <xf numFmtId="1" fontId="43" fillId="13" borderId="38" xfId="2" applyNumberFormat="1" applyFont="1" applyFill="1" applyBorder="1" applyAlignment="1">
      <alignment horizontal="center" vertical="center"/>
    </xf>
    <xf numFmtId="174" fontId="44" fillId="13" borderId="1" xfId="0" applyNumberFormat="1" applyFont="1" applyFill="1" applyBorder="1" applyAlignment="1">
      <alignment horizontal="center" vertical="center"/>
    </xf>
    <xf numFmtId="1" fontId="44" fillId="13" borderId="1" xfId="0" applyNumberFormat="1" applyFont="1" applyFill="1" applyBorder="1" applyAlignment="1">
      <alignment horizontal="center" vertical="center"/>
    </xf>
    <xf numFmtId="174" fontId="44" fillId="13" borderId="58" xfId="0" applyNumberFormat="1" applyFont="1" applyFill="1" applyBorder="1" applyAlignment="1">
      <alignment horizontal="center" vertical="center"/>
    </xf>
    <xf numFmtId="1" fontId="44" fillId="13" borderId="58" xfId="0" applyNumberFormat="1" applyFont="1" applyFill="1" applyBorder="1" applyAlignment="1">
      <alignment horizontal="center" vertical="center"/>
    </xf>
    <xf numFmtId="0" fontId="44" fillId="13" borderId="1" xfId="0" applyFont="1" applyFill="1" applyBorder="1" applyAlignment="1">
      <alignment horizontal="center" vertical="center"/>
    </xf>
    <xf numFmtId="0" fontId="44" fillId="13" borderId="58" xfId="0" applyFont="1" applyFill="1" applyBorder="1" applyAlignment="1">
      <alignment horizontal="center" vertical="center"/>
    </xf>
    <xf numFmtId="0" fontId="40" fillId="0" borderId="25" xfId="0" applyFont="1" applyBorder="1" applyAlignment="1">
      <alignment horizontal="left" vertical="center" indent="2"/>
    </xf>
    <xf numFmtId="0" fontId="40" fillId="0" borderId="59" xfId="0" applyFont="1" applyBorder="1" applyAlignment="1">
      <alignment horizontal="left" vertical="center" indent="2"/>
    </xf>
    <xf numFmtId="0" fontId="0" fillId="0" borderId="60" xfId="0" applyBorder="1"/>
    <xf numFmtId="0" fontId="0" fillId="0" borderId="61" xfId="0" applyBorder="1"/>
    <xf numFmtId="0" fontId="44" fillId="13" borderId="65" xfId="0" applyFont="1" applyFill="1" applyBorder="1"/>
    <xf numFmtId="174" fontId="44" fillId="13" borderId="4" xfId="0" applyNumberFormat="1" applyFont="1" applyFill="1" applyBorder="1" applyAlignment="1">
      <alignment horizontal="center" vertical="center"/>
    </xf>
    <xf numFmtId="0" fontId="44" fillId="13" borderId="4" xfId="0" applyFont="1" applyFill="1" applyBorder="1" applyAlignment="1">
      <alignment horizontal="center" vertical="center"/>
    </xf>
    <xf numFmtId="0" fontId="44" fillId="13" borderId="66" xfId="0" applyFont="1" applyFill="1" applyBorder="1"/>
    <xf numFmtId="1" fontId="28" fillId="25" borderId="21" xfId="2" applyNumberFormat="1" applyAlignment="1">
      <alignment horizontal="center"/>
    </xf>
    <xf numFmtId="0" fontId="28" fillId="25" borderId="21" xfId="2" applyAlignment="1">
      <alignment horizontal="left" vertical="top" wrapText="1"/>
    </xf>
    <xf numFmtId="0" fontId="43" fillId="13" borderId="37" xfId="2" applyFont="1" applyFill="1" applyBorder="1" applyAlignment="1">
      <alignment horizontal="left" vertical="top" wrapText="1"/>
    </xf>
    <xf numFmtId="0" fontId="44" fillId="13" borderId="16" xfId="0" applyFont="1" applyFill="1" applyBorder="1" applyAlignment="1">
      <alignment horizontal="left" vertical="top" wrapText="1"/>
    </xf>
    <xf numFmtId="0" fontId="43" fillId="13" borderId="37" xfId="2" applyFont="1" applyFill="1" applyBorder="1" applyAlignment="1">
      <alignment horizontal="left" vertical="top"/>
    </xf>
    <xf numFmtId="0" fontId="0" fillId="0" borderId="67" xfId="0" applyBorder="1"/>
    <xf numFmtId="176" fontId="0" fillId="0" borderId="42" xfId="0" applyNumberFormat="1" applyBorder="1"/>
    <xf numFmtId="176" fontId="0" fillId="0" borderId="27" xfId="0" applyNumberFormat="1" applyBorder="1"/>
    <xf numFmtId="168" fontId="0" fillId="0" borderId="24" xfId="0" applyNumberFormat="1" applyBorder="1"/>
    <xf numFmtId="44" fontId="0" fillId="0" borderId="27" xfId="4" applyFont="1" applyBorder="1"/>
    <xf numFmtId="177" fontId="0" fillId="0" borderId="42" xfId="0" applyNumberFormat="1" applyBorder="1"/>
    <xf numFmtId="177" fontId="0" fillId="0" borderId="24" xfId="0" applyNumberFormat="1" applyBorder="1"/>
    <xf numFmtId="175" fontId="31" fillId="27" borderId="21" xfId="6" applyNumberFormat="1"/>
    <xf numFmtId="170" fontId="31" fillId="27" borderId="21" xfId="6" applyNumberFormat="1"/>
    <xf numFmtId="0" fontId="37" fillId="0" borderId="23" xfId="0" applyFont="1" applyBorder="1" applyAlignment="1">
      <alignment horizontal="center" vertical="center"/>
    </xf>
    <xf numFmtId="0" fontId="37" fillId="0" borderId="24" xfId="0" applyFont="1" applyBorder="1" applyAlignment="1">
      <alignment horizontal="center" vertical="center"/>
    </xf>
    <xf numFmtId="0" fontId="6" fillId="0" borderId="42" xfId="0" applyFont="1" applyBorder="1" applyAlignment="1">
      <alignment horizontal="center" vertical="center"/>
    </xf>
    <xf numFmtId="0" fontId="37" fillId="0" borderId="0" xfId="0" applyFont="1" applyBorder="1" applyAlignment="1">
      <alignment horizontal="center" vertical="center"/>
    </xf>
    <xf numFmtId="0" fontId="37" fillId="0" borderId="0" xfId="0" applyFont="1" applyBorder="1" applyAlignment="1">
      <alignment horizontal="center" vertical="top" wrapText="1"/>
    </xf>
    <xf numFmtId="0" fontId="38" fillId="0" borderId="0" xfId="0" applyFont="1" applyBorder="1"/>
    <xf numFmtId="0" fontId="37" fillId="0" borderId="0" xfId="0" applyFont="1" applyBorder="1" applyAlignment="1">
      <alignment horizontal="center" vertical="top"/>
    </xf>
    <xf numFmtId="0" fontId="0" fillId="24" borderId="0" xfId="0" applyFont="1" applyFill="1"/>
    <xf numFmtId="0" fontId="6" fillId="24" borderId="0" xfId="0" applyFont="1" applyFill="1" applyAlignment="1">
      <alignment horizontal="center" vertical="center"/>
    </xf>
    <xf numFmtId="178" fontId="0" fillId="0" borderId="0" xfId="0" applyNumberFormat="1" applyAlignment="1">
      <alignment horizontal="center"/>
    </xf>
    <xf numFmtId="0" fontId="43" fillId="13" borderId="62" xfId="2" applyFont="1" applyFill="1" applyBorder="1" applyAlignment="1">
      <alignment horizontal="left"/>
    </xf>
    <xf numFmtId="0" fontId="43" fillId="13" borderId="63" xfId="2" applyFont="1" applyFill="1" applyBorder="1" applyAlignment="1">
      <alignment horizontal="left"/>
    </xf>
    <xf numFmtId="0" fontId="43" fillId="13" borderId="64" xfId="2" applyFont="1" applyFill="1" applyBorder="1" applyAlignment="1">
      <alignment horizontal="left"/>
    </xf>
    <xf numFmtId="0" fontId="44" fillId="13" borderId="68" xfId="0" applyFont="1" applyFill="1" applyBorder="1" applyAlignment="1">
      <alignment horizontal="center"/>
    </xf>
    <xf numFmtId="0" fontId="44" fillId="13" borderId="18" xfId="0" applyFont="1" applyFill="1" applyBorder="1" applyAlignment="1">
      <alignment horizontal="center"/>
    </xf>
    <xf numFmtId="0" fontId="44" fillId="13" borderId="69" xfId="0" applyFont="1" applyFill="1" applyBorder="1" applyAlignment="1">
      <alignment horizontal="center"/>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2" fillId="13" borderId="0" xfId="18" applyFont="1" applyFill="1" applyBorder="1" applyAlignment="1">
      <alignment horizontal="center"/>
    </xf>
    <xf numFmtId="0" fontId="44" fillId="13" borderId="11" xfId="0" applyFont="1" applyFill="1" applyBorder="1" applyAlignment="1">
      <alignment horizontal="center" vertical="top" wrapText="1"/>
    </xf>
    <xf numFmtId="0" fontId="44" fillId="13" borderId="58" xfId="0" applyFont="1" applyFill="1" applyBorder="1" applyAlignment="1">
      <alignment horizontal="center" vertical="top" wrapText="1"/>
    </xf>
    <xf numFmtId="0" fontId="44" fillId="13" borderId="12" xfId="0" applyFont="1" applyFill="1" applyBorder="1" applyAlignment="1">
      <alignment horizontal="center" vertical="top" wrapText="1"/>
    </xf>
    <xf numFmtId="0" fontId="41" fillId="0" borderId="57" xfId="18" applyAlignment="1">
      <alignment horizontal="center"/>
    </xf>
    <xf numFmtId="44" fontId="0" fillId="19" borderId="1" xfId="0" applyNumberFormat="1" applyFill="1" applyBorder="1" applyAlignment="1">
      <alignment horizontal="center"/>
    </xf>
    <xf numFmtId="0" fontId="9" fillId="3" borderId="1" xfId="0" applyFont="1" applyFill="1" applyBorder="1" applyAlignment="1">
      <alignment horizontal="center" wrapText="1"/>
    </xf>
    <xf numFmtId="44" fontId="0" fillId="19" borderId="1" xfId="0" applyNumberFormat="1" applyFill="1" applyBorder="1" applyAlignment="1">
      <alignment horizontal="right"/>
    </xf>
    <xf numFmtId="0" fontId="9"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8" fillId="0" borderId="1" xfId="0" applyFont="1" applyBorder="1" applyAlignment="1">
      <alignment horizontal="center"/>
    </xf>
    <xf numFmtId="0" fontId="17" fillId="0" borderId="1" xfId="0" applyFont="1" applyBorder="1" applyAlignment="1">
      <alignment horizontal="center"/>
    </xf>
    <xf numFmtId="14" fontId="24" fillId="0" borderId="1" xfId="0" applyNumberFormat="1" applyFont="1" applyBorder="1" applyAlignment="1">
      <alignment horizontal="center"/>
    </xf>
    <xf numFmtId="0" fontId="24" fillId="0" borderId="1" xfId="0" applyFont="1" applyBorder="1" applyAlignment="1">
      <alignment horizontal="center" vertical="center"/>
    </xf>
    <xf numFmtId="0" fontId="20" fillId="0" borderId="0" xfId="0" applyFont="1" applyAlignment="1">
      <alignment horizontal="center"/>
    </xf>
    <xf numFmtId="0" fontId="18" fillId="0" borderId="1" xfId="0" applyFont="1" applyBorder="1" applyAlignment="1">
      <alignment horizontal="center" vertical="center"/>
    </xf>
    <xf numFmtId="0" fontId="24" fillId="0" borderId="1" xfId="0" applyFont="1" applyBorder="1" applyAlignment="1">
      <alignment horizontal="center"/>
    </xf>
    <xf numFmtId="0" fontId="33" fillId="25" borderId="54" xfId="7" applyFont="1" applyBorder="1" applyAlignment="1">
      <alignment horizontal="center"/>
    </xf>
    <xf numFmtId="0" fontId="33" fillId="25" borderId="55" xfId="7" applyFont="1" applyBorder="1" applyAlignment="1">
      <alignment horizontal="center"/>
    </xf>
    <xf numFmtId="0" fontId="33" fillId="25" borderId="31" xfId="7" applyFont="1" applyBorder="1" applyAlignment="1">
      <alignment horizontal="center"/>
    </xf>
    <xf numFmtId="0" fontId="6" fillId="0" borderId="0" xfId="0" applyFont="1" applyBorder="1"/>
    <xf numFmtId="0" fontId="4" fillId="35" borderId="0" xfId="13" applyBorder="1" applyAlignment="1">
      <alignment horizontal="center"/>
    </xf>
    <xf numFmtId="44" fontId="0" fillId="0" borderId="0" xfId="4" applyFont="1" applyBorder="1"/>
    <xf numFmtId="44" fontId="1" fillId="44" borderId="0" xfId="4" applyFont="1" applyFill="1" applyBorder="1" applyAlignment="1">
      <alignment horizontal="center"/>
    </xf>
    <xf numFmtId="44" fontId="4" fillId="34" borderId="0" xfId="4" applyFont="1" applyFill="1" applyBorder="1" applyAlignment="1">
      <alignment horizontal="center"/>
    </xf>
    <xf numFmtId="0" fontId="0" fillId="0" borderId="0" xfId="0" applyBorder="1" applyAlignment="1">
      <alignment horizontal="center"/>
    </xf>
    <xf numFmtId="44" fontId="0" fillId="0" borderId="0" xfId="4" applyFont="1" applyBorder="1" applyAlignment="1">
      <alignment horizontal="center"/>
    </xf>
    <xf numFmtId="0" fontId="6" fillId="0" borderId="0" xfId="0" applyFont="1" applyBorder="1" applyAlignment="1">
      <alignment horizontal="center"/>
    </xf>
    <xf numFmtId="44" fontId="6" fillId="0" borderId="0" xfId="4" applyFont="1" applyBorder="1" applyAlignment="1">
      <alignment horizontal="center"/>
    </xf>
    <xf numFmtId="0" fontId="32" fillId="25" borderId="22" xfId="7" applyAlignment="1">
      <alignment horizontal="center"/>
    </xf>
    <xf numFmtId="0" fontId="32" fillId="25" borderId="22" xfId="7"/>
    <xf numFmtId="0" fontId="0" fillId="0" borderId="0" xfId="0" applyBorder="1" applyAlignment="1">
      <alignment horizontal="left"/>
    </xf>
    <xf numFmtId="0" fontId="6" fillId="0" borderId="0" xfId="0" applyFont="1" applyBorder="1" applyAlignment="1">
      <alignment horizontal="left"/>
    </xf>
    <xf numFmtId="0" fontId="30" fillId="43" borderId="70" xfId="20" applyBorder="1" applyAlignment="1">
      <alignment horizontal="center" vertical="center"/>
    </xf>
    <xf numFmtId="0" fontId="30" fillId="43" borderId="71" xfId="20" applyBorder="1" applyAlignment="1">
      <alignment horizontal="center" vertical="center"/>
    </xf>
    <xf numFmtId="0" fontId="30" fillId="43" borderId="72" xfId="20" applyBorder="1" applyAlignment="1">
      <alignment horizontal="center" vertical="center"/>
    </xf>
    <xf numFmtId="0" fontId="30" fillId="43" borderId="73" xfId="20" applyBorder="1" applyAlignment="1">
      <alignment horizontal="center" vertical="center"/>
    </xf>
    <xf numFmtId="0" fontId="30" fillId="43" borderId="74" xfId="20" applyBorder="1" applyAlignment="1">
      <alignment horizontal="center" vertical="center"/>
    </xf>
    <xf numFmtId="0" fontId="30" fillId="43" borderId="75" xfId="20" applyBorder="1" applyAlignment="1">
      <alignment horizontal="center" vertical="center"/>
    </xf>
    <xf numFmtId="180" fontId="0" fillId="0" borderId="0" xfId="19" applyNumberFormat="1" applyFont="1" applyBorder="1"/>
    <xf numFmtId="0" fontId="41" fillId="0" borderId="57" xfId="18"/>
    <xf numFmtId="0" fontId="30" fillId="43" borderId="76" xfId="20" applyBorder="1" applyAlignment="1">
      <alignment horizontal="center" vertical="center" wrapText="1"/>
    </xf>
    <xf numFmtId="0" fontId="30" fillId="43" borderId="0" xfId="20" applyBorder="1" applyAlignment="1">
      <alignment horizontal="center" vertical="center" wrapText="1"/>
    </xf>
    <xf numFmtId="0" fontId="30" fillId="43" borderId="77" xfId="20" applyBorder="1" applyAlignment="1">
      <alignment horizontal="center" vertical="center" wrapText="1"/>
    </xf>
    <xf numFmtId="0" fontId="28" fillId="25" borderId="78" xfId="2" applyBorder="1"/>
    <xf numFmtId="0" fontId="0" fillId="0" borderId="32" xfId="0" applyBorder="1" applyAlignment="1">
      <alignment horizontal="left"/>
    </xf>
    <xf numFmtId="0" fontId="0" fillId="0" borderId="33" xfId="0" applyBorder="1" applyAlignment="1">
      <alignment horizontal="left"/>
    </xf>
  </cellXfs>
  <cellStyles count="21">
    <cellStyle name="20% - Accent1" xfId="11" builtinId="30"/>
    <cellStyle name="20% - Accent2" xfId="12" builtinId="34"/>
    <cellStyle name="20% - Accent3" xfId="13" builtinId="38"/>
    <cellStyle name="20% - Accent6" xfId="15" builtinId="50"/>
    <cellStyle name="60% - Accent2" xfId="17" builtinId="36"/>
    <cellStyle name="Accent2" xfId="20" builtinId="33"/>
    <cellStyle name="Accent5" xfId="5" builtinId="45"/>
    <cellStyle name="Bad" xfId="9" builtinId="27"/>
    <cellStyle name="Calculation" xfId="2" builtinId="22"/>
    <cellStyle name="Comma" xfId="8" builtinId="3"/>
    <cellStyle name="Comma [0]" xfId="19" builtinId="6"/>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692">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border>
        <left style="hair">
          <color auto="1"/>
        </left>
        <right style="hair">
          <color auto="1"/>
        </right>
        <top style="hair">
          <color auto="1"/>
        </top>
        <bottom style="hair">
          <color auto="1"/>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font>
        <b/>
        <i/>
        <color theme="5" tint="-0.499984740745262"/>
      </font>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Travel/Accommodation</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369933</xdr:colOff>
      <xdr:row>23</xdr:row>
      <xdr:rowOff>100252</xdr:rowOff>
    </xdr:from>
    <xdr:to>
      <xdr:col>20</xdr:col>
      <xdr:colOff>586343</xdr:colOff>
      <xdr:row>41</xdr:row>
      <xdr:rowOff>110749</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333110</xdr:colOff>
      <xdr:row>23</xdr:row>
      <xdr:rowOff>151693</xdr:rowOff>
    </xdr:from>
    <xdr:to>
      <xdr:col>34</xdr:col>
      <xdr:colOff>117118</xdr:colOff>
      <xdr:row>41</xdr:row>
      <xdr:rowOff>162190</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358710</xdr:colOff>
      <xdr:row>1</xdr:row>
      <xdr:rowOff>146586</xdr:rowOff>
    </xdr:from>
    <xdr:to>
      <xdr:col>34</xdr:col>
      <xdr:colOff>1236</xdr:colOff>
      <xdr:row>19</xdr:row>
      <xdr:rowOff>88358</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266%20-%20Beenliegh%20Aquatic%20Center/Section%200%20-%20Tender%20Documentation/Tender%20Markup/18-0266%20-%20Beenleigh%20Aquatic%20Center%20-%20MechElec%20-%202.3r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uel\Desktop\18-0010%20-%20Gallipoli%20Barracks%20-%20MechElec%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AA-MechElec%20-%201.0_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Controls"/>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zoomScale="85" zoomScaleNormal="85" workbookViewId="0">
      <selection activeCell="I29" sqref="I29"/>
    </sheetView>
  </sheetViews>
  <sheetFormatPr defaultColWidth="9.3046875" defaultRowHeight="14.6" x14ac:dyDescent="0.4"/>
  <cols>
    <col min="1" max="1" width="25.3046875" style="114" bestFit="1" customWidth="1"/>
    <col min="2" max="3" width="13.69140625" style="114" customWidth="1"/>
    <col min="4" max="4" width="22.69140625" style="114" customWidth="1"/>
    <col min="5" max="5" width="16.3046875" style="114" customWidth="1"/>
    <col min="6" max="6" width="12.69140625" style="114" customWidth="1"/>
    <col min="7" max="7" width="15.07421875" style="114" customWidth="1"/>
    <col min="8" max="8" width="10.3046875" style="114" customWidth="1"/>
    <col min="9" max="9" width="12.3046875" style="114" customWidth="1"/>
    <col min="10" max="13" width="10.3046875" style="114" customWidth="1"/>
    <col min="14" max="14" width="14.07421875" style="114" customWidth="1"/>
    <col min="15" max="15" width="12.3046875" style="114" customWidth="1"/>
    <col min="16" max="17" width="9.3046875" style="114"/>
    <col min="18" max="18" width="21.691406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3">
        <f>B1</f>
        <v>0</v>
      </c>
      <c r="D1" s="304" t="s">
        <v>1393</v>
      </c>
      <c r="E1" s="531">
        <v>2.9</v>
      </c>
      <c r="G1" s="529" t="s">
        <v>683</v>
      </c>
      <c r="H1" s="530"/>
      <c r="K1" s="479" t="s">
        <v>1284</v>
      </c>
      <c r="L1" s="474" t="s">
        <v>1256</v>
      </c>
      <c r="M1" s="475"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79" t="s">
        <v>1284</v>
      </c>
      <c r="O1" s="415"/>
      <c r="Q1" s="538" t="s">
        <v>929</v>
      </c>
      <c r="R1" s="539"/>
      <c r="S1" s="539"/>
      <c r="T1" s="539"/>
      <c r="U1" s="540"/>
      <c r="W1" s="114" t="s">
        <v>1256</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738</v>
      </c>
      <c r="B2" s="400">
        <f>B13*B5</f>
        <v>0</v>
      </c>
      <c r="D2" s="304" t="s">
        <v>781</v>
      </c>
      <c r="E2" s="114" t="s">
        <v>1365</v>
      </c>
      <c r="G2" s="529" t="s">
        <v>682</v>
      </c>
      <c r="H2" s="530"/>
      <c r="K2" s="479" t="s">
        <v>1284</v>
      </c>
      <c r="L2" s="479" t="s">
        <v>1284</v>
      </c>
      <c r="M2" s="479" t="s">
        <v>1284</v>
      </c>
      <c r="N2" s="479" t="s">
        <v>1284</v>
      </c>
      <c r="O2" s="415"/>
      <c r="Q2" s="541"/>
      <c r="R2" s="542"/>
      <c r="S2" s="542"/>
      <c r="T2" s="542"/>
      <c r="U2" s="543"/>
    </row>
    <row r="3" spans="1:24" x14ac:dyDescent="0.4">
      <c r="A3" s="355" t="s">
        <v>737</v>
      </c>
      <c r="B3" s="401">
        <f>B13*B4</f>
        <v>0</v>
      </c>
      <c r="D3" s="304" t="s">
        <v>783</v>
      </c>
      <c r="E3" s="114" t="s">
        <v>1366</v>
      </c>
      <c r="G3" s="415"/>
      <c r="H3" s="415"/>
      <c r="I3" s="415"/>
      <c r="J3" s="415"/>
      <c r="K3" s="415"/>
      <c r="N3" s="415"/>
      <c r="O3" s="415"/>
      <c r="Q3" s="544"/>
      <c r="R3" s="545"/>
      <c r="S3" s="545"/>
      <c r="T3" s="545"/>
      <c r="U3" s="546"/>
      <c r="W3" s="114" t="s">
        <v>678</v>
      </c>
      <c r="X3" s="114" t="str">
        <f>_xlfn.CONCAT('@MSSB'!Q:Q)</f>
        <v/>
      </c>
    </row>
    <row r="4" spans="1:24" x14ac:dyDescent="0.4">
      <c r="A4" s="355" t="s">
        <v>722</v>
      </c>
      <c r="B4" s="402">
        <v>0.2</v>
      </c>
      <c r="D4" s="304" t="s">
        <v>1349</v>
      </c>
      <c r="E4" s="114" t="s">
        <v>1367</v>
      </c>
      <c r="Q4" s="544"/>
      <c r="R4" s="545"/>
      <c r="S4" s="545"/>
      <c r="T4" s="545"/>
      <c r="U4" s="546"/>
      <c r="W4" s="114" t="s">
        <v>493</v>
      </c>
      <c r="X4" s="114" t="str">
        <f>_xlfn.CONCAT('@Fan'!BC:BC)</f>
        <v/>
      </c>
    </row>
    <row r="5" spans="1:24" ht="15" thickBot="1" x14ac:dyDescent="0.45">
      <c r="A5" s="356" t="s">
        <v>723</v>
      </c>
      <c r="B5" s="403">
        <v>0.03</v>
      </c>
      <c r="Q5" s="544"/>
      <c r="R5" s="545"/>
      <c r="S5" s="545"/>
      <c r="T5" s="545"/>
      <c r="U5" s="546"/>
      <c r="W5" s="114" t="s">
        <v>1328</v>
      </c>
      <c r="X5" s="114" t="str">
        <f>_xlfn.CONCAT('@VRF'!AJ:AJ)</f>
        <v/>
      </c>
    </row>
    <row r="6" spans="1:24" ht="19.75" thickBot="1" x14ac:dyDescent="0.55000000000000004">
      <c r="B6" s="295"/>
      <c r="D6" s="551" t="str">
        <f>_xlfn.CONCAT("SCROLL DOWN FOR ", A46)</f>
        <v>SCROLL DOWN FOR SUMMARY OF MECH/ELEC WORKS: [JOB NAME]</v>
      </c>
      <c r="E6" s="551"/>
      <c r="F6" s="551"/>
      <c r="G6" s="551"/>
      <c r="H6" s="551"/>
      <c r="I6" s="551"/>
      <c r="J6" s="551"/>
      <c r="K6" s="551"/>
      <c r="L6" s="551"/>
      <c r="M6" s="551"/>
      <c r="N6" s="551"/>
      <c r="O6" s="551"/>
      <c r="Q6" s="544"/>
      <c r="R6" s="545"/>
      <c r="S6" s="545"/>
      <c r="T6" s="545"/>
      <c r="U6" s="546"/>
      <c r="W6" s="114" t="s">
        <v>1329</v>
      </c>
      <c r="X6" s="114" t="str">
        <f>_xlfn.CONCAT('@Chiller'!V:V)</f>
        <v/>
      </c>
    </row>
    <row r="7" spans="1:24" ht="15.45" thickTop="1" thickBot="1" x14ac:dyDescent="0.45">
      <c r="A7" s="385" t="s">
        <v>724</v>
      </c>
      <c r="B7" s="395">
        <f>SUM(B8:B11)</f>
        <v>0</v>
      </c>
      <c r="Q7" s="544"/>
      <c r="R7" s="545"/>
      <c r="S7" s="545"/>
      <c r="T7" s="545"/>
      <c r="U7" s="546"/>
      <c r="W7" s="114" t="s">
        <v>680</v>
      </c>
      <c r="X7" s="114" t="str">
        <f>_xlfn.CONCAT('@Other'!N:N)</f>
        <v/>
      </c>
    </row>
    <row r="8" spans="1:24" ht="15" thickBot="1" x14ac:dyDescent="0.45">
      <c r="A8" s="376" t="s">
        <v>716</v>
      </c>
      <c r="B8" s="396">
        <f>SUM(B14:B17)</f>
        <v>0</v>
      </c>
      <c r="D8" s="357" t="s">
        <v>725</v>
      </c>
      <c r="E8" s="445">
        <f>SUM(E9:E15)</f>
        <v>0</v>
      </c>
      <c r="F8" s="374" t="s">
        <v>726</v>
      </c>
      <c r="G8" s="358" t="s">
        <v>782</v>
      </c>
      <c r="H8" s="357" t="s">
        <v>913</v>
      </c>
      <c r="I8" s="358" t="s">
        <v>914</v>
      </c>
      <c r="J8" s="357" t="s">
        <v>915</v>
      </c>
      <c r="K8" s="358" t="s">
        <v>916</v>
      </c>
      <c r="L8" s="357" t="s">
        <v>917</v>
      </c>
      <c r="M8" s="358" t="s">
        <v>716</v>
      </c>
      <c r="N8" s="357" t="s">
        <v>918</v>
      </c>
      <c r="O8" s="358" t="s">
        <v>919</v>
      </c>
      <c r="Q8" s="544"/>
      <c r="R8" s="545"/>
      <c r="S8" s="545"/>
      <c r="T8" s="545"/>
      <c r="U8" s="546"/>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44"/>
      <c r="R9" s="545"/>
      <c r="S9" s="545"/>
      <c r="T9" s="545"/>
      <c r="U9" s="546"/>
    </row>
    <row r="10" spans="1:24" x14ac:dyDescent="0.4">
      <c r="A10" s="355" t="s">
        <v>921</v>
      </c>
      <c r="B10" s="397">
        <f>SUM(B35)</f>
        <v>0</v>
      </c>
      <c r="D10" s="355" t="s">
        <v>728</v>
      </c>
      <c r="E10" s="359">
        <f>$E$9*G10</f>
        <v>0</v>
      </c>
      <c r="F10" s="360">
        <v>100</v>
      </c>
      <c r="G10" s="361">
        <v>0.02</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44"/>
      <c r="R10" s="545"/>
      <c r="S10" s="545"/>
      <c r="T10" s="545"/>
      <c r="U10" s="546"/>
    </row>
    <row r="11" spans="1:24" ht="15" thickBot="1" x14ac:dyDescent="0.45">
      <c r="A11" s="356" t="s">
        <v>730</v>
      </c>
      <c r="B11" s="398">
        <v>0</v>
      </c>
      <c r="D11" s="355" t="s">
        <v>729</v>
      </c>
      <c r="E11" s="359">
        <f>$E$9*G11</f>
        <v>0</v>
      </c>
      <c r="F11" s="360">
        <v>85</v>
      </c>
      <c r="G11" s="361">
        <v>0.12</v>
      </c>
      <c r="H11" s="405"/>
      <c r="I11" s="368">
        <f t="shared" si="0"/>
        <v>0</v>
      </c>
      <c r="J11" s="408"/>
      <c r="K11" s="372">
        <f t="shared" si="1"/>
        <v>0</v>
      </c>
      <c r="L11" s="411"/>
      <c r="M11" s="370">
        <f t="shared" si="2"/>
        <v>0</v>
      </c>
      <c r="N11" s="359">
        <f t="shared" si="3"/>
        <v>0</v>
      </c>
      <c r="O11" s="367">
        <f t="shared" si="4"/>
        <v>0</v>
      </c>
      <c r="Q11" s="544"/>
      <c r="R11" s="545"/>
      <c r="S11" s="545"/>
      <c r="T11" s="545"/>
      <c r="U11" s="546"/>
    </row>
    <row r="12" spans="1:24" x14ac:dyDescent="0.4">
      <c r="D12" s="355" t="s">
        <v>731</v>
      </c>
      <c r="E12" s="359">
        <f>$E$9*G12</f>
        <v>0</v>
      </c>
      <c r="F12" s="360">
        <v>80</v>
      </c>
      <c r="G12" s="361">
        <v>0.06</v>
      </c>
      <c r="H12" s="405"/>
      <c r="I12" s="368">
        <f t="shared" si="0"/>
        <v>0</v>
      </c>
      <c r="J12" s="408"/>
      <c r="K12" s="372">
        <f t="shared" si="1"/>
        <v>0</v>
      </c>
      <c r="L12" s="411"/>
      <c r="M12" s="370">
        <f t="shared" si="2"/>
        <v>0</v>
      </c>
      <c r="N12" s="359">
        <f t="shared" si="3"/>
        <v>0</v>
      </c>
      <c r="O12" s="367">
        <f t="shared" si="4"/>
        <v>0</v>
      </c>
      <c r="Q12" s="544"/>
      <c r="R12" s="545"/>
      <c r="S12" s="545"/>
      <c r="T12" s="545"/>
      <c r="U12" s="546"/>
    </row>
    <row r="13" spans="1:24" ht="15" thickBot="1" x14ac:dyDescent="0.45">
      <c r="A13" s="385" t="s">
        <v>732</v>
      </c>
      <c r="B13" s="386">
        <f>SUM(B14:B25)+B35</f>
        <v>0</v>
      </c>
      <c r="D13" s="355" t="s">
        <v>904</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44"/>
      <c r="R13" s="545"/>
      <c r="S13" s="545"/>
      <c r="T13" s="545"/>
      <c r="U13" s="546"/>
    </row>
    <row r="14" spans="1:24" x14ac:dyDescent="0.4">
      <c r="A14" s="376" t="s">
        <v>733</v>
      </c>
      <c r="B14" s="396">
        <f>E9*F9+B32+E13*F13</f>
        <v>0</v>
      </c>
      <c r="D14" s="355" t="s">
        <v>897</v>
      </c>
      <c r="E14" s="359">
        <v>0</v>
      </c>
      <c r="F14" s="360">
        <v>0</v>
      </c>
      <c r="G14" s="361" t="e">
        <f>E14/E8</f>
        <v>#DIV/0!</v>
      </c>
      <c r="H14" s="405"/>
      <c r="I14" s="368">
        <f t="shared" si="0"/>
        <v>0</v>
      </c>
      <c r="J14" s="408"/>
      <c r="K14" s="372">
        <f t="shared" si="1"/>
        <v>0</v>
      </c>
      <c r="L14" s="411"/>
      <c r="M14" s="370">
        <f t="shared" si="2"/>
        <v>0</v>
      </c>
      <c r="N14" s="359">
        <f t="shared" si="3"/>
        <v>0</v>
      </c>
      <c r="O14" s="367">
        <f t="shared" si="4"/>
        <v>0</v>
      </c>
      <c r="Q14" s="544"/>
      <c r="R14" s="545"/>
      <c r="S14" s="545"/>
      <c r="T14" s="545"/>
      <c r="U14" s="546"/>
    </row>
    <row r="15" spans="1:24" ht="15" thickBot="1" x14ac:dyDescent="0.45">
      <c r="A15" s="355" t="s">
        <v>734</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735</v>
      </c>
      <c r="B16" s="397">
        <f>E11*F11</f>
        <v>0</v>
      </c>
      <c r="N16" s="471">
        <f>SUM(N9:N15)</f>
        <v>0</v>
      </c>
      <c r="O16" s="375">
        <f>SUM(O9:O15)</f>
        <v>0</v>
      </c>
      <c r="R16" s="286" t="s">
        <v>1285</v>
      </c>
      <c r="S16" s="286"/>
    </row>
    <row r="17" spans="1:19" ht="15" thickBot="1" x14ac:dyDescent="0.45">
      <c r="A17" s="356" t="s">
        <v>736</v>
      </c>
      <c r="B17" s="398">
        <f>E12*F12</f>
        <v>0</v>
      </c>
      <c r="R17" s="477" t="s">
        <v>1286</v>
      </c>
      <c r="S17" s="476" t="e">
        <f>G20/(G19+B27)</f>
        <v>#DIV/0!</v>
      </c>
    </row>
    <row r="18" spans="1:19" ht="15" thickBot="1" x14ac:dyDescent="0.45">
      <c r="D18" s="472" t="s">
        <v>1244</v>
      </c>
      <c r="E18" s="456" t="s">
        <v>1241</v>
      </c>
      <c r="F18" s="450" t="s">
        <v>933</v>
      </c>
      <c r="G18" s="450" t="s">
        <v>353</v>
      </c>
      <c r="I18" s="451"/>
      <c r="J18" s="451"/>
      <c r="K18" s="451"/>
      <c r="L18" s="451"/>
      <c r="M18" s="451"/>
      <c r="N18" s="451"/>
      <c r="R18" s="478" t="s">
        <v>493</v>
      </c>
      <c r="S18" s="476" t="e">
        <f>G21/(G19+B27)</f>
        <v>#DIV/0!</v>
      </c>
    </row>
    <row r="19" spans="1:19" ht="15" thickBot="1" x14ac:dyDescent="0.45">
      <c r="A19" s="376" t="str">
        <f t="shared" ref="A19:B23" si="5">D20</f>
        <v>MSSB</v>
      </c>
      <c r="B19" s="396">
        <f t="shared" si="5"/>
        <v>0</v>
      </c>
      <c r="D19" s="447" t="s">
        <v>893</v>
      </c>
      <c r="E19" s="454">
        <f>SUM(E20:E24)</f>
        <v>0</v>
      </c>
      <c r="F19" s="454">
        <f t="shared" ref="F19:G19" si="6">SUM(F20:F24)</f>
        <v>0</v>
      </c>
      <c r="G19" s="454">
        <f t="shared" si="6"/>
        <v>0</v>
      </c>
      <c r="I19" s="451"/>
      <c r="J19" s="453"/>
      <c r="K19" s="324" t="str">
        <f>E18</f>
        <v>Material</v>
      </c>
      <c r="L19" s="324" t="str">
        <f>F18</f>
        <v>Hours</v>
      </c>
      <c r="M19" s="325" t="str">
        <f>G18</f>
        <v>Cost</v>
      </c>
      <c r="N19" s="451"/>
      <c r="R19" s="478" t="s">
        <v>1243</v>
      </c>
      <c r="S19" s="476" t="e">
        <f>G22/(G19+B27)</f>
        <v>#DIV/0!</v>
      </c>
    </row>
    <row r="20" spans="1:19" ht="15" thickBot="1" x14ac:dyDescent="0.45">
      <c r="A20" s="355" t="str">
        <f t="shared" si="5"/>
        <v>Fan</v>
      </c>
      <c r="B20" s="397">
        <f t="shared" si="5"/>
        <v>0</v>
      </c>
      <c r="D20" s="457" t="s">
        <v>678</v>
      </c>
      <c r="E20" s="448">
        <f>SUM('@MSSB'!C2:C500)</f>
        <v>0</v>
      </c>
      <c r="F20" s="377">
        <f>SUM('@MSSB'!D2:D500)</f>
        <v>0</v>
      </c>
      <c r="G20" s="383">
        <f t="shared" ref="G20:G21" si="7">F20*80+E20</f>
        <v>0</v>
      </c>
      <c r="I20" s="451"/>
      <c r="J20" s="424" t="s">
        <v>1245</v>
      </c>
      <c r="K20" s="460">
        <f>K22-K21</f>
        <v>0</v>
      </c>
      <c r="L20" s="455">
        <f t="shared" ref="L20:M20" si="8">L22-L21</f>
        <v>0</v>
      </c>
      <c r="M20" s="461">
        <f t="shared" si="8"/>
        <v>0</v>
      </c>
      <c r="N20" s="464" t="e">
        <f>M20/M21</f>
        <v>#DIV/0!</v>
      </c>
      <c r="R20" s="478" t="str">
        <f>D23</f>
        <v>Chiller</v>
      </c>
      <c r="S20" s="476" t="e">
        <f>G23/(G19+B27)</f>
        <v>#DIV/0!</v>
      </c>
    </row>
    <row r="21" spans="1:19" ht="15" thickBot="1" x14ac:dyDescent="0.45">
      <c r="A21" s="355" t="str">
        <f t="shared" si="5"/>
        <v>VRF</v>
      </c>
      <c r="B21" s="397">
        <f t="shared" si="5"/>
        <v>0</v>
      </c>
      <c r="D21" s="457" t="s">
        <v>1242</v>
      </c>
      <c r="E21" s="449">
        <f>SUM('@Fan'!C2:C500)</f>
        <v>0</v>
      </c>
      <c r="F21" s="359">
        <f>SUM('@Fan'!D2:D500)</f>
        <v>0</v>
      </c>
      <c r="G21" s="367">
        <f t="shared" si="7"/>
        <v>0</v>
      </c>
      <c r="I21" s="451"/>
      <c r="J21" s="424" t="s">
        <v>1246</v>
      </c>
      <c r="K21" s="481"/>
      <c r="L21" s="359"/>
      <c r="M21" s="462"/>
      <c r="N21" s="451"/>
      <c r="R21" s="478" t="str">
        <f>D24</f>
        <v>Other</v>
      </c>
      <c r="S21" s="476" t="e">
        <f>G24/(G19+B27)</f>
        <v>#DIV/0!</v>
      </c>
    </row>
    <row r="22" spans="1:19" ht="15" thickBot="1" x14ac:dyDescent="0.45">
      <c r="A22" s="355" t="str">
        <f t="shared" si="5"/>
        <v>Chiller</v>
      </c>
      <c r="B22" s="397">
        <f t="shared" si="5"/>
        <v>0</v>
      </c>
      <c r="D22" s="457" t="s">
        <v>1243</v>
      </c>
      <c r="E22" s="449">
        <f>SUM('@VRF'!C2:C498)</f>
        <v>0</v>
      </c>
      <c r="F22" s="359">
        <f>SUM('@VRF'!D2:D498)</f>
        <v>0</v>
      </c>
      <c r="G22" s="367">
        <f>F22*80+E22</f>
        <v>0</v>
      </c>
      <c r="I22" s="451"/>
      <c r="J22" s="452" t="s">
        <v>1247</v>
      </c>
      <c r="K22" s="463">
        <f>B9</f>
        <v>0</v>
      </c>
      <c r="L22" s="364">
        <f>E8</f>
        <v>0</v>
      </c>
      <c r="M22" s="465">
        <f>B1</f>
        <v>0</v>
      </c>
      <c r="N22" s="451"/>
      <c r="R22" s="478" t="s">
        <v>1276</v>
      </c>
      <c r="S22" s="476" t="e">
        <f>B27/(G19+B27)</f>
        <v>#DIV/0!</v>
      </c>
    </row>
    <row r="23" spans="1:19" ht="15" thickBot="1" x14ac:dyDescent="0.45">
      <c r="A23" s="356" t="str">
        <f t="shared" si="5"/>
        <v>Other</v>
      </c>
      <c r="B23" s="398">
        <f>Takeoffs!K2118+E24</f>
        <v>0</v>
      </c>
      <c r="D23" s="457" t="s">
        <v>1342</v>
      </c>
      <c r="E23" s="449">
        <f>SUM('@Chiller'!C:C)</f>
        <v>0</v>
      </c>
      <c r="F23" s="359">
        <f>SUM('@Chiller'!D:D)</f>
        <v>0</v>
      </c>
      <c r="G23" s="367">
        <f t="shared" ref="G23:G24" si="9">F23*80+E23</f>
        <v>0</v>
      </c>
      <c r="I23" s="451"/>
      <c r="J23" s="451"/>
      <c r="K23" s="451"/>
      <c r="L23" s="451"/>
      <c r="M23" s="451"/>
      <c r="N23" s="451"/>
    </row>
    <row r="24" spans="1:19" ht="15" thickBot="1" x14ac:dyDescent="0.45">
      <c r="D24" s="457" t="s">
        <v>680</v>
      </c>
      <c r="E24" s="449">
        <f>SUM('@Other'!C:C)</f>
        <v>0</v>
      </c>
      <c r="F24" s="359">
        <f>SUM('@Other'!D:D)</f>
        <v>0</v>
      </c>
      <c r="G24" s="367">
        <f t="shared" si="9"/>
        <v>0</v>
      </c>
    </row>
    <row r="25" spans="1:19" ht="15" thickBot="1" x14ac:dyDescent="0.45">
      <c r="A25" s="466" t="s">
        <v>902</v>
      </c>
      <c r="B25" s="467">
        <f>B29+B33</f>
        <v>0</v>
      </c>
      <c r="D25" s="468" t="s">
        <v>891</v>
      </c>
      <c r="E25" s="469"/>
      <c r="F25" s="364">
        <f>E9-F19</f>
        <v>0</v>
      </c>
      <c r="G25" s="470"/>
    </row>
    <row r="27" spans="1:19" ht="15" thickBot="1" x14ac:dyDescent="0.45">
      <c r="A27" s="385" t="s">
        <v>920</v>
      </c>
      <c r="B27" s="386">
        <f>SUM(B28:B29)</f>
        <v>0</v>
      </c>
      <c r="C27" s="292"/>
      <c r="D27" s="385" t="s">
        <v>1368</v>
      </c>
      <c r="E27" s="385"/>
      <c r="F27" s="385"/>
      <c r="G27" s="385"/>
    </row>
    <row r="28" spans="1:19" x14ac:dyDescent="0.4">
      <c r="A28" s="393" t="s">
        <v>911</v>
      </c>
      <c r="B28" s="394">
        <f>'@Car Park'!I7*F9+E13*F13</f>
        <v>0</v>
      </c>
      <c r="D28" s="393" t="s">
        <v>1369</v>
      </c>
      <c r="E28" s="514">
        <f>ROUNDUP(E9/8,0)</f>
        <v>0</v>
      </c>
      <c r="F28" s="393" t="s">
        <v>1371</v>
      </c>
      <c r="G28" s="514">
        <f>ROUNDUP(E28/E29,0)</f>
        <v>0</v>
      </c>
    </row>
    <row r="29" spans="1:19" ht="15" thickBot="1" x14ac:dyDescent="0.45">
      <c r="A29" s="356" t="s">
        <v>910</v>
      </c>
      <c r="B29" s="392">
        <f>'@Car Park'!E3</f>
        <v>0</v>
      </c>
      <c r="D29" s="363" t="s">
        <v>1370</v>
      </c>
      <c r="E29" s="520">
        <v>2</v>
      </c>
      <c r="F29" s="356" t="s">
        <v>1377</v>
      </c>
      <c r="G29" s="515">
        <f>ROUNDUP(G28*(3/5),0)</f>
        <v>0</v>
      </c>
    </row>
    <row r="30" spans="1:19" x14ac:dyDescent="0.4">
      <c r="D30" s="393" t="s">
        <v>793</v>
      </c>
      <c r="E30" s="521">
        <v>1.5</v>
      </c>
      <c r="F30" s="355" t="s">
        <v>1376</v>
      </c>
      <c r="G30" s="519">
        <v>110</v>
      </c>
    </row>
    <row r="31" spans="1:19" ht="15" thickBot="1" x14ac:dyDescent="0.45">
      <c r="A31" s="354" t="s">
        <v>803</v>
      </c>
      <c r="B31" s="390">
        <f>SUM(B32:B33)</f>
        <v>0</v>
      </c>
      <c r="D31" s="362" t="s">
        <v>1372</v>
      </c>
      <c r="E31" s="516">
        <v>70</v>
      </c>
      <c r="F31" s="356" t="s">
        <v>1378</v>
      </c>
      <c r="G31" s="517">
        <f>G30*G29</f>
        <v>0</v>
      </c>
    </row>
    <row r="32" spans="1:19" ht="15" thickBot="1" x14ac:dyDescent="0.45">
      <c r="A32" s="376" t="s">
        <v>901</v>
      </c>
      <c r="B32" s="391">
        <f>'@Car Park'!E82</f>
        <v>0</v>
      </c>
      <c r="D32" s="363" t="s">
        <v>794</v>
      </c>
      <c r="E32" s="517">
        <f>E30*E31*2*E28</f>
        <v>0</v>
      </c>
      <c r="F32" s="376" t="s">
        <v>811</v>
      </c>
      <c r="G32" s="518">
        <v>70</v>
      </c>
    </row>
    <row r="33" spans="1:7" ht="15" thickBot="1" x14ac:dyDescent="0.45">
      <c r="A33" s="356" t="s">
        <v>905</v>
      </c>
      <c r="B33" s="392">
        <f>'@Car Park'!I12</f>
        <v>0</v>
      </c>
      <c r="F33" s="356" t="s">
        <v>1379</v>
      </c>
      <c r="G33" s="517">
        <f>G32*G29</f>
        <v>0</v>
      </c>
    </row>
    <row r="35" spans="1:7" ht="15" thickBot="1" x14ac:dyDescent="0.45">
      <c r="A35" s="354" t="s">
        <v>921</v>
      </c>
      <c r="B35" s="390">
        <f>SUM(B36:B40)</f>
        <v>0</v>
      </c>
    </row>
    <row r="36" spans="1:7" x14ac:dyDescent="0.4">
      <c r="A36" s="376" t="s">
        <v>922</v>
      </c>
      <c r="B36" s="387">
        <f>IF(E36="Yes",G31,0)</f>
        <v>0</v>
      </c>
      <c r="C36" s="33" t="s">
        <v>1380</v>
      </c>
      <c r="D36" s="286" t="s">
        <v>1373</v>
      </c>
      <c r="E36" s="307" t="s">
        <v>886</v>
      </c>
    </row>
    <row r="37" spans="1:7" x14ac:dyDescent="0.4">
      <c r="A37" s="362" t="s">
        <v>923</v>
      </c>
      <c r="B37" s="388">
        <f>IF(E37="Yes",E32,0)</f>
        <v>0</v>
      </c>
      <c r="C37" s="33" t="s">
        <v>1380</v>
      </c>
      <c r="D37" s="286" t="s">
        <v>1374</v>
      </c>
      <c r="E37" s="307" t="s">
        <v>886</v>
      </c>
    </row>
    <row r="38" spans="1:7" x14ac:dyDescent="0.4">
      <c r="A38" s="362" t="s">
        <v>924</v>
      </c>
      <c r="B38" s="388">
        <v>0</v>
      </c>
    </row>
    <row r="39" spans="1:7" x14ac:dyDescent="0.4">
      <c r="A39" s="362" t="s">
        <v>811</v>
      </c>
      <c r="B39" s="388">
        <f>IF(E39="Yes",G33,0)</f>
        <v>0</v>
      </c>
      <c r="C39" s="33" t="s">
        <v>1380</v>
      </c>
      <c r="D39" s="286" t="s">
        <v>1375</v>
      </c>
      <c r="E39" s="307" t="s">
        <v>886</v>
      </c>
    </row>
    <row r="40" spans="1:7" ht="15" thickBot="1" x14ac:dyDescent="0.45">
      <c r="A40" s="363" t="s">
        <v>925</v>
      </c>
      <c r="B40" s="389">
        <v>0</v>
      </c>
    </row>
    <row r="42" spans="1:7" x14ac:dyDescent="0.4">
      <c r="A42" s="33" t="s">
        <v>1350</v>
      </c>
      <c r="B42" s="114" t="s">
        <v>1353</v>
      </c>
    </row>
    <row r="43" spans="1:7" x14ac:dyDescent="0.4">
      <c r="A43" s="114" t="s">
        <v>1351</v>
      </c>
      <c r="B43" s="114" t="s">
        <v>1352</v>
      </c>
    </row>
    <row r="46" spans="1:7" ht="19.3" x14ac:dyDescent="0.5">
      <c r="A46" s="547" t="str">
        <f>_xlfn.CONCAT("SUMMARY OF MECH/ELEC WORKS: ",E4)</f>
        <v>SUMMARY OF MECH/ELEC WORKS: [JOB NAME]</v>
      </c>
      <c r="B46" s="547"/>
      <c r="C46" s="547"/>
      <c r="D46" s="547"/>
      <c r="E46" s="547"/>
    </row>
    <row r="47" spans="1:7" x14ac:dyDescent="0.4">
      <c r="A47" s="420" t="s">
        <v>1346</v>
      </c>
      <c r="B47" s="305" t="str">
        <f>'@MSSB'!D1</f>
        <v>Hours</v>
      </c>
      <c r="C47" s="508" t="str">
        <f>'@MSSB'!E1</f>
        <v>Qty</v>
      </c>
      <c r="D47" s="288" t="s">
        <v>931</v>
      </c>
      <c r="E47" s="509" t="s">
        <v>929</v>
      </c>
    </row>
    <row r="48" spans="1:7" ht="15" thickBot="1" x14ac:dyDescent="0.45">
      <c r="A48" s="286" t="s">
        <v>1345</v>
      </c>
      <c r="B48" s="490">
        <f>B49+B72+B95+B119+B142+B165</f>
        <v>0</v>
      </c>
      <c r="C48" s="491"/>
      <c r="D48" s="288"/>
      <c r="E48" s="509"/>
    </row>
    <row r="49" spans="1:7" hidden="1" x14ac:dyDescent="0.4">
      <c r="A49" s="482" t="str">
        <f>IF(C49&gt;0, "MSSB TOTAL", "INVALID")</f>
        <v>INVALID</v>
      </c>
      <c r="B49" s="492">
        <f>SUM(B50:B70)</f>
        <v>0</v>
      </c>
      <c r="C49" s="493">
        <f>SUM(C50:C70)</f>
        <v>0</v>
      </c>
      <c r="D49" s="483"/>
      <c r="E49" s="510"/>
    </row>
    <row r="50" spans="1:7" hidden="1" x14ac:dyDescent="0.4">
      <c r="A50" s="484" t="str">
        <f t="shared" ref="A50:A115" si="10">IF(C50&gt;0, "", "INVALID")</f>
        <v>INVALID</v>
      </c>
      <c r="B50" s="494">
        <f>'@MSSB'!D2</f>
        <v>0</v>
      </c>
      <c r="C50" s="495">
        <f>'@MSSB'!E2</f>
        <v>0</v>
      </c>
      <c r="D50" s="485" t="str">
        <f>'@MSSB'!Z2</f>
        <v>0 Pole MSSB</v>
      </c>
      <c r="E50" s="511"/>
    </row>
    <row r="51" spans="1:7" hidden="1" x14ac:dyDescent="0.4">
      <c r="A51" s="484" t="str">
        <f t="shared" si="10"/>
        <v>INVALID</v>
      </c>
      <c r="B51" s="494">
        <f>'@MSSB'!D3</f>
        <v>0</v>
      </c>
      <c r="C51" s="495">
        <f>'@MSSB'!E3</f>
        <v>0</v>
      </c>
      <c r="D51" s="486" t="str">
        <f>'@MSSB'!Z3</f>
        <v>0 Pole MSSB</v>
      </c>
      <c r="E51" s="486"/>
      <c r="G51" s="114" t="s">
        <v>375</v>
      </c>
    </row>
    <row r="52" spans="1:7" hidden="1" x14ac:dyDescent="0.4">
      <c r="A52" s="484" t="str">
        <f t="shared" si="10"/>
        <v>INVALID</v>
      </c>
      <c r="B52" s="494">
        <f>'@MSSB'!D4</f>
        <v>0</v>
      </c>
      <c r="C52" s="495">
        <f>'@MSSB'!E4</f>
        <v>0</v>
      </c>
      <c r="D52" s="486" t="str">
        <f>'@MSSB'!Z4</f>
        <v>0 Pole MSSB</v>
      </c>
      <c r="E52" s="486"/>
    </row>
    <row r="53" spans="1:7" hidden="1" x14ac:dyDescent="0.4">
      <c r="A53" s="484" t="str">
        <f t="shared" si="10"/>
        <v>INVALID</v>
      </c>
      <c r="B53" s="494">
        <f>'@MSSB'!D5</f>
        <v>0</v>
      </c>
      <c r="C53" s="495">
        <f>'@MSSB'!E5</f>
        <v>0</v>
      </c>
      <c r="D53" s="486" t="str">
        <f>'@MSSB'!Z5</f>
        <v>0 Pole MSSB</v>
      </c>
      <c r="E53" s="486"/>
    </row>
    <row r="54" spans="1:7" hidden="1" x14ac:dyDescent="0.4">
      <c r="A54" s="484" t="str">
        <f t="shared" si="10"/>
        <v>INVALID</v>
      </c>
      <c r="B54" s="494">
        <f>'@MSSB'!D6</f>
        <v>0</v>
      </c>
      <c r="C54" s="495">
        <f>'@MSSB'!E6</f>
        <v>0</v>
      </c>
      <c r="D54" s="486" t="str">
        <f>'@MSSB'!Z6</f>
        <v>0 Pole MSSB</v>
      </c>
      <c r="E54" s="486"/>
    </row>
    <row r="55" spans="1:7" hidden="1" x14ac:dyDescent="0.4">
      <c r="A55" s="484" t="str">
        <f t="shared" si="10"/>
        <v>INVALID</v>
      </c>
      <c r="B55" s="494">
        <f>'@MSSB'!D7</f>
        <v>0</v>
      </c>
      <c r="C55" s="495">
        <f>'@MSSB'!E7</f>
        <v>0</v>
      </c>
      <c r="D55" s="486" t="str">
        <f>'@MSSB'!Z7</f>
        <v>0 Pole MSSB</v>
      </c>
      <c r="E55" s="486"/>
    </row>
    <row r="56" spans="1:7" hidden="1" x14ac:dyDescent="0.4">
      <c r="A56" s="484" t="str">
        <f t="shared" si="10"/>
        <v>INVALID</v>
      </c>
      <c r="B56" s="494">
        <f>'@MSSB'!D8</f>
        <v>0</v>
      </c>
      <c r="C56" s="495">
        <f>'@MSSB'!E8</f>
        <v>0</v>
      </c>
      <c r="D56" s="486" t="str">
        <f>'@MSSB'!Z8</f>
        <v>0 Pole MSSB</v>
      </c>
      <c r="E56" s="486"/>
    </row>
    <row r="57" spans="1:7" hidden="1" x14ac:dyDescent="0.4">
      <c r="A57" s="484" t="str">
        <f t="shared" si="10"/>
        <v>INVALID</v>
      </c>
      <c r="B57" s="494">
        <f>'@MSSB'!D9</f>
        <v>0</v>
      </c>
      <c r="C57" s="495">
        <f>'@MSSB'!E9</f>
        <v>0</v>
      </c>
      <c r="D57" s="486" t="str">
        <f>'@MSSB'!Z9</f>
        <v>0 Pole MSSB</v>
      </c>
      <c r="E57" s="486"/>
    </row>
    <row r="58" spans="1:7" hidden="1" x14ac:dyDescent="0.4">
      <c r="A58" s="484" t="str">
        <f t="shared" si="10"/>
        <v>INVALID</v>
      </c>
      <c r="B58" s="494">
        <f>'@MSSB'!D10</f>
        <v>0</v>
      </c>
      <c r="C58" s="495">
        <f>'@MSSB'!E10</f>
        <v>0</v>
      </c>
      <c r="D58" s="486" t="str">
        <f>'@MSSB'!Z10</f>
        <v>0 Pole MSSB</v>
      </c>
      <c r="E58" s="486"/>
    </row>
    <row r="59" spans="1:7" hidden="1" x14ac:dyDescent="0.4">
      <c r="A59" s="484" t="str">
        <f t="shared" si="10"/>
        <v>INVALID</v>
      </c>
      <c r="B59" s="494">
        <f>'@MSSB'!D11</f>
        <v>0</v>
      </c>
      <c r="C59" s="495">
        <f>'@MSSB'!E11</f>
        <v>0</v>
      </c>
      <c r="D59" s="486" t="str">
        <f>'@MSSB'!Z11</f>
        <v>0 Pole MSSB</v>
      </c>
      <c r="E59" s="486"/>
    </row>
    <row r="60" spans="1:7" hidden="1" x14ac:dyDescent="0.4">
      <c r="A60" s="484" t="str">
        <f t="shared" si="10"/>
        <v>INVALID</v>
      </c>
      <c r="B60" s="494">
        <f>'@MSSB'!D12</f>
        <v>0</v>
      </c>
      <c r="C60" s="495">
        <f>'@MSSB'!E12</f>
        <v>0</v>
      </c>
      <c r="D60" s="486" t="str">
        <f>'@MSSB'!Z12</f>
        <v>0 Pole MSSB</v>
      </c>
      <c r="E60" s="486"/>
    </row>
    <row r="61" spans="1:7" hidden="1" x14ac:dyDescent="0.4">
      <c r="A61" s="484" t="str">
        <f t="shared" si="10"/>
        <v>INVALID</v>
      </c>
      <c r="B61" s="494">
        <f>'@MSSB'!D13</f>
        <v>0</v>
      </c>
      <c r="C61" s="495">
        <f>'@MSSB'!E13</f>
        <v>0</v>
      </c>
      <c r="D61" s="486" t="str">
        <f>'@MSSB'!Z13</f>
        <v>0 Pole MSSB</v>
      </c>
      <c r="E61" s="486"/>
    </row>
    <row r="62" spans="1:7" hidden="1" x14ac:dyDescent="0.4">
      <c r="A62" s="484" t="str">
        <f t="shared" si="10"/>
        <v>INVALID</v>
      </c>
      <c r="B62" s="494">
        <f>'@MSSB'!D14</f>
        <v>0</v>
      </c>
      <c r="C62" s="495">
        <f>'@MSSB'!E14</f>
        <v>0</v>
      </c>
      <c r="D62" s="486" t="str">
        <f>'@MSSB'!Z14</f>
        <v>0 Pole MSSB</v>
      </c>
      <c r="E62" s="486"/>
    </row>
    <row r="63" spans="1:7" hidden="1" x14ac:dyDescent="0.4">
      <c r="A63" s="484" t="str">
        <f t="shared" si="10"/>
        <v>INVALID</v>
      </c>
      <c r="B63" s="494">
        <f>'@MSSB'!D15</f>
        <v>0</v>
      </c>
      <c r="C63" s="495">
        <f>'@MSSB'!E15</f>
        <v>0</v>
      </c>
      <c r="D63" s="486" t="str">
        <f>'@MSSB'!Z15</f>
        <v>0 Pole MSSB</v>
      </c>
      <c r="E63" s="486"/>
    </row>
    <row r="64" spans="1:7" hidden="1" x14ac:dyDescent="0.4">
      <c r="A64" s="484" t="str">
        <f t="shared" si="10"/>
        <v>INVALID</v>
      </c>
      <c r="B64" s="494">
        <f>'@MSSB'!D16</f>
        <v>0</v>
      </c>
      <c r="C64" s="495">
        <f>'@MSSB'!E16</f>
        <v>0</v>
      </c>
      <c r="D64" s="486" t="str">
        <f>'@MSSB'!Z16</f>
        <v>0 Pole MSSB</v>
      </c>
      <c r="E64" s="486"/>
    </row>
    <row r="65" spans="1:6" hidden="1" x14ac:dyDescent="0.4">
      <c r="A65" s="484" t="str">
        <f t="shared" si="10"/>
        <v>INVALID</v>
      </c>
      <c r="B65" s="494">
        <f>'@MSSB'!D17</f>
        <v>0</v>
      </c>
      <c r="C65" s="495">
        <f>'@MSSB'!E17</f>
        <v>0</v>
      </c>
      <c r="D65" s="486" t="str">
        <f>'@MSSB'!Z17</f>
        <v>0 Pole MSSB</v>
      </c>
      <c r="E65" s="486"/>
    </row>
    <row r="66" spans="1:6" hidden="1" x14ac:dyDescent="0.4">
      <c r="A66" s="484" t="str">
        <f t="shared" si="10"/>
        <v>INVALID</v>
      </c>
      <c r="B66" s="494">
        <f>'@MSSB'!D18</f>
        <v>0</v>
      </c>
      <c r="C66" s="495">
        <f>'@MSSB'!E18</f>
        <v>0</v>
      </c>
      <c r="D66" s="486" t="str">
        <f>'@MSSB'!Z18</f>
        <v>0 Pole MSSB</v>
      </c>
      <c r="E66" s="486"/>
    </row>
    <row r="67" spans="1:6" hidden="1" x14ac:dyDescent="0.4">
      <c r="A67" s="484" t="str">
        <f t="shared" si="10"/>
        <v>INVALID</v>
      </c>
      <c r="B67" s="494">
        <f>'@MSSB'!D19</f>
        <v>0</v>
      </c>
      <c r="C67" s="495">
        <f>'@MSSB'!E19</f>
        <v>0</v>
      </c>
      <c r="D67" s="486" t="str">
        <f>'@MSSB'!Z19</f>
        <v>0 Pole MSSB</v>
      </c>
      <c r="E67" s="486"/>
    </row>
    <row r="68" spans="1:6" hidden="1" x14ac:dyDescent="0.4">
      <c r="A68" s="484" t="str">
        <f t="shared" si="10"/>
        <v>INVALID</v>
      </c>
      <c r="B68" s="494">
        <f>'@MSSB'!D20</f>
        <v>0</v>
      </c>
      <c r="C68" s="495">
        <f>'@MSSB'!E20</f>
        <v>0</v>
      </c>
      <c r="D68" s="486" t="str">
        <f>'@MSSB'!Z20</f>
        <v>0 Pole MSSB</v>
      </c>
      <c r="E68" s="486"/>
    </row>
    <row r="69" spans="1:6" hidden="1" x14ac:dyDescent="0.4">
      <c r="A69" s="484" t="str">
        <f t="shared" si="10"/>
        <v>INVALID</v>
      </c>
      <c r="B69" s="494">
        <f>'@MSSB'!D21</f>
        <v>0</v>
      </c>
      <c r="C69" s="495">
        <f>'@MSSB'!E21</f>
        <v>0</v>
      </c>
      <c r="D69" s="486" t="str">
        <f>'@MSSB'!Z21</f>
        <v>0 Pole MSSB</v>
      </c>
      <c r="E69" s="486"/>
    </row>
    <row r="70" spans="1:6" ht="15" hidden="1" thickBot="1" x14ac:dyDescent="0.45">
      <c r="A70" s="487" t="str">
        <f t="shared" si="10"/>
        <v>INVALID</v>
      </c>
      <c r="B70" s="496">
        <f>'@MSSB'!D22</f>
        <v>0</v>
      </c>
      <c r="C70" s="497">
        <f>'@MSSB'!E22</f>
        <v>0</v>
      </c>
      <c r="D70" s="488" t="str">
        <f>'@MSSB'!Z22</f>
        <v>0 Pole MSSB</v>
      </c>
      <c r="E70" s="488"/>
    </row>
    <row r="71" spans="1:6" ht="15" hidden="1" thickBot="1" x14ac:dyDescent="0.45">
      <c r="A71" s="535" t="str">
        <f>IF(A72="INVALID","INVALID","")</f>
        <v>INVALID</v>
      </c>
      <c r="B71" s="536"/>
      <c r="C71" s="536"/>
      <c r="D71" s="536"/>
      <c r="E71" s="537"/>
      <c r="F71" s="513"/>
    </row>
    <row r="72" spans="1:6" hidden="1" x14ac:dyDescent="0.4">
      <c r="A72" s="482" t="str">
        <f>IF(C72&gt;0, "FAN TOTAL", "INVALID")</f>
        <v>INVALID</v>
      </c>
      <c r="B72" s="492">
        <f>SUM(B73:B93)</f>
        <v>0</v>
      </c>
      <c r="C72" s="493">
        <f>SUM(C73:C93)</f>
        <v>0</v>
      </c>
      <c r="D72" s="483"/>
      <c r="E72" s="510"/>
    </row>
    <row r="73" spans="1:6" hidden="1" x14ac:dyDescent="0.4">
      <c r="A73" s="484" t="str">
        <f t="shared" si="10"/>
        <v>INVALID</v>
      </c>
      <c r="B73" s="494">
        <f>'@Fan'!D2</f>
        <v>0</v>
      </c>
      <c r="C73" s="498">
        <f>'@Fan'!E2</f>
        <v>0</v>
      </c>
      <c r="D73" s="485">
        <f>'@Fan'!BP2</f>
        <v>0</v>
      </c>
      <c r="E73" s="511" t="s">
        <v>1363</v>
      </c>
    </row>
    <row r="74" spans="1:6" hidden="1" x14ac:dyDescent="0.4">
      <c r="A74" s="484" t="str">
        <f t="shared" si="10"/>
        <v>INVALID</v>
      </c>
      <c r="B74" s="494">
        <f>'@Fan'!D3</f>
        <v>0</v>
      </c>
      <c r="C74" s="498">
        <f>'@Fan'!E3</f>
        <v>0</v>
      </c>
      <c r="D74" s="485">
        <f>'@Fan'!BP3</f>
        <v>0</v>
      </c>
      <c r="E74" s="511" t="s">
        <v>1364</v>
      </c>
    </row>
    <row r="75" spans="1:6" hidden="1" x14ac:dyDescent="0.4">
      <c r="A75" s="484" t="str">
        <f t="shared" si="10"/>
        <v>INVALID</v>
      </c>
      <c r="B75" s="494">
        <f>'@Fan'!D4</f>
        <v>0</v>
      </c>
      <c r="C75" s="498">
        <f>'@Fan'!E4</f>
        <v>0</v>
      </c>
      <c r="D75" s="486">
        <f>'@Fan'!BP4</f>
        <v>0</v>
      </c>
      <c r="E75" s="486"/>
    </row>
    <row r="76" spans="1:6" hidden="1" x14ac:dyDescent="0.4">
      <c r="A76" s="484" t="str">
        <f t="shared" si="10"/>
        <v>INVALID</v>
      </c>
      <c r="B76" s="494">
        <f>'@Fan'!D5</f>
        <v>0</v>
      </c>
      <c r="C76" s="498">
        <f>'@Fan'!E5</f>
        <v>0</v>
      </c>
      <c r="D76" s="486">
        <f>'@Fan'!BP5</f>
        <v>0</v>
      </c>
      <c r="E76" s="486"/>
    </row>
    <row r="77" spans="1:6" hidden="1" x14ac:dyDescent="0.4">
      <c r="A77" s="484" t="str">
        <f t="shared" si="10"/>
        <v>INVALID</v>
      </c>
      <c r="B77" s="494">
        <f>'@Fan'!D6</f>
        <v>0</v>
      </c>
      <c r="C77" s="498">
        <f>'@Fan'!E6</f>
        <v>0</v>
      </c>
      <c r="D77" s="486">
        <f>'@Fan'!BP6</f>
        <v>0</v>
      </c>
      <c r="E77" s="486"/>
    </row>
    <row r="78" spans="1:6" hidden="1" x14ac:dyDescent="0.4">
      <c r="A78" s="484" t="str">
        <f t="shared" si="10"/>
        <v>INVALID</v>
      </c>
      <c r="B78" s="494">
        <f>'@Fan'!D7</f>
        <v>0</v>
      </c>
      <c r="C78" s="498">
        <f>'@Fan'!E7</f>
        <v>0</v>
      </c>
      <c r="D78" s="486">
        <f>'@Fan'!BP7</f>
        <v>0</v>
      </c>
      <c r="E78" s="486"/>
    </row>
    <row r="79" spans="1:6" hidden="1" x14ac:dyDescent="0.4">
      <c r="A79" s="484" t="str">
        <f t="shared" si="10"/>
        <v>INVALID</v>
      </c>
      <c r="B79" s="494">
        <f>'@Fan'!D8</f>
        <v>0</v>
      </c>
      <c r="C79" s="498">
        <f>'@Fan'!E8</f>
        <v>0</v>
      </c>
      <c r="D79" s="486">
        <f>'@Fan'!BP8</f>
        <v>0</v>
      </c>
      <c r="E79" s="486"/>
    </row>
    <row r="80" spans="1:6" hidden="1" x14ac:dyDescent="0.4">
      <c r="A80" s="484" t="str">
        <f t="shared" si="10"/>
        <v>INVALID</v>
      </c>
      <c r="B80" s="494">
        <f>'@Fan'!D9</f>
        <v>0</v>
      </c>
      <c r="C80" s="498">
        <f>'@Fan'!E9</f>
        <v>0</v>
      </c>
      <c r="D80" s="486">
        <f>'@Fan'!BP9</f>
        <v>0</v>
      </c>
      <c r="E80" s="486"/>
    </row>
    <row r="81" spans="1:6" hidden="1" x14ac:dyDescent="0.4">
      <c r="A81" s="484" t="str">
        <f t="shared" si="10"/>
        <v>INVALID</v>
      </c>
      <c r="B81" s="494">
        <f>'@Fan'!D10</f>
        <v>0</v>
      </c>
      <c r="C81" s="498">
        <f>'@Fan'!E10</f>
        <v>0</v>
      </c>
      <c r="D81" s="486">
        <f>'@Fan'!BP10</f>
        <v>0</v>
      </c>
      <c r="E81" s="486"/>
    </row>
    <row r="82" spans="1:6" hidden="1" x14ac:dyDescent="0.4">
      <c r="A82" s="484" t="str">
        <f t="shared" si="10"/>
        <v>INVALID</v>
      </c>
      <c r="B82" s="494">
        <f>'@Fan'!D11</f>
        <v>0</v>
      </c>
      <c r="C82" s="498">
        <f>'@Fan'!E11</f>
        <v>0</v>
      </c>
      <c r="D82" s="486">
        <f>'@Fan'!BP11</f>
        <v>0</v>
      </c>
      <c r="E82" s="486"/>
    </row>
    <row r="83" spans="1:6" hidden="1" x14ac:dyDescent="0.4">
      <c r="A83" s="484" t="str">
        <f t="shared" si="10"/>
        <v>INVALID</v>
      </c>
      <c r="B83" s="494">
        <f>'@Fan'!D12</f>
        <v>0</v>
      </c>
      <c r="C83" s="498">
        <f>'@Fan'!E12</f>
        <v>0</v>
      </c>
      <c r="D83" s="486">
        <f>'@Fan'!BP12</f>
        <v>0</v>
      </c>
      <c r="E83" s="486"/>
    </row>
    <row r="84" spans="1:6" hidden="1" x14ac:dyDescent="0.4">
      <c r="A84" s="484" t="str">
        <f t="shared" si="10"/>
        <v>INVALID</v>
      </c>
      <c r="B84" s="494">
        <f>'@Fan'!D13</f>
        <v>0</v>
      </c>
      <c r="C84" s="498">
        <f>'@Fan'!E13</f>
        <v>0</v>
      </c>
      <c r="D84" s="486">
        <f>'@Fan'!BP13</f>
        <v>0</v>
      </c>
      <c r="E84" s="486"/>
    </row>
    <row r="85" spans="1:6" hidden="1" x14ac:dyDescent="0.4">
      <c r="A85" s="484" t="str">
        <f t="shared" si="10"/>
        <v>INVALID</v>
      </c>
      <c r="B85" s="494">
        <f>'@Fan'!D14</f>
        <v>0</v>
      </c>
      <c r="C85" s="498">
        <f>'@Fan'!E14</f>
        <v>0</v>
      </c>
      <c r="D85" s="486">
        <f>'@Fan'!BP14</f>
        <v>0</v>
      </c>
      <c r="E85" s="486"/>
    </row>
    <row r="86" spans="1:6" hidden="1" x14ac:dyDescent="0.4">
      <c r="A86" s="484" t="str">
        <f t="shared" si="10"/>
        <v>INVALID</v>
      </c>
      <c r="B86" s="494">
        <f>'@Fan'!D15</f>
        <v>0</v>
      </c>
      <c r="C86" s="498">
        <f>'@Fan'!E15</f>
        <v>0</v>
      </c>
      <c r="D86" s="486">
        <f>'@Fan'!BP15</f>
        <v>0</v>
      </c>
      <c r="E86" s="486"/>
    </row>
    <row r="87" spans="1:6" hidden="1" x14ac:dyDescent="0.4">
      <c r="A87" s="484" t="str">
        <f t="shared" si="10"/>
        <v>INVALID</v>
      </c>
      <c r="B87" s="494">
        <f>'@Fan'!D16</f>
        <v>0</v>
      </c>
      <c r="C87" s="498">
        <f>'@Fan'!E16</f>
        <v>0</v>
      </c>
      <c r="D87" s="486">
        <f>'@Fan'!BP16</f>
        <v>0</v>
      </c>
      <c r="E87" s="486"/>
    </row>
    <row r="88" spans="1:6" hidden="1" x14ac:dyDescent="0.4">
      <c r="A88" s="484" t="str">
        <f t="shared" si="10"/>
        <v>INVALID</v>
      </c>
      <c r="B88" s="494">
        <f>'@Fan'!D17</f>
        <v>0</v>
      </c>
      <c r="C88" s="498">
        <f>'@Fan'!E17</f>
        <v>0</v>
      </c>
      <c r="D88" s="486">
        <f>'@Fan'!BP17</f>
        <v>0</v>
      </c>
      <c r="E88" s="486"/>
    </row>
    <row r="89" spans="1:6" hidden="1" x14ac:dyDescent="0.4">
      <c r="A89" s="484" t="str">
        <f t="shared" si="10"/>
        <v>INVALID</v>
      </c>
      <c r="B89" s="494">
        <f>'@Fan'!D18</f>
        <v>0</v>
      </c>
      <c r="C89" s="498">
        <f>'@Fan'!E18</f>
        <v>0</v>
      </c>
      <c r="D89" s="486">
        <f>'@Fan'!BP18</f>
        <v>0</v>
      </c>
      <c r="E89" s="486"/>
    </row>
    <row r="90" spans="1:6" hidden="1" x14ac:dyDescent="0.4">
      <c r="A90" s="484" t="str">
        <f t="shared" si="10"/>
        <v>INVALID</v>
      </c>
      <c r="B90" s="494">
        <f>'@Fan'!D19</f>
        <v>0</v>
      </c>
      <c r="C90" s="498">
        <f>'@Fan'!E19</f>
        <v>0</v>
      </c>
      <c r="D90" s="486">
        <f>'@Fan'!BP19</f>
        <v>0</v>
      </c>
      <c r="E90" s="486"/>
    </row>
    <row r="91" spans="1:6" hidden="1" x14ac:dyDescent="0.4">
      <c r="A91" s="484" t="str">
        <f t="shared" si="10"/>
        <v>INVALID</v>
      </c>
      <c r="B91" s="494">
        <f>'@Fan'!D20</f>
        <v>0</v>
      </c>
      <c r="C91" s="498">
        <f>'@Fan'!E20</f>
        <v>0</v>
      </c>
      <c r="D91" s="486">
        <f>'@Fan'!BP20</f>
        <v>0</v>
      </c>
      <c r="E91" s="486"/>
    </row>
    <row r="92" spans="1:6" hidden="1" x14ac:dyDescent="0.4">
      <c r="A92" s="484" t="str">
        <f t="shared" si="10"/>
        <v>INVALID</v>
      </c>
      <c r="B92" s="494">
        <f>'@Fan'!D21</f>
        <v>0</v>
      </c>
      <c r="C92" s="498">
        <f>'@Fan'!E21</f>
        <v>0</v>
      </c>
      <c r="D92" s="486">
        <f>'@Fan'!BP21</f>
        <v>0</v>
      </c>
      <c r="E92" s="486"/>
    </row>
    <row r="93" spans="1:6" ht="15" hidden="1" thickBot="1" x14ac:dyDescent="0.45">
      <c r="A93" s="487" t="str">
        <f t="shared" si="10"/>
        <v>INVALID</v>
      </c>
      <c r="B93" s="496">
        <f>'@Fan'!D22</f>
        <v>0</v>
      </c>
      <c r="C93" s="499">
        <f>'@Fan'!E22</f>
        <v>0</v>
      </c>
      <c r="D93" s="488">
        <f>'@Fan'!BP22</f>
        <v>0</v>
      </c>
      <c r="E93" s="488"/>
    </row>
    <row r="94" spans="1:6" ht="15" hidden="1" thickBot="1" x14ac:dyDescent="0.45">
      <c r="A94" s="535" t="str">
        <f>IF(A95="INVALID","INVALID","")</f>
        <v>INVALID</v>
      </c>
      <c r="B94" s="536"/>
      <c r="C94" s="536"/>
      <c r="D94" s="536"/>
      <c r="E94" s="537"/>
      <c r="F94" s="513"/>
    </row>
    <row r="95" spans="1:6" hidden="1" x14ac:dyDescent="0.4">
      <c r="A95" s="482" t="str">
        <f>IF(C95&gt;0, "VRF TOTAL", "INVALID")</f>
        <v>INVALID</v>
      </c>
      <c r="B95" s="492">
        <f>SUM(B96:B117)</f>
        <v>0</v>
      </c>
      <c r="C95" s="493">
        <f>SUM(C96:C117)</f>
        <v>0</v>
      </c>
      <c r="D95" s="489"/>
      <c r="E95" s="512"/>
    </row>
    <row r="96" spans="1:6" hidden="1" x14ac:dyDescent="0.4">
      <c r="A96" s="484" t="str">
        <f t="shared" si="10"/>
        <v>INVALID</v>
      </c>
      <c r="B96" s="494">
        <f>'@VRF'!D2</f>
        <v>0</v>
      </c>
      <c r="C96" s="498">
        <f>'@VRF'!E2</f>
        <v>0</v>
      </c>
      <c r="D96" s="485">
        <f>'@VRF'!BQ2</f>
        <v>0</v>
      </c>
      <c r="E96" s="511"/>
    </row>
    <row r="97" spans="1:5" hidden="1" x14ac:dyDescent="0.4">
      <c r="A97" s="484" t="str">
        <f t="shared" si="10"/>
        <v>INVALID</v>
      </c>
      <c r="B97" s="494">
        <f>'@VRF'!D3</f>
        <v>0</v>
      </c>
      <c r="C97" s="498">
        <f>'@VRF'!E3</f>
        <v>0</v>
      </c>
      <c r="D97" s="485">
        <f>'@VRF'!BQ3</f>
        <v>0</v>
      </c>
      <c r="E97" s="511"/>
    </row>
    <row r="98" spans="1:5" hidden="1" x14ac:dyDescent="0.4">
      <c r="A98" s="484" t="str">
        <f t="shared" si="10"/>
        <v>INVALID</v>
      </c>
      <c r="B98" s="494">
        <f>'@VRF'!D4</f>
        <v>0</v>
      </c>
      <c r="C98" s="498">
        <f>'@VRF'!E4</f>
        <v>0</v>
      </c>
      <c r="D98" s="485">
        <f>'@VRF'!BQ4</f>
        <v>0</v>
      </c>
      <c r="E98" s="511"/>
    </row>
    <row r="99" spans="1:5" hidden="1" x14ac:dyDescent="0.4">
      <c r="A99" s="484" t="str">
        <f t="shared" si="10"/>
        <v>INVALID</v>
      </c>
      <c r="B99" s="494">
        <f>'@VRF'!D5</f>
        <v>0</v>
      </c>
      <c r="C99" s="498">
        <f>'@VRF'!E5</f>
        <v>0</v>
      </c>
      <c r="D99" s="485">
        <f>'@VRF'!BQ5</f>
        <v>0</v>
      </c>
      <c r="E99" s="511"/>
    </row>
    <row r="100" spans="1:5" hidden="1" x14ac:dyDescent="0.4">
      <c r="A100" s="484" t="str">
        <f t="shared" si="10"/>
        <v>INVALID</v>
      </c>
      <c r="B100" s="494">
        <f>'@VRF'!D6</f>
        <v>0</v>
      </c>
      <c r="C100" s="498">
        <f>'@VRF'!E6</f>
        <v>0</v>
      </c>
      <c r="D100" s="486">
        <f>'@VRF'!BQ6</f>
        <v>0</v>
      </c>
      <c r="E100" s="486"/>
    </row>
    <row r="101" spans="1:5" hidden="1" x14ac:dyDescent="0.4">
      <c r="A101" s="484" t="str">
        <f t="shared" si="10"/>
        <v>INVALID</v>
      </c>
      <c r="B101" s="494">
        <f>'@VRF'!D7</f>
        <v>0</v>
      </c>
      <c r="C101" s="498">
        <f>'@VRF'!E7</f>
        <v>0</v>
      </c>
      <c r="D101" s="486">
        <f>'@VRF'!BQ7</f>
        <v>0</v>
      </c>
      <c r="E101" s="486"/>
    </row>
    <row r="102" spans="1:5" hidden="1" x14ac:dyDescent="0.4">
      <c r="A102" s="484" t="str">
        <f t="shared" si="10"/>
        <v>INVALID</v>
      </c>
      <c r="B102" s="494">
        <f>'@VRF'!D8</f>
        <v>0</v>
      </c>
      <c r="C102" s="498">
        <f>'@VRF'!E8</f>
        <v>0</v>
      </c>
      <c r="D102" s="486">
        <f>'@VRF'!BQ8</f>
        <v>0</v>
      </c>
      <c r="E102" s="486"/>
    </row>
    <row r="103" spans="1:5" hidden="1" x14ac:dyDescent="0.4">
      <c r="A103" s="484" t="str">
        <f t="shared" si="10"/>
        <v>INVALID</v>
      </c>
      <c r="B103" s="494">
        <f>'@VRF'!D9</f>
        <v>0</v>
      </c>
      <c r="C103" s="498">
        <f>'@VRF'!E9</f>
        <v>0</v>
      </c>
      <c r="D103" s="486">
        <f>'@VRF'!BQ9</f>
        <v>0</v>
      </c>
      <c r="E103" s="486"/>
    </row>
    <row r="104" spans="1:5" hidden="1" x14ac:dyDescent="0.4">
      <c r="A104" s="484" t="str">
        <f t="shared" si="10"/>
        <v>INVALID</v>
      </c>
      <c r="B104" s="494">
        <f>'@VRF'!D10</f>
        <v>0</v>
      </c>
      <c r="C104" s="498">
        <f>'@VRF'!E10</f>
        <v>0</v>
      </c>
      <c r="D104" s="486">
        <f>'@VRF'!BQ10</f>
        <v>0</v>
      </c>
      <c r="E104" s="486"/>
    </row>
    <row r="105" spans="1:5" hidden="1" x14ac:dyDescent="0.4">
      <c r="A105" s="484" t="str">
        <f t="shared" si="10"/>
        <v>INVALID</v>
      </c>
      <c r="B105" s="494">
        <f>'@VRF'!D11</f>
        <v>0</v>
      </c>
      <c r="C105" s="498">
        <f>'@VRF'!E11</f>
        <v>0</v>
      </c>
      <c r="D105" s="486">
        <f>'@VRF'!BQ11</f>
        <v>0</v>
      </c>
      <c r="E105" s="486"/>
    </row>
    <row r="106" spans="1:5" hidden="1" x14ac:dyDescent="0.4">
      <c r="A106" s="484" t="str">
        <f t="shared" si="10"/>
        <v>INVALID</v>
      </c>
      <c r="B106" s="494">
        <f>'@VRF'!D12</f>
        <v>0</v>
      </c>
      <c r="C106" s="498">
        <f>'@VRF'!E12</f>
        <v>0</v>
      </c>
      <c r="D106" s="486">
        <f>'@VRF'!BQ12</f>
        <v>0</v>
      </c>
      <c r="E106" s="486"/>
    </row>
    <row r="107" spans="1:5" hidden="1" x14ac:dyDescent="0.4">
      <c r="A107" s="484" t="str">
        <f t="shared" si="10"/>
        <v>INVALID</v>
      </c>
      <c r="B107" s="494">
        <f>'@VRF'!D13</f>
        <v>0</v>
      </c>
      <c r="C107" s="498">
        <f>'@VRF'!E13</f>
        <v>0</v>
      </c>
      <c r="D107" s="486">
        <f>'@VRF'!BQ13</f>
        <v>0</v>
      </c>
      <c r="E107" s="486"/>
    </row>
    <row r="108" spans="1:5" hidden="1" x14ac:dyDescent="0.4">
      <c r="A108" s="484" t="str">
        <f t="shared" si="10"/>
        <v>INVALID</v>
      </c>
      <c r="B108" s="494">
        <f>'@VRF'!D14</f>
        <v>0</v>
      </c>
      <c r="C108" s="498">
        <f>'@VRF'!E14</f>
        <v>0</v>
      </c>
      <c r="D108" s="486">
        <f>'@VRF'!BQ14</f>
        <v>0</v>
      </c>
      <c r="E108" s="486"/>
    </row>
    <row r="109" spans="1:5" hidden="1" x14ac:dyDescent="0.4">
      <c r="A109" s="484" t="str">
        <f t="shared" si="10"/>
        <v>INVALID</v>
      </c>
      <c r="B109" s="494">
        <f>'@VRF'!D15</f>
        <v>0</v>
      </c>
      <c r="C109" s="498">
        <f>'@VRF'!E15</f>
        <v>0</v>
      </c>
      <c r="D109" s="486">
        <f>'@VRF'!BQ15</f>
        <v>0</v>
      </c>
      <c r="E109" s="486"/>
    </row>
    <row r="110" spans="1:5" hidden="1" x14ac:dyDescent="0.4">
      <c r="A110" s="484" t="str">
        <f t="shared" si="10"/>
        <v>INVALID</v>
      </c>
      <c r="B110" s="494">
        <f>'@VRF'!D16</f>
        <v>0</v>
      </c>
      <c r="C110" s="498">
        <f>'@VRF'!E16</f>
        <v>0</v>
      </c>
      <c r="D110" s="486" t="str">
        <f>'@VRF'!BQ16</f>
        <v xml:space="preserve"> </v>
      </c>
      <c r="E110" s="486"/>
    </row>
    <row r="111" spans="1:5" hidden="1" x14ac:dyDescent="0.4">
      <c r="A111" s="484" t="str">
        <f t="shared" si="10"/>
        <v>INVALID</v>
      </c>
      <c r="B111" s="494">
        <f>'@VRF'!D17</f>
        <v>0</v>
      </c>
      <c r="C111" s="498">
        <f>'@VRF'!E17</f>
        <v>0</v>
      </c>
      <c r="D111" s="486" t="str">
        <f>'@VRF'!BQ17</f>
        <v xml:space="preserve"> </v>
      </c>
      <c r="E111" s="486"/>
    </row>
    <row r="112" spans="1:5" hidden="1" x14ac:dyDescent="0.4">
      <c r="A112" s="484" t="str">
        <f t="shared" si="10"/>
        <v>INVALID</v>
      </c>
      <c r="B112" s="494">
        <f>'@VRF'!D18</f>
        <v>0</v>
      </c>
      <c r="C112" s="498">
        <f>'@VRF'!E18</f>
        <v>0</v>
      </c>
      <c r="D112" s="486" t="str">
        <f>'@VRF'!BQ18</f>
        <v xml:space="preserve"> </v>
      </c>
      <c r="E112" s="486"/>
    </row>
    <row r="113" spans="1:6" hidden="1" x14ac:dyDescent="0.4">
      <c r="A113" s="484" t="str">
        <f t="shared" si="10"/>
        <v>INVALID</v>
      </c>
      <c r="B113" s="494">
        <f>'@VRF'!D19</f>
        <v>0</v>
      </c>
      <c r="C113" s="498">
        <f>'@VRF'!E19</f>
        <v>0</v>
      </c>
      <c r="D113" s="486" t="str">
        <f>'@VRF'!BQ19</f>
        <v xml:space="preserve"> </v>
      </c>
      <c r="E113" s="486"/>
    </row>
    <row r="114" spans="1:6" hidden="1" x14ac:dyDescent="0.4">
      <c r="A114" s="484" t="str">
        <f t="shared" si="10"/>
        <v>INVALID</v>
      </c>
      <c r="B114" s="494">
        <f>'@VRF'!D20</f>
        <v>0</v>
      </c>
      <c r="C114" s="498">
        <f>'@VRF'!E20</f>
        <v>0</v>
      </c>
      <c r="D114" s="486" t="str">
        <f>'@VRF'!BQ20</f>
        <v xml:space="preserve"> </v>
      </c>
      <c r="E114" s="486"/>
    </row>
    <row r="115" spans="1:6" hidden="1" x14ac:dyDescent="0.4">
      <c r="A115" s="484" t="str">
        <f t="shared" si="10"/>
        <v>INVALID</v>
      </c>
      <c r="B115" s="494">
        <f>'@VRF'!D21</f>
        <v>0</v>
      </c>
      <c r="C115" s="498">
        <f>'@VRF'!E21</f>
        <v>0</v>
      </c>
      <c r="D115" s="486" t="str">
        <f>'@VRF'!BQ21</f>
        <v xml:space="preserve"> </v>
      </c>
      <c r="E115" s="486"/>
    </row>
    <row r="116" spans="1:6" hidden="1" x14ac:dyDescent="0.4">
      <c r="A116" s="484" t="str">
        <f t="shared" ref="A116:A168" si="11">IF(C116&gt;0, "", "INVALID")</f>
        <v>INVALID</v>
      </c>
      <c r="B116" s="494">
        <f>'@VRF'!D22</f>
        <v>0</v>
      </c>
      <c r="C116" s="498">
        <f>'@VRF'!E22</f>
        <v>0</v>
      </c>
      <c r="D116" s="486" t="str">
        <f>'@VRF'!BQ22</f>
        <v xml:space="preserve"> </v>
      </c>
      <c r="E116" s="486"/>
    </row>
    <row r="117" spans="1:6" ht="15" hidden="1" thickBot="1" x14ac:dyDescent="0.45">
      <c r="A117" s="487" t="str">
        <f t="shared" si="11"/>
        <v>INVALID</v>
      </c>
      <c r="B117" s="496">
        <f>'@VRF'!D23</f>
        <v>0</v>
      </c>
      <c r="C117" s="499">
        <f>'@VRF'!E23</f>
        <v>0</v>
      </c>
      <c r="D117" s="488" t="str">
        <f>'@VRF'!BQ23</f>
        <v/>
      </c>
      <c r="E117" s="488"/>
    </row>
    <row r="118" spans="1:6" ht="15" hidden="1" thickBot="1" x14ac:dyDescent="0.45">
      <c r="A118" s="535" t="str">
        <f>IF(A119="INVALID","INVALID","")</f>
        <v>INVALID</v>
      </c>
      <c r="B118" s="536"/>
      <c r="C118" s="536"/>
      <c r="D118" s="536"/>
      <c r="E118" s="537"/>
      <c r="F118" s="513"/>
    </row>
    <row r="119" spans="1:6" hidden="1" x14ac:dyDescent="0.4">
      <c r="A119" s="482" t="str">
        <f>IF(C119&gt;0, "CHILLER TOTAL", "INVALID")</f>
        <v>INVALID</v>
      </c>
      <c r="B119" s="492">
        <f>SUM(B120:B140)</f>
        <v>0</v>
      </c>
      <c r="C119" s="493">
        <f>SUM(C120:C140)</f>
        <v>0</v>
      </c>
      <c r="D119" s="489"/>
      <c r="E119" s="489"/>
    </row>
    <row r="120" spans="1:6" hidden="1" x14ac:dyDescent="0.4">
      <c r="A120" s="484" t="str">
        <f t="shared" si="11"/>
        <v>INVALID</v>
      </c>
      <c r="B120" s="494">
        <f>'@Chiller'!D2</f>
        <v>0</v>
      </c>
      <c r="C120" s="498">
        <f>'@Chiller'!E2</f>
        <v>0</v>
      </c>
      <c r="D120" s="486" t="e">
        <f>'@Chiller'!AS2</f>
        <v>#N/A</v>
      </c>
      <c r="E120" s="486"/>
    </row>
    <row r="121" spans="1:6" hidden="1" x14ac:dyDescent="0.4">
      <c r="A121" s="484" t="str">
        <f t="shared" si="11"/>
        <v>INVALID</v>
      </c>
      <c r="B121" s="494">
        <f>'@Chiller'!D3</f>
        <v>0</v>
      </c>
      <c r="C121" s="498">
        <f>'@Chiller'!E3</f>
        <v>0</v>
      </c>
      <c r="D121" s="486" t="e">
        <f>'@Chiller'!AS3</f>
        <v>#N/A</v>
      </c>
      <c r="E121" s="486"/>
    </row>
    <row r="122" spans="1:6" hidden="1" x14ac:dyDescent="0.4">
      <c r="A122" s="484" t="str">
        <f t="shared" si="11"/>
        <v>INVALID</v>
      </c>
      <c r="B122" s="494">
        <f>'@Chiller'!D4</f>
        <v>0</v>
      </c>
      <c r="C122" s="498">
        <f>'@Chiller'!E4</f>
        <v>0</v>
      </c>
      <c r="D122" s="486" t="e">
        <f>'@Chiller'!AS4</f>
        <v>#N/A</v>
      </c>
      <c r="E122" s="486"/>
    </row>
    <row r="123" spans="1:6" hidden="1" x14ac:dyDescent="0.4">
      <c r="A123" s="484" t="str">
        <f t="shared" si="11"/>
        <v>INVALID</v>
      </c>
      <c r="B123" s="494">
        <f>'@Chiller'!D5</f>
        <v>0</v>
      </c>
      <c r="C123" s="498">
        <f>'@Chiller'!E5</f>
        <v>0</v>
      </c>
      <c r="D123" s="486" t="e">
        <f>'@Chiller'!AS5</f>
        <v>#N/A</v>
      </c>
      <c r="E123" s="486"/>
    </row>
    <row r="124" spans="1:6" hidden="1" x14ac:dyDescent="0.4">
      <c r="A124" s="484" t="str">
        <f t="shared" si="11"/>
        <v>INVALID</v>
      </c>
      <c r="B124" s="494">
        <f>'@Chiller'!D6</f>
        <v>0</v>
      </c>
      <c r="C124" s="498">
        <f>'@Chiller'!E6</f>
        <v>0</v>
      </c>
      <c r="D124" s="486" t="e">
        <f>'@Chiller'!AS6</f>
        <v>#N/A</v>
      </c>
      <c r="E124" s="486"/>
    </row>
    <row r="125" spans="1:6" hidden="1" x14ac:dyDescent="0.4">
      <c r="A125" s="484" t="str">
        <f t="shared" si="11"/>
        <v>INVALID</v>
      </c>
      <c r="B125" s="494">
        <f>'@Chiller'!D7</f>
        <v>0</v>
      </c>
      <c r="C125" s="498">
        <f>'@Chiller'!E7</f>
        <v>0</v>
      </c>
      <c r="D125" s="486" t="e">
        <f>'@Chiller'!AS7</f>
        <v>#N/A</v>
      </c>
      <c r="E125" s="486"/>
    </row>
    <row r="126" spans="1:6" hidden="1" x14ac:dyDescent="0.4">
      <c r="A126" s="484" t="str">
        <f t="shared" si="11"/>
        <v>INVALID</v>
      </c>
      <c r="B126" s="494">
        <f>'@Chiller'!D8</f>
        <v>0</v>
      </c>
      <c r="C126" s="498">
        <f>'@Chiller'!E8</f>
        <v>0</v>
      </c>
      <c r="D126" s="486" t="e">
        <f>'@Chiller'!AS8</f>
        <v>#N/A</v>
      </c>
      <c r="E126" s="486"/>
    </row>
    <row r="127" spans="1:6" hidden="1" x14ac:dyDescent="0.4">
      <c r="A127" s="484" t="str">
        <f t="shared" si="11"/>
        <v>INVALID</v>
      </c>
      <c r="B127" s="494">
        <f>'@Chiller'!D9</f>
        <v>0</v>
      </c>
      <c r="C127" s="498">
        <f>'@Chiller'!E9</f>
        <v>0</v>
      </c>
      <c r="D127" s="486" t="e">
        <f>'@Chiller'!AS9</f>
        <v>#N/A</v>
      </c>
      <c r="E127" s="486"/>
    </row>
    <row r="128" spans="1:6" hidden="1" x14ac:dyDescent="0.4">
      <c r="A128" s="484" t="str">
        <f t="shared" si="11"/>
        <v>INVALID</v>
      </c>
      <c r="B128" s="494">
        <f>'@Chiller'!D10</f>
        <v>0</v>
      </c>
      <c r="C128" s="498">
        <f>'@Chiller'!E10</f>
        <v>0</v>
      </c>
      <c r="D128" s="486" t="e">
        <f>'@Chiller'!AS10</f>
        <v>#N/A</v>
      </c>
      <c r="E128" s="486"/>
    </row>
    <row r="129" spans="1:6" hidden="1" x14ac:dyDescent="0.4">
      <c r="A129" s="484" t="str">
        <f t="shared" si="11"/>
        <v>INVALID</v>
      </c>
      <c r="B129" s="494">
        <f>'@Chiller'!D11</f>
        <v>0</v>
      </c>
      <c r="C129" s="498">
        <f>'@Chiller'!E11</f>
        <v>0</v>
      </c>
      <c r="D129" s="486" t="e">
        <f>'@Chiller'!AS11</f>
        <v>#N/A</v>
      </c>
      <c r="E129" s="486"/>
    </row>
    <row r="130" spans="1:6" hidden="1" x14ac:dyDescent="0.4">
      <c r="A130" s="484" t="str">
        <f t="shared" si="11"/>
        <v>INVALID</v>
      </c>
      <c r="B130" s="494">
        <f>'@Chiller'!D12</f>
        <v>0</v>
      </c>
      <c r="C130" s="498">
        <f>'@Chiller'!E12</f>
        <v>0</v>
      </c>
      <c r="D130" s="486" t="e">
        <f>'@Chiller'!AS12</f>
        <v>#N/A</v>
      </c>
      <c r="E130" s="486"/>
    </row>
    <row r="131" spans="1:6" hidden="1" x14ac:dyDescent="0.4">
      <c r="A131" s="484" t="str">
        <f t="shared" si="11"/>
        <v>INVALID</v>
      </c>
      <c r="B131" s="494">
        <f>'@Chiller'!D13</f>
        <v>0</v>
      </c>
      <c r="C131" s="498">
        <f>'@Chiller'!E13</f>
        <v>0</v>
      </c>
      <c r="D131" s="486" t="e">
        <f>'@Chiller'!AS13</f>
        <v>#N/A</v>
      </c>
      <c r="E131" s="486"/>
    </row>
    <row r="132" spans="1:6" hidden="1" x14ac:dyDescent="0.4">
      <c r="A132" s="484" t="str">
        <f t="shared" si="11"/>
        <v>INVALID</v>
      </c>
      <c r="B132" s="494">
        <f>'@Chiller'!D14</f>
        <v>0</v>
      </c>
      <c r="C132" s="498">
        <f>'@Chiller'!E14</f>
        <v>0</v>
      </c>
      <c r="D132" s="486" t="e">
        <f>'@Chiller'!AS14</f>
        <v>#N/A</v>
      </c>
      <c r="E132" s="486"/>
    </row>
    <row r="133" spans="1:6" hidden="1" x14ac:dyDescent="0.4">
      <c r="A133" s="484" t="str">
        <f t="shared" si="11"/>
        <v>INVALID</v>
      </c>
      <c r="B133" s="494">
        <f>'@Chiller'!D15</f>
        <v>0</v>
      </c>
      <c r="C133" s="498">
        <f>'@Chiller'!E15</f>
        <v>0</v>
      </c>
      <c r="D133" s="486" t="e">
        <f>'@Chiller'!AS15</f>
        <v>#N/A</v>
      </c>
      <c r="E133" s="486"/>
    </row>
    <row r="134" spans="1:6" hidden="1" x14ac:dyDescent="0.4">
      <c r="A134" s="484" t="str">
        <f t="shared" si="11"/>
        <v>INVALID</v>
      </c>
      <c r="B134" s="494">
        <f>'@Chiller'!D16</f>
        <v>0</v>
      </c>
      <c r="C134" s="498">
        <f>'@Chiller'!E16</f>
        <v>0</v>
      </c>
      <c r="D134" s="486" t="e">
        <f>'@Chiller'!AS16</f>
        <v>#N/A</v>
      </c>
      <c r="E134" s="486"/>
    </row>
    <row r="135" spans="1:6" hidden="1" x14ac:dyDescent="0.4">
      <c r="A135" s="484" t="str">
        <f t="shared" si="11"/>
        <v>INVALID</v>
      </c>
      <c r="B135" s="494">
        <f>'@Chiller'!D17</f>
        <v>0</v>
      </c>
      <c r="C135" s="498">
        <f>'@Chiller'!E17</f>
        <v>0</v>
      </c>
      <c r="D135" s="486" t="e">
        <f>'@Chiller'!AS17</f>
        <v>#N/A</v>
      </c>
      <c r="E135" s="486"/>
    </row>
    <row r="136" spans="1:6" hidden="1" x14ac:dyDescent="0.4">
      <c r="A136" s="484" t="str">
        <f t="shared" si="11"/>
        <v>INVALID</v>
      </c>
      <c r="B136" s="494">
        <f>'@Chiller'!D18</f>
        <v>0</v>
      </c>
      <c r="C136" s="498">
        <f>'@Chiller'!E18</f>
        <v>0</v>
      </c>
      <c r="D136" s="486" t="e">
        <f>'@Chiller'!AS18</f>
        <v>#N/A</v>
      </c>
      <c r="E136" s="486"/>
    </row>
    <row r="137" spans="1:6" hidden="1" x14ac:dyDescent="0.4">
      <c r="A137" s="484" t="str">
        <f t="shared" si="11"/>
        <v>INVALID</v>
      </c>
      <c r="B137" s="494">
        <f>'@Chiller'!D19</f>
        <v>0</v>
      </c>
      <c r="C137" s="498">
        <f>'@Chiller'!E19</f>
        <v>0</v>
      </c>
      <c r="D137" s="486" t="e">
        <f>'@Chiller'!AS19</f>
        <v>#N/A</v>
      </c>
      <c r="E137" s="486"/>
    </row>
    <row r="138" spans="1:6" hidden="1" x14ac:dyDescent="0.4">
      <c r="A138" s="484" t="str">
        <f t="shared" si="11"/>
        <v>INVALID</v>
      </c>
      <c r="B138" s="494">
        <f>'@Chiller'!D20</f>
        <v>0</v>
      </c>
      <c r="C138" s="498">
        <f>'@Chiller'!E20</f>
        <v>0</v>
      </c>
      <c r="D138" s="486" t="e">
        <f>'@Chiller'!AS20</f>
        <v>#N/A</v>
      </c>
      <c r="E138" s="486"/>
    </row>
    <row r="139" spans="1:6" hidden="1" x14ac:dyDescent="0.4">
      <c r="A139" s="484" t="str">
        <f t="shared" si="11"/>
        <v>INVALID</v>
      </c>
      <c r="B139" s="494">
        <f>'@Chiller'!D21</f>
        <v>0</v>
      </c>
      <c r="C139" s="498">
        <f>'@Chiller'!E21</f>
        <v>0</v>
      </c>
      <c r="D139" s="486" t="e">
        <f>'@Chiller'!AS21</f>
        <v>#N/A</v>
      </c>
      <c r="E139" s="486"/>
    </row>
    <row r="140" spans="1:6" ht="15" hidden="1" thickBot="1" x14ac:dyDescent="0.45">
      <c r="A140" s="487" t="str">
        <f t="shared" si="11"/>
        <v>INVALID</v>
      </c>
      <c r="B140" s="496">
        <f>'@Chiller'!D22</f>
        <v>0</v>
      </c>
      <c r="C140" s="499">
        <f>'@Chiller'!E22</f>
        <v>0</v>
      </c>
      <c r="D140" s="488" t="e">
        <f>'@Chiller'!AS22</f>
        <v>#N/A</v>
      </c>
      <c r="E140" s="488"/>
    </row>
    <row r="141" spans="1:6" ht="15" hidden="1" thickBot="1" x14ac:dyDescent="0.45">
      <c r="A141" s="535" t="str">
        <f>IF(A142="INVALID","INVALID","")</f>
        <v>INVALID</v>
      </c>
      <c r="B141" s="536"/>
      <c r="C141" s="536"/>
      <c r="D141" s="536"/>
      <c r="E141" s="537"/>
      <c r="F141" s="513"/>
    </row>
    <row r="142" spans="1:6" hidden="1" x14ac:dyDescent="0.4">
      <c r="A142" s="482" t="str">
        <f>IF(C142&gt;0, "OTHER TOTAL", "INVALID")</f>
        <v>INVALID</v>
      </c>
      <c r="B142" s="492">
        <f>SUM(B143:B163)</f>
        <v>0</v>
      </c>
      <c r="C142" s="493">
        <f>SUM(C143:C163)</f>
        <v>0</v>
      </c>
      <c r="D142" s="489"/>
      <c r="E142" s="489"/>
    </row>
    <row r="143" spans="1:6" hidden="1" x14ac:dyDescent="0.4">
      <c r="A143" s="484" t="str">
        <f t="shared" si="11"/>
        <v>INVALID</v>
      </c>
      <c r="B143" s="494">
        <f>'@Other'!D2</f>
        <v>0</v>
      </c>
      <c r="C143" s="498">
        <f>'@Other'!E2</f>
        <v>0</v>
      </c>
      <c r="D143" s="486" t="str">
        <f>'@Other'!AE2</f>
        <v xml:space="preserve">FALSE with: </v>
      </c>
      <c r="E143" s="486"/>
    </row>
    <row r="144" spans="1:6" hidden="1" x14ac:dyDescent="0.4">
      <c r="A144" s="484" t="str">
        <f t="shared" si="11"/>
        <v>INVALID</v>
      </c>
      <c r="B144" s="494">
        <f>'@Other'!D3</f>
        <v>0</v>
      </c>
      <c r="C144" s="498">
        <f>'@Other'!E3</f>
        <v>0</v>
      </c>
      <c r="D144" s="486" t="str">
        <f>'@Other'!AE3</f>
        <v xml:space="preserve">FALSE with: </v>
      </c>
      <c r="E144" s="486"/>
    </row>
    <row r="145" spans="1:5" hidden="1" x14ac:dyDescent="0.4">
      <c r="A145" s="484" t="str">
        <f t="shared" si="11"/>
        <v>INVALID</v>
      </c>
      <c r="B145" s="494">
        <f>'@Other'!D4</f>
        <v>0</v>
      </c>
      <c r="C145" s="498">
        <f>'@Other'!E4</f>
        <v>0</v>
      </c>
      <c r="D145" s="486" t="str">
        <f>'@Other'!AE4</f>
        <v xml:space="preserve">FALSE with: </v>
      </c>
      <c r="E145" s="486"/>
    </row>
    <row r="146" spans="1:5" hidden="1" x14ac:dyDescent="0.4">
      <c r="A146" s="484" t="str">
        <f t="shared" si="11"/>
        <v>INVALID</v>
      </c>
      <c r="B146" s="494">
        <f>'@Other'!D5</f>
        <v>0</v>
      </c>
      <c r="C146" s="498">
        <f>'@Other'!E5</f>
        <v>0</v>
      </c>
      <c r="D146" s="486" t="str">
        <f>'@Other'!AE5</f>
        <v xml:space="preserve">FALSE with: </v>
      </c>
      <c r="E146" s="486"/>
    </row>
    <row r="147" spans="1:5" hidden="1" x14ac:dyDescent="0.4">
      <c r="A147" s="484" t="str">
        <f t="shared" si="11"/>
        <v>INVALID</v>
      </c>
      <c r="B147" s="494">
        <f>'@Other'!D6</f>
        <v>0</v>
      </c>
      <c r="C147" s="498">
        <f>'@Other'!E6</f>
        <v>0</v>
      </c>
      <c r="D147" s="486" t="str">
        <f>'@Other'!AE6</f>
        <v xml:space="preserve">FALSE with: </v>
      </c>
      <c r="E147" s="486"/>
    </row>
    <row r="148" spans="1:5" hidden="1" x14ac:dyDescent="0.4">
      <c r="A148" s="484" t="str">
        <f t="shared" si="11"/>
        <v>INVALID</v>
      </c>
      <c r="B148" s="494">
        <f>'@Other'!D7</f>
        <v>0</v>
      </c>
      <c r="C148" s="498">
        <f>'@Other'!E7</f>
        <v>0</v>
      </c>
      <c r="D148" s="486" t="str">
        <f>'@Other'!AE7</f>
        <v xml:space="preserve">FALSE with: </v>
      </c>
      <c r="E148" s="486"/>
    </row>
    <row r="149" spans="1:5" hidden="1" x14ac:dyDescent="0.4">
      <c r="A149" s="484" t="str">
        <f t="shared" si="11"/>
        <v>INVALID</v>
      </c>
      <c r="B149" s="494">
        <f>'@Other'!D8</f>
        <v>0</v>
      </c>
      <c r="C149" s="498">
        <f>'@Other'!E8</f>
        <v>0</v>
      </c>
      <c r="D149" s="486" t="str">
        <f>'@Other'!AE8</f>
        <v xml:space="preserve">FALSE with: </v>
      </c>
      <c r="E149" s="486"/>
    </row>
    <row r="150" spans="1:5" hidden="1" x14ac:dyDescent="0.4">
      <c r="A150" s="484" t="str">
        <f t="shared" si="11"/>
        <v>INVALID</v>
      </c>
      <c r="B150" s="494">
        <f>'@Other'!D9</f>
        <v>0</v>
      </c>
      <c r="C150" s="498">
        <f>'@Other'!E9</f>
        <v>0</v>
      </c>
      <c r="D150" s="486" t="str">
        <f>'@Other'!AE9</f>
        <v xml:space="preserve">FALSE with: </v>
      </c>
      <c r="E150" s="486"/>
    </row>
    <row r="151" spans="1:5" hidden="1" x14ac:dyDescent="0.4">
      <c r="A151" s="484" t="str">
        <f t="shared" si="11"/>
        <v>INVALID</v>
      </c>
      <c r="B151" s="494">
        <f>'@Other'!D10</f>
        <v>0</v>
      </c>
      <c r="C151" s="498">
        <f>'@Other'!E10</f>
        <v>0</v>
      </c>
      <c r="D151" s="486" t="str">
        <f>'@Other'!AE10</f>
        <v xml:space="preserve">FALSE with: </v>
      </c>
      <c r="E151" s="486"/>
    </row>
    <row r="152" spans="1:5" hidden="1" x14ac:dyDescent="0.4">
      <c r="A152" s="484" t="str">
        <f t="shared" si="11"/>
        <v>INVALID</v>
      </c>
      <c r="B152" s="494">
        <f>'@Other'!D11</f>
        <v>0</v>
      </c>
      <c r="C152" s="498">
        <f>'@Other'!E11</f>
        <v>0</v>
      </c>
      <c r="D152" s="486" t="str">
        <f>'@Other'!AE11</f>
        <v xml:space="preserve">FALSE with: </v>
      </c>
      <c r="E152" s="486"/>
    </row>
    <row r="153" spans="1:5" hidden="1" x14ac:dyDescent="0.4">
      <c r="A153" s="484" t="str">
        <f t="shared" si="11"/>
        <v>INVALID</v>
      </c>
      <c r="B153" s="494">
        <f>'@Other'!D12</f>
        <v>0</v>
      </c>
      <c r="C153" s="498">
        <f>'@Other'!E12</f>
        <v>0</v>
      </c>
      <c r="D153" s="486" t="str">
        <f>'@Other'!AE12</f>
        <v xml:space="preserve">FALSE with: </v>
      </c>
      <c r="E153" s="486"/>
    </row>
    <row r="154" spans="1:5" hidden="1" x14ac:dyDescent="0.4">
      <c r="A154" s="484" t="str">
        <f t="shared" si="11"/>
        <v>INVALID</v>
      </c>
      <c r="B154" s="494">
        <f>'@Other'!D13</f>
        <v>0</v>
      </c>
      <c r="C154" s="498">
        <f>'@Other'!E13</f>
        <v>0</v>
      </c>
      <c r="D154" s="486" t="str">
        <f>'@Other'!AE13</f>
        <v xml:space="preserve">FALSE with: </v>
      </c>
      <c r="E154" s="486"/>
    </row>
    <row r="155" spans="1:5" hidden="1" x14ac:dyDescent="0.4">
      <c r="A155" s="484" t="str">
        <f t="shared" si="11"/>
        <v>INVALID</v>
      </c>
      <c r="B155" s="494">
        <f>'@Other'!D14</f>
        <v>0</v>
      </c>
      <c r="C155" s="498">
        <f>'@Other'!E14</f>
        <v>0</v>
      </c>
      <c r="D155" s="486" t="str">
        <f>'@Other'!AE14</f>
        <v xml:space="preserve">FALSE with: </v>
      </c>
      <c r="E155" s="486"/>
    </row>
    <row r="156" spans="1:5" hidden="1" x14ac:dyDescent="0.4">
      <c r="A156" s="484" t="str">
        <f t="shared" si="11"/>
        <v>INVALID</v>
      </c>
      <c r="B156" s="494">
        <f>'@Other'!D15</f>
        <v>0</v>
      </c>
      <c r="C156" s="498">
        <f>'@Other'!E15</f>
        <v>0</v>
      </c>
      <c r="D156" s="486" t="str">
        <f>'@Other'!AE15</f>
        <v xml:space="preserve">FALSE with: </v>
      </c>
      <c r="E156" s="486"/>
    </row>
    <row r="157" spans="1:5" hidden="1" x14ac:dyDescent="0.4">
      <c r="A157" s="484" t="str">
        <f t="shared" si="11"/>
        <v>INVALID</v>
      </c>
      <c r="B157" s="494">
        <f>'@Other'!D16</f>
        <v>0</v>
      </c>
      <c r="C157" s="498">
        <f>'@Other'!E16</f>
        <v>0</v>
      </c>
      <c r="D157" s="486" t="str">
        <f>'@Other'!AE16</f>
        <v xml:space="preserve">FALSE with: </v>
      </c>
      <c r="E157" s="486"/>
    </row>
    <row r="158" spans="1:5" hidden="1" x14ac:dyDescent="0.4">
      <c r="A158" s="484" t="str">
        <f t="shared" si="11"/>
        <v>INVALID</v>
      </c>
      <c r="B158" s="494">
        <f>'@Other'!D17</f>
        <v>0</v>
      </c>
      <c r="C158" s="498">
        <f>'@Other'!E17</f>
        <v>0</v>
      </c>
      <c r="D158" s="486" t="str">
        <f>'@Other'!AE17</f>
        <v xml:space="preserve">FALSE with: </v>
      </c>
      <c r="E158" s="486"/>
    </row>
    <row r="159" spans="1:5" hidden="1" x14ac:dyDescent="0.4">
      <c r="A159" s="484" t="str">
        <f t="shared" si="11"/>
        <v>INVALID</v>
      </c>
      <c r="B159" s="494">
        <f>'@Other'!D18</f>
        <v>0</v>
      </c>
      <c r="C159" s="498">
        <f>'@Other'!E18</f>
        <v>0</v>
      </c>
      <c r="D159" s="486" t="str">
        <f>'@Other'!AE18</f>
        <v xml:space="preserve">FALSE with: </v>
      </c>
      <c r="E159" s="486"/>
    </row>
    <row r="160" spans="1:5" hidden="1" x14ac:dyDescent="0.4">
      <c r="A160" s="484" t="str">
        <f t="shared" si="11"/>
        <v>INVALID</v>
      </c>
      <c r="B160" s="494">
        <f>'@Other'!D19</f>
        <v>0</v>
      </c>
      <c r="C160" s="498">
        <f>'@Other'!E19</f>
        <v>0</v>
      </c>
      <c r="D160" s="486" t="str">
        <f>'@Other'!AE19</f>
        <v xml:space="preserve">FALSE with: </v>
      </c>
      <c r="E160" s="486"/>
    </row>
    <row r="161" spans="1:6" hidden="1" x14ac:dyDescent="0.4">
      <c r="A161" s="484" t="str">
        <f t="shared" si="11"/>
        <v>INVALID</v>
      </c>
      <c r="B161" s="494">
        <f>'@Other'!D20</f>
        <v>0</v>
      </c>
      <c r="C161" s="498">
        <f>'@Other'!E20</f>
        <v>0</v>
      </c>
      <c r="D161" s="486" t="str">
        <f>'@Other'!AE20</f>
        <v xml:space="preserve">FALSE with: </v>
      </c>
      <c r="E161" s="486"/>
    </row>
    <row r="162" spans="1:6" hidden="1" x14ac:dyDescent="0.4">
      <c r="A162" s="484" t="str">
        <f t="shared" si="11"/>
        <v>INVALID</v>
      </c>
      <c r="B162" s="494">
        <f>'@Other'!D21</f>
        <v>0</v>
      </c>
      <c r="C162" s="498">
        <f>'@Other'!E21</f>
        <v>0</v>
      </c>
      <c r="D162" s="486" t="str">
        <f>'@Other'!AE21</f>
        <v xml:space="preserve">FALSE with: </v>
      </c>
      <c r="E162" s="486"/>
    </row>
    <row r="163" spans="1:6" ht="15" hidden="1" thickBot="1" x14ac:dyDescent="0.45">
      <c r="A163" s="487" t="str">
        <f t="shared" si="11"/>
        <v>INVALID</v>
      </c>
      <c r="B163" s="496">
        <f>'@Other'!D22</f>
        <v>0</v>
      </c>
      <c r="C163" s="499">
        <f>'@Other'!E22</f>
        <v>0</v>
      </c>
      <c r="D163" s="488" t="str">
        <f>'@Other'!AE22</f>
        <v xml:space="preserve">FALSE with: </v>
      </c>
      <c r="E163" s="488"/>
    </row>
    <row r="164" spans="1:6" ht="15" hidden="1" thickBot="1" x14ac:dyDescent="0.45">
      <c r="A164" s="535" t="str">
        <f>IF(A165="INVALID","INVALID","")</f>
        <v>INVALID</v>
      </c>
      <c r="B164" s="536"/>
      <c r="C164" s="536"/>
      <c r="D164" s="536"/>
      <c r="E164" s="537"/>
      <c r="F164" s="513"/>
    </row>
    <row r="165" spans="1:6" hidden="1" x14ac:dyDescent="0.4">
      <c r="A165" s="482" t="str">
        <f>IF(C165&gt;0, "CAR PARK TOTAL", "INVALID")</f>
        <v>INVALID</v>
      </c>
      <c r="B165" s="492">
        <f>SUM(B166:B168)</f>
        <v>0</v>
      </c>
      <c r="C165" s="493">
        <f>SUM(C166:C168)</f>
        <v>0</v>
      </c>
      <c r="D165" s="489"/>
      <c r="E165" s="489"/>
    </row>
    <row r="166" spans="1:6" hidden="1" x14ac:dyDescent="0.4">
      <c r="A166" s="484" t="str">
        <f t="shared" si="11"/>
        <v>INVALID</v>
      </c>
      <c r="B166" s="494">
        <f>'@Car Park'!C30</f>
        <v>0</v>
      </c>
      <c r="C166" s="498">
        <f>'@Car Park'!C1</f>
        <v>0</v>
      </c>
      <c r="D166" s="486" t="str">
        <f>'@Car Park'!B1</f>
        <v>CO Sensors</v>
      </c>
      <c r="E166" s="486"/>
    </row>
    <row r="167" spans="1:6" hidden="1" x14ac:dyDescent="0.4">
      <c r="A167" s="484" t="str">
        <f t="shared" si="11"/>
        <v>INVALID</v>
      </c>
      <c r="B167" s="494">
        <f>'@Car Park'!C26-'@Car Park'!C30</f>
        <v>0</v>
      </c>
      <c r="C167" s="498">
        <f>'@Car Park'!C2</f>
        <v>0</v>
      </c>
      <c r="D167" s="486" t="str">
        <f>'@Car Park'!B2</f>
        <v>Carpark Fans</v>
      </c>
      <c r="E167" s="486"/>
    </row>
    <row r="168" spans="1:6" ht="15" hidden="1" thickBot="1" x14ac:dyDescent="0.45">
      <c r="A168" s="504" t="str">
        <f t="shared" si="11"/>
        <v>INVALID</v>
      </c>
      <c r="B168" s="505">
        <f>'@Car Park'!C63</f>
        <v>0</v>
      </c>
      <c r="C168" s="506">
        <f>'@Car Park'!C4</f>
        <v>0</v>
      </c>
      <c r="D168" s="507" t="str">
        <f>'@Car Park'!B4</f>
        <v>Pump Fans</v>
      </c>
      <c r="E168" s="507"/>
    </row>
    <row r="169" spans="1:6" ht="15" thickBot="1" x14ac:dyDescent="0.45">
      <c r="A169" s="535" t="str">
        <f>IF(A170="INVALID","INVALID","")</f>
        <v/>
      </c>
      <c r="B169" s="536"/>
      <c r="C169" s="536"/>
      <c r="D169" s="536"/>
      <c r="E169" s="537"/>
      <c r="F169" s="513"/>
    </row>
    <row r="170" spans="1:6" x14ac:dyDescent="0.4">
      <c r="A170" s="532" t="s">
        <v>1347</v>
      </c>
      <c r="B170" s="533"/>
      <c r="C170" s="533"/>
      <c r="D170" s="533"/>
      <c r="E170" s="534"/>
    </row>
    <row r="171" spans="1:6" ht="94.4" customHeight="1" thickBot="1" x14ac:dyDescent="0.45">
      <c r="A171" s="548" t="s">
        <v>1348</v>
      </c>
      <c r="B171" s="549"/>
      <c r="C171" s="549"/>
      <c r="D171" s="549"/>
      <c r="E171" s="550"/>
    </row>
    <row r="172" spans="1:6" ht="15.45" customHeight="1" thickBot="1" x14ac:dyDescent="0.45">
      <c r="A172" s="535" t="str">
        <f>IF(A173="INVALID","INVALID","")</f>
        <v/>
      </c>
      <c r="B172" s="536"/>
      <c r="C172" s="536"/>
      <c r="D172" s="536"/>
      <c r="E172" s="537"/>
      <c r="F172" s="513"/>
    </row>
    <row r="173" spans="1:6" x14ac:dyDescent="0.4">
      <c r="A173" s="532" t="s">
        <v>1362</v>
      </c>
      <c r="B173" s="533"/>
      <c r="C173" s="533"/>
      <c r="D173" s="533"/>
      <c r="E173" s="534"/>
    </row>
    <row r="174" spans="1:6" x14ac:dyDescent="0.4">
      <c r="A174" s="501" t="s">
        <v>1354</v>
      </c>
      <c r="B174" s="502"/>
      <c r="C174" s="502"/>
      <c r="D174" s="502"/>
      <c r="E174" s="503"/>
    </row>
    <row r="175" spans="1:6" x14ac:dyDescent="0.4">
      <c r="A175" s="501" t="s">
        <v>1355</v>
      </c>
      <c r="B175" s="502"/>
      <c r="C175" s="502"/>
      <c r="D175" s="502"/>
      <c r="E175" s="503"/>
    </row>
    <row r="176" spans="1:6" x14ac:dyDescent="0.4">
      <c r="A176" s="501" t="s">
        <v>1356</v>
      </c>
      <c r="B176" s="502"/>
      <c r="C176" s="502"/>
      <c r="D176" s="502"/>
      <c r="E176" s="503"/>
    </row>
    <row r="177" spans="1:5" x14ac:dyDescent="0.4">
      <c r="A177" s="501" t="s">
        <v>1357</v>
      </c>
      <c r="B177" s="502"/>
      <c r="C177" s="502"/>
      <c r="D177" s="502"/>
      <c r="E177" s="503"/>
    </row>
    <row r="178" spans="1:5" x14ac:dyDescent="0.4">
      <c r="A178" s="501" t="s">
        <v>1358</v>
      </c>
      <c r="B178" s="502"/>
      <c r="C178" s="502"/>
      <c r="D178" s="502"/>
      <c r="E178" s="503"/>
    </row>
    <row r="179" spans="1:5" x14ac:dyDescent="0.4">
      <c r="A179" s="501" t="s">
        <v>1359</v>
      </c>
      <c r="B179" s="502"/>
      <c r="C179" s="502"/>
      <c r="D179" s="502"/>
      <c r="E179" s="503"/>
    </row>
    <row r="180" spans="1:5" x14ac:dyDescent="0.4">
      <c r="A180" s="501" t="s">
        <v>1360</v>
      </c>
      <c r="B180" s="502"/>
      <c r="C180" s="502"/>
      <c r="D180" s="502"/>
      <c r="E180" s="503"/>
    </row>
    <row r="181" spans="1:5" ht="15" thickBot="1" x14ac:dyDescent="0.45">
      <c r="A181" s="500" t="s">
        <v>1361</v>
      </c>
      <c r="B181" s="321"/>
      <c r="C181" s="321"/>
      <c r="D181" s="321"/>
      <c r="E181" s="322"/>
    </row>
  </sheetData>
  <autoFilter ref="A47:D181" xr:uid="{00000000-0009-0000-0000-000000000000}">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Q1:U1"/>
    <mergeCell ref="Q2:U14"/>
    <mergeCell ref="A46:E46"/>
    <mergeCell ref="A171:E171"/>
    <mergeCell ref="A170:E170"/>
    <mergeCell ref="D6:O6"/>
    <mergeCell ref="A173:E173"/>
    <mergeCell ref="A71:E71"/>
    <mergeCell ref="A94:E94"/>
    <mergeCell ref="A141:E141"/>
    <mergeCell ref="A118:E118"/>
    <mergeCell ref="A164:E164"/>
    <mergeCell ref="A169:E169"/>
    <mergeCell ref="A172:E172"/>
  </mergeCells>
  <conditionalFormatting sqref="D8:O8">
    <cfRule type="expression" dxfId="691" priority="10">
      <formula>IF(ROW() = ROW(), TRUE, FALSE)</formula>
    </cfRule>
  </conditionalFormatting>
  <conditionalFormatting sqref="E18:G18">
    <cfRule type="expression" dxfId="690" priority="5">
      <formula>IF(ROW() = ROW(), TRUE, FALSE)</formula>
    </cfRule>
  </conditionalFormatting>
  <conditionalFormatting sqref="D19">
    <cfRule type="expression" dxfId="689" priority="4">
      <formula>IF(ROW() = ROW(), TRUE, FALSE)</formula>
    </cfRule>
  </conditionalFormatting>
  <conditionalFormatting sqref="L1:M1">
    <cfRule type="expression" dxfId="688" priority="3">
      <formula>IF(ROW() = ROW(), TRUE, FALSE)</formula>
    </cfRule>
  </conditionalFormatting>
  <conditionalFormatting sqref="G1:G2">
    <cfRule type="expression" dxfId="687" priority="2">
      <formula>IF(ROW() = ROW(), TRUE, FALSE)</formula>
    </cfRule>
  </conditionalFormatting>
  <conditionalFormatting sqref="H1:H2">
    <cfRule type="cellIs" dxfId="686" priority="1" operator="notEqual">
      <formula>0</formula>
    </cfRule>
  </conditionalFormatting>
  <pageMargins left="0.25" right="0.25"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'@Car Park'!$A$2:$A$3</xm:f>
          </x14:formula1>
          <xm:sqref>E36:E37 E39:E40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074218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740</v>
      </c>
      <c r="J1" s="299" t="s">
        <v>741</v>
      </c>
      <c r="K1" s="299" t="s">
        <v>742</v>
      </c>
      <c r="L1" s="299" t="s">
        <v>790</v>
      </c>
      <c r="M1" s="299" t="s">
        <v>792</v>
      </c>
      <c r="N1" s="33" t="s">
        <v>750</v>
      </c>
      <c r="O1" s="295" t="s">
        <v>791</v>
      </c>
      <c r="P1" s="299" t="s">
        <v>749</v>
      </c>
      <c r="R1" s="299" t="s">
        <v>740</v>
      </c>
      <c r="S1" s="33" t="s">
        <v>750</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739</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743</v>
      </c>
      <c r="K48" s="297" t="s">
        <v>747</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755</v>
      </c>
      <c r="K49" s="297" t="s">
        <v>761</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744</v>
      </c>
      <c r="K50" s="297" t="s">
        <v>747</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745</v>
      </c>
      <c r="K54" s="297" t="s">
        <v>746</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758</v>
      </c>
      <c r="K56" s="297" t="s">
        <v>762</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769</v>
      </c>
      <c r="K57" s="297" t="s">
        <v>759</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757</v>
      </c>
      <c r="K58" s="297" t="s">
        <v>762</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756</v>
      </c>
      <c r="K59" s="297" t="s">
        <v>762</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777</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777</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770</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770</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770</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770</v>
      </c>
      <c r="R65" s="114">
        <f t="shared" si="2"/>
        <v>0</v>
      </c>
      <c r="S65" s="114">
        <f t="shared" si="3"/>
        <v>0</v>
      </c>
    </row>
    <row r="66" spans="2:19" x14ac:dyDescent="0.4">
      <c r="B66" s="43" t="s">
        <v>260</v>
      </c>
      <c r="C66" s="136">
        <f t="shared" si="4"/>
        <v>56.4</v>
      </c>
      <c r="D66" s="44"/>
      <c r="E66" s="43"/>
      <c r="F66" s="44"/>
      <c r="G66" s="32"/>
      <c r="I66" s="135" t="str">
        <f t="shared" si="5"/>
        <v>TF63-240-24</v>
      </c>
      <c r="J66" s="297" t="s">
        <v>751</v>
      </c>
      <c r="K66" s="297" t="s">
        <v>752</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777</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773</v>
      </c>
      <c r="G68" s="32"/>
      <c r="I68" s="135" t="s">
        <v>771</v>
      </c>
      <c r="L68" s="301"/>
      <c r="M68" s="300">
        <f t="shared" si="6"/>
        <v>282</v>
      </c>
      <c r="N68" s="136">
        <v>235</v>
      </c>
      <c r="O68" s="295">
        <f t="shared" si="7"/>
        <v>0</v>
      </c>
      <c r="P68" t="s">
        <v>772</v>
      </c>
      <c r="R68" s="114">
        <f t="shared" si="2"/>
        <v>0</v>
      </c>
      <c r="S68" s="114">
        <f t="shared" si="3"/>
        <v>0</v>
      </c>
    </row>
    <row r="69" spans="2:19" x14ac:dyDescent="0.4">
      <c r="B69" s="43" t="s">
        <v>262</v>
      </c>
      <c r="C69" s="136">
        <f t="shared" si="4"/>
        <v>530.64</v>
      </c>
      <c r="D69" s="44"/>
      <c r="E69" s="43"/>
      <c r="F69" s="44"/>
      <c r="G69" s="32"/>
      <c r="I69" s="135" t="str">
        <f t="shared" si="5"/>
        <v>VSD Car Park 1.5kW</v>
      </c>
      <c r="J69" s="297" t="s">
        <v>784</v>
      </c>
      <c r="L69" s="301">
        <v>442.2</v>
      </c>
      <c r="M69" s="300">
        <f t="shared" si="6"/>
        <v>530.64</v>
      </c>
      <c r="N69" s="136">
        <v>770</v>
      </c>
      <c r="O69" s="295">
        <f t="shared" si="7"/>
        <v>0.74129353233830853</v>
      </c>
      <c r="P69" s="114" t="s">
        <v>770</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785</v>
      </c>
      <c r="L70" s="301">
        <v>541.20000000000005</v>
      </c>
      <c r="M70" s="300">
        <f t="shared" si="6"/>
        <v>649.44000000000005</v>
      </c>
      <c r="N70" s="136">
        <v>550</v>
      </c>
      <c r="O70" s="295">
        <f t="shared" si="7"/>
        <v>1.6260162601625931E-2</v>
      </c>
      <c r="P70" s="114" t="s">
        <v>770</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787</v>
      </c>
      <c r="L71" s="301">
        <v>625.9</v>
      </c>
      <c r="M71" s="300">
        <f t="shared" si="6"/>
        <v>751.07999999999993</v>
      </c>
      <c r="N71" s="136">
        <v>750</v>
      </c>
      <c r="O71" s="295">
        <f t="shared" si="7"/>
        <v>0.1982744847419716</v>
      </c>
      <c r="P71" s="114" t="s">
        <v>770</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786</v>
      </c>
      <c r="L72" s="301">
        <v>809.6</v>
      </c>
      <c r="M72" s="300">
        <f t="shared" si="6"/>
        <v>971.52</v>
      </c>
      <c r="N72" s="136">
        <v>750</v>
      </c>
      <c r="O72" s="295">
        <f t="shared" si="7"/>
        <v>7.3616600790513853E-2</v>
      </c>
      <c r="P72" s="114" t="s">
        <v>770</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788</v>
      </c>
      <c r="K73" s="297"/>
      <c r="L73" s="301">
        <v>1021.9</v>
      </c>
      <c r="M73" s="300">
        <f t="shared" si="6"/>
        <v>1226.28</v>
      </c>
      <c r="N73" s="136">
        <v>1100</v>
      </c>
      <c r="O73" s="295">
        <f t="shared" si="7"/>
        <v>7.6426264800861163E-2</v>
      </c>
      <c r="P73" s="114" t="s">
        <v>770</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784</v>
      </c>
      <c r="K74" s="297"/>
      <c r="L74" s="301">
        <v>442.2</v>
      </c>
      <c r="M74" s="300">
        <f t="shared" si="6"/>
        <v>530.64</v>
      </c>
      <c r="N74" s="136">
        <v>770</v>
      </c>
      <c r="O74" s="295">
        <f t="shared" si="7"/>
        <v>0.74129353233830853</v>
      </c>
      <c r="P74" s="114" t="s">
        <v>770</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785</v>
      </c>
      <c r="K75" s="297"/>
      <c r="L75" s="301">
        <v>541.20000000000005</v>
      </c>
      <c r="M75" s="300">
        <f t="shared" si="6"/>
        <v>649.44000000000005</v>
      </c>
      <c r="N75" s="136">
        <v>750</v>
      </c>
      <c r="O75" s="295">
        <f t="shared" si="7"/>
        <v>0.38580931263858081</v>
      </c>
      <c r="P75" s="114" t="s">
        <v>770</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787</v>
      </c>
      <c r="K76" s="297"/>
      <c r="L76" s="301">
        <v>625.9</v>
      </c>
      <c r="M76" s="300">
        <f t="shared" si="6"/>
        <v>751.07999999999993</v>
      </c>
      <c r="N76" s="136">
        <v>750</v>
      </c>
      <c r="O76" s="295">
        <f t="shared" si="7"/>
        <v>0.1982744847419716</v>
      </c>
      <c r="P76" s="114" t="s">
        <v>770</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789</v>
      </c>
      <c r="K77" s="297"/>
      <c r="L77" s="301">
        <v>721.6</v>
      </c>
      <c r="M77" s="300">
        <f t="shared" si="6"/>
        <v>865.92</v>
      </c>
      <c r="N77" s="136">
        <v>750</v>
      </c>
      <c r="O77" s="295">
        <f t="shared" si="7"/>
        <v>3.9356984478935667E-2</v>
      </c>
      <c r="P77" s="114" t="s">
        <v>770</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786</v>
      </c>
      <c r="K78" s="297"/>
      <c r="L78" s="301">
        <v>809.6</v>
      </c>
      <c r="M78" s="300">
        <f t="shared" si="6"/>
        <v>971.52</v>
      </c>
      <c r="N78" s="136">
        <v>750</v>
      </c>
      <c r="O78" s="295">
        <f t="shared" si="7"/>
        <v>7.3616600790513853E-2</v>
      </c>
      <c r="P78" s="114" t="s">
        <v>770</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773</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773</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773</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773</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773</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773</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773</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773</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774</v>
      </c>
      <c r="R88" s="114">
        <f t="shared" si="8"/>
        <v>0</v>
      </c>
      <c r="S88" s="114">
        <f t="shared" si="9"/>
        <v>0</v>
      </c>
    </row>
    <row r="89" spans="2:19" x14ac:dyDescent="0.4">
      <c r="B89" s="43" t="s">
        <v>439</v>
      </c>
      <c r="C89" s="136">
        <f t="shared" si="4"/>
        <v>0.6</v>
      </c>
      <c r="D89" s="44"/>
      <c r="E89" s="43"/>
      <c r="F89" s="44"/>
      <c r="G89" s="32"/>
      <c r="H89" s="303" t="s">
        <v>777</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763</v>
      </c>
      <c r="L90" s="301"/>
      <c r="M90" s="300">
        <f t="shared" si="6"/>
        <v>307.2</v>
      </c>
      <c r="N90" s="151">
        <v>256</v>
      </c>
      <c r="O90" s="295"/>
      <c r="P90" s="114" t="s">
        <v>770</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763</v>
      </c>
      <c r="K91" s="297"/>
      <c r="L91" s="301"/>
      <c r="M91" s="300">
        <f t="shared" si="6"/>
        <v>960</v>
      </c>
      <c r="N91" s="151">
        <v>800</v>
      </c>
      <c r="O91" s="295"/>
      <c r="P91" s="114" t="s">
        <v>770</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777</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777</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765</v>
      </c>
      <c r="K95" s="297" t="s">
        <v>760</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777</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774</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774</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774</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774</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774</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774</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754</v>
      </c>
      <c r="K103" s="298" t="s">
        <v>753</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777</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777</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776</v>
      </c>
      <c r="K107" s="297" t="s">
        <v>775</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777</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768</v>
      </c>
      <c r="K110" s="297" t="s">
        <v>767</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777</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777</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751</v>
      </c>
      <c r="K113" s="297" t="s">
        <v>752</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777</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764</v>
      </c>
      <c r="K115" s="297" t="s">
        <v>766</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777</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777</v>
      </c>
      <c r="I117" s="135" t="str">
        <f t="shared" si="12"/>
        <v>SSR ( 1 phase)</v>
      </c>
      <c r="J117" s="297"/>
      <c r="K117" s="297"/>
      <c r="L117" s="300"/>
      <c r="M117" s="300">
        <f t="shared" si="13"/>
        <v>60</v>
      </c>
      <c r="N117" s="136">
        <v>50</v>
      </c>
      <c r="O117" s="295"/>
      <c r="P117" s="114" t="s">
        <v>748</v>
      </c>
      <c r="R117" s="114" t="str">
        <f t="shared" si="8"/>
        <v>SSR ( 1 phase)</v>
      </c>
      <c r="S117" s="114">
        <f t="shared" si="9"/>
        <v>50</v>
      </c>
    </row>
    <row r="118" spans="2:19" s="114" customFormat="1" x14ac:dyDescent="0.4">
      <c r="B118" s="135" t="s">
        <v>476</v>
      </c>
      <c r="C118" s="136">
        <f t="shared" si="11"/>
        <v>324</v>
      </c>
      <c r="D118" s="136"/>
      <c r="E118" s="135"/>
      <c r="F118" s="136"/>
      <c r="H118" s="303" t="s">
        <v>777</v>
      </c>
      <c r="I118" s="135" t="str">
        <f t="shared" si="12"/>
        <v>SSR (3 phase)</v>
      </c>
      <c r="J118" s="297"/>
      <c r="K118" s="297"/>
      <c r="L118" s="300"/>
      <c r="M118" s="300">
        <f t="shared" si="13"/>
        <v>324</v>
      </c>
      <c r="N118" s="136">
        <v>270</v>
      </c>
      <c r="O118" s="295"/>
      <c r="P118" s="114" t="s">
        <v>748</v>
      </c>
      <c r="R118" s="114" t="str">
        <f t="shared" si="8"/>
        <v>SSR (3 phase)</v>
      </c>
      <c r="S118" s="114">
        <f t="shared" si="9"/>
        <v>270</v>
      </c>
    </row>
    <row r="119" spans="2:19" s="114" customFormat="1" x14ac:dyDescent="0.4">
      <c r="B119" s="135" t="s">
        <v>588</v>
      </c>
      <c r="C119" s="136">
        <f t="shared" si="11"/>
        <v>96</v>
      </c>
      <c r="D119" s="136"/>
      <c r="E119" s="135"/>
      <c r="F119" s="136"/>
      <c r="H119" s="303" t="s">
        <v>777</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777</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777</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777</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777</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1344</v>
      </c>
      <c r="C124" s="136">
        <f>M124</f>
        <v>109.25999999999999</v>
      </c>
      <c r="D124" s="44"/>
      <c r="E124" s="43"/>
      <c r="F124" s="44"/>
      <c r="G124" s="32"/>
      <c r="H124" s="303" t="s">
        <v>777</v>
      </c>
      <c r="I124" s="135" t="str">
        <f t="shared" si="12"/>
        <v>Contactors &amp; Overloads</v>
      </c>
      <c r="J124" s="297" t="s">
        <v>778</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685"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55" zoomScaleNormal="55" zoomScaleSheetLayoutView="30" workbookViewId="0">
      <pane ySplit="1" topLeftCell="A210" activePane="bottomLeft" state="frozen"/>
      <selection activeCell="J2" sqref="J2"/>
      <selection pane="bottomLeft" activeCell="J2" sqref="J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074218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074218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07421875" style="32" customWidth="1"/>
    <col min="28" max="28" width="51.69140625" style="32" customWidth="1"/>
    <col min="29" max="30" width="21.074218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074218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58" t="str">
        <f ca="1">C14</f>
        <v>AAA-MechElec - 1.0.xlsx</v>
      </c>
      <c r="D5" s="558"/>
      <c r="E5" s="558"/>
      <c r="F5" s="558"/>
      <c r="G5" s="558"/>
      <c r="H5" s="558"/>
      <c r="I5" s="559"/>
      <c r="J5" s="558"/>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58"/>
      <c r="D6" s="558"/>
      <c r="E6" s="558"/>
      <c r="F6" s="558"/>
      <c r="G6" s="558"/>
      <c r="H6" s="558"/>
      <c r="I6" s="559"/>
      <c r="J6" s="558"/>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58"/>
      <c r="D7" s="558"/>
      <c r="E7" s="558"/>
      <c r="F7" s="558"/>
      <c r="G7" s="558"/>
      <c r="H7" s="558"/>
      <c r="I7" s="559"/>
      <c r="J7" s="558"/>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491</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491</v>
      </c>
      <c r="C11" s="208" t="s">
        <v>779</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491</v>
      </c>
      <c r="C14" s="560" t="str">
        <f ca="1">MID(CELL("filename",A1),FIND("[",CELL("filename",A1))+1,FIND("]", CELL("filename",A1))-FIND("[",CELL("filename",A1))-1)</f>
        <v>AAA-MechElec - 1.0.xlsx</v>
      </c>
      <c r="D14" s="561"/>
      <c r="E14" s="562"/>
      <c r="F14" s="562"/>
      <c r="G14" s="562"/>
      <c r="H14" s="562"/>
      <c r="I14" s="563"/>
      <c r="J14" s="564"/>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43333.601063888891</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hidden="1"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452</v>
      </c>
      <c r="M18" s="116" t="s">
        <v>107</v>
      </c>
      <c r="N18" s="116" t="s">
        <v>108</v>
      </c>
      <c r="O18" s="170" t="s">
        <v>386</v>
      </c>
      <c r="P18" s="555" t="s">
        <v>375</v>
      </c>
      <c r="Q18" s="555"/>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54" t="s">
        <v>366</v>
      </c>
      <c r="V41" s="554"/>
      <c r="W41" s="162" t="e">
        <f>W40/M19</f>
        <v>#DIV/0!</v>
      </c>
      <c r="X41" s="163"/>
      <c r="Y41" s="552" t="s">
        <v>365</v>
      </c>
      <c r="Z41" s="552"/>
      <c r="AA41" s="164" t="e">
        <f>AA40/M19</f>
        <v>#DIV/0!</v>
      </c>
      <c r="AB41" s="161"/>
      <c r="AC41" s="161"/>
      <c r="AD41" s="161"/>
      <c r="AE41" s="161"/>
      <c r="AF41" s="552" t="s">
        <v>365</v>
      </c>
      <c r="AG41" s="552"/>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452</v>
      </c>
      <c r="M42" s="116" t="s">
        <v>107</v>
      </c>
      <c r="N42" s="116" t="s">
        <v>108</v>
      </c>
      <c r="O42" s="170" t="s">
        <v>386</v>
      </c>
      <c r="P42" s="553" t="s">
        <v>375</v>
      </c>
      <c r="Q42" s="553"/>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54" t="s">
        <v>366</v>
      </c>
      <c r="V65" s="554"/>
      <c r="W65" s="162" t="e">
        <f>W64/M43</f>
        <v>#DIV/0!</v>
      </c>
      <c r="X65" s="163"/>
      <c r="Y65" s="552" t="s">
        <v>365</v>
      </c>
      <c r="Z65" s="552"/>
      <c r="AA65" s="164" t="e">
        <f>AA64/M43</f>
        <v>#DIV/0!</v>
      </c>
      <c r="AB65" s="161"/>
      <c r="AC65" s="161"/>
      <c r="AD65" s="161"/>
      <c r="AE65" s="161"/>
      <c r="AF65" s="552" t="s">
        <v>365</v>
      </c>
      <c r="AG65" s="552"/>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452</v>
      </c>
      <c r="M66" s="116" t="s">
        <v>107</v>
      </c>
      <c r="N66" s="116" t="s">
        <v>108</v>
      </c>
      <c r="O66" s="170" t="s">
        <v>386</v>
      </c>
      <c r="P66" s="553" t="s">
        <v>375</v>
      </c>
      <c r="Q66" s="553"/>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54" t="s">
        <v>366</v>
      </c>
      <c r="V89" s="554"/>
      <c r="W89" s="162" t="e">
        <f>W88/M67</f>
        <v>#DIV/0!</v>
      </c>
      <c r="X89" s="163"/>
      <c r="Y89" s="552" t="s">
        <v>365</v>
      </c>
      <c r="Z89" s="552"/>
      <c r="AA89" s="164" t="e">
        <f>AA88/M67</f>
        <v>#DIV/0!</v>
      </c>
      <c r="AB89" s="161"/>
      <c r="AC89" s="161"/>
      <c r="AD89" s="161"/>
      <c r="AE89" s="161"/>
      <c r="AF89" s="552" t="s">
        <v>365</v>
      </c>
      <c r="AG89" s="552"/>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452</v>
      </c>
      <c r="M90" s="116" t="s">
        <v>107</v>
      </c>
      <c r="N90" s="116" t="s">
        <v>108</v>
      </c>
      <c r="O90" s="170" t="s">
        <v>386</v>
      </c>
      <c r="P90" s="553" t="s">
        <v>375</v>
      </c>
      <c r="Q90" s="553"/>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54" t="s">
        <v>366</v>
      </c>
      <c r="V113" s="554"/>
      <c r="W113" s="162" t="e">
        <f>W112/M91</f>
        <v>#DIV/0!</v>
      </c>
      <c r="X113" s="163"/>
      <c r="Y113" s="552" t="s">
        <v>365</v>
      </c>
      <c r="Z113" s="552"/>
      <c r="AA113" s="164" t="e">
        <f>AA112/M91</f>
        <v>#DIV/0!</v>
      </c>
      <c r="AB113" s="161"/>
      <c r="AC113" s="161"/>
      <c r="AD113" s="161"/>
      <c r="AE113" s="161"/>
      <c r="AF113" s="552" t="s">
        <v>365</v>
      </c>
      <c r="AG113" s="552"/>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452</v>
      </c>
      <c r="M114" s="116" t="s">
        <v>107</v>
      </c>
      <c r="N114" s="116" t="s">
        <v>108</v>
      </c>
      <c r="O114" s="170" t="s">
        <v>386</v>
      </c>
      <c r="P114" s="553" t="s">
        <v>375</v>
      </c>
      <c r="Q114" s="553"/>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54" t="s">
        <v>366</v>
      </c>
      <c r="V137" s="554"/>
      <c r="W137" s="162" t="e">
        <f>W136/M115</f>
        <v>#DIV/0!</v>
      </c>
      <c r="X137" s="163"/>
      <c r="Y137" s="552" t="s">
        <v>365</v>
      </c>
      <c r="Z137" s="552"/>
      <c r="AA137" s="164" t="e">
        <f>AA136/M115</f>
        <v>#DIV/0!</v>
      </c>
      <c r="AB137" s="161"/>
      <c r="AC137" s="161"/>
      <c r="AD137" s="161"/>
      <c r="AE137" s="161"/>
      <c r="AF137" s="552" t="s">
        <v>365</v>
      </c>
      <c r="AG137" s="552"/>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452</v>
      </c>
      <c r="M138" s="2" t="s">
        <v>107</v>
      </c>
      <c r="N138" s="2" t="s">
        <v>108</v>
      </c>
      <c r="O138" s="97" t="s">
        <v>386</v>
      </c>
      <c r="P138" s="555" t="s">
        <v>375</v>
      </c>
      <c r="Q138" s="555"/>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54" t="s">
        <v>366</v>
      </c>
      <c r="V161" s="554"/>
      <c r="W161" s="85" t="e">
        <f>W160/M139</f>
        <v>#DIV/0!</v>
      </c>
      <c r="X161" s="86"/>
      <c r="Y161" s="552" t="s">
        <v>365</v>
      </c>
      <c r="Z161" s="552"/>
      <c r="AA161" s="87" t="e">
        <f>AA160/M139</f>
        <v>#DIV/0!</v>
      </c>
      <c r="AB161" s="84"/>
      <c r="AC161" s="84"/>
      <c r="AD161" s="84"/>
      <c r="AE161" s="84"/>
      <c r="AF161" s="552" t="s">
        <v>365</v>
      </c>
      <c r="AG161" s="552"/>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452</v>
      </c>
      <c r="M162" s="2" t="s">
        <v>107</v>
      </c>
      <c r="N162" s="2" t="s">
        <v>108</v>
      </c>
      <c r="O162" s="97" t="s">
        <v>386</v>
      </c>
      <c r="P162" s="553" t="s">
        <v>375</v>
      </c>
      <c r="Q162" s="553"/>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54" t="s">
        <v>366</v>
      </c>
      <c r="V185" s="554"/>
      <c r="W185" s="85" t="e">
        <f>W184/M163</f>
        <v>#DIV/0!</v>
      </c>
      <c r="X185" s="86"/>
      <c r="Y185" s="552" t="s">
        <v>365</v>
      </c>
      <c r="Z185" s="552"/>
      <c r="AA185" s="87" t="e">
        <f>AA184/M163</f>
        <v>#DIV/0!</v>
      </c>
      <c r="AB185" s="84"/>
      <c r="AC185" s="84"/>
      <c r="AD185" s="84"/>
      <c r="AE185" s="84"/>
      <c r="AF185" s="552" t="s">
        <v>365</v>
      </c>
      <c r="AG185" s="552"/>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452</v>
      </c>
      <c r="M186" s="2" t="s">
        <v>107</v>
      </c>
      <c r="N186" s="2" t="s">
        <v>108</v>
      </c>
      <c r="O186" s="97" t="s">
        <v>386</v>
      </c>
      <c r="P186" s="553" t="s">
        <v>375</v>
      </c>
      <c r="Q186" s="553"/>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54" t="s">
        <v>366</v>
      </c>
      <c r="V209" s="554"/>
      <c r="W209" s="85" t="e">
        <f>W208/M187</f>
        <v>#DIV/0!</v>
      </c>
      <c r="X209" s="86"/>
      <c r="Y209" s="552" t="s">
        <v>365</v>
      </c>
      <c r="Z209" s="552"/>
      <c r="AA209" s="87" t="e">
        <f>AA208/M187</f>
        <v>#DIV/0!</v>
      </c>
      <c r="AB209" s="84"/>
      <c r="AC209" s="84"/>
      <c r="AD209" s="84"/>
      <c r="AE209" s="84"/>
      <c r="AF209" s="552" t="s">
        <v>365</v>
      </c>
      <c r="AG209" s="552"/>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491</v>
      </c>
      <c r="I210" s="269">
        <f>SUM(I234:I954)</f>
        <v>0</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452</v>
      </c>
      <c r="M211" s="2" t="s">
        <v>107</v>
      </c>
      <c r="N211" s="2" t="s">
        <v>108</v>
      </c>
      <c r="O211" s="97" t="s">
        <v>386</v>
      </c>
      <c r="P211" s="555" t="s">
        <v>375</v>
      </c>
      <c r="Q211" s="555"/>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1344</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54" t="s">
        <v>366</v>
      </c>
      <c r="V234" s="554"/>
      <c r="W234" s="85" t="e">
        <f>W233/M212</f>
        <v>#DIV/0!</v>
      </c>
      <c r="X234" s="86"/>
      <c r="Y234" s="552" t="s">
        <v>365</v>
      </c>
      <c r="Z234" s="552"/>
      <c r="AA234" s="87" t="e">
        <f>AA233/M212</f>
        <v>#DIV/0!</v>
      </c>
      <c r="AB234" s="84"/>
      <c r="AC234" s="84"/>
      <c r="AD234" s="84"/>
      <c r="AE234" s="84"/>
      <c r="AF234" s="552" t="s">
        <v>365</v>
      </c>
      <c r="AG234" s="552"/>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452</v>
      </c>
      <c r="M235" s="116" t="s">
        <v>107</v>
      </c>
      <c r="N235" s="116" t="s">
        <v>108</v>
      </c>
      <c r="O235" s="170" t="s">
        <v>386</v>
      </c>
      <c r="P235" s="553" t="s">
        <v>375</v>
      </c>
      <c r="Q235" s="553"/>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1344</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54" t="s">
        <v>366</v>
      </c>
      <c r="V258" s="554"/>
      <c r="W258" s="162" t="e">
        <f>W257/M236</f>
        <v>#DIV/0!</v>
      </c>
      <c r="X258" s="163"/>
      <c r="Y258" s="552" t="s">
        <v>365</v>
      </c>
      <c r="Z258" s="552"/>
      <c r="AA258" s="164" t="e">
        <f>AA257/M236</f>
        <v>#DIV/0!</v>
      </c>
      <c r="AB258" s="161"/>
      <c r="AC258" s="161"/>
      <c r="AD258" s="161"/>
      <c r="AE258" s="161"/>
      <c r="AF258" s="552" t="s">
        <v>365</v>
      </c>
      <c r="AG258" s="552"/>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452</v>
      </c>
      <c r="M259" s="2" t="s">
        <v>107</v>
      </c>
      <c r="N259" s="2" t="s">
        <v>108</v>
      </c>
      <c r="O259" s="97" t="s">
        <v>386</v>
      </c>
      <c r="P259" s="553" t="s">
        <v>375</v>
      </c>
      <c r="Q259" s="553"/>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1344</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54" t="s">
        <v>366</v>
      </c>
      <c r="V282" s="554"/>
      <c r="W282" s="85" t="e">
        <f>W281/M260</f>
        <v>#DIV/0!</v>
      </c>
      <c r="X282" s="86"/>
      <c r="Y282" s="552" t="s">
        <v>365</v>
      </c>
      <c r="Z282" s="552"/>
      <c r="AA282" s="87" t="e">
        <f>AA281/M260</f>
        <v>#DIV/0!</v>
      </c>
      <c r="AB282" s="84"/>
      <c r="AC282" s="84"/>
      <c r="AD282" s="84"/>
      <c r="AE282" s="84"/>
      <c r="AF282" s="552" t="s">
        <v>365</v>
      </c>
      <c r="AG282" s="552"/>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452</v>
      </c>
      <c r="M283" s="116" t="s">
        <v>107</v>
      </c>
      <c r="N283" s="116" t="s">
        <v>108</v>
      </c>
      <c r="O283" s="170" t="s">
        <v>386</v>
      </c>
      <c r="P283" s="553" t="s">
        <v>375</v>
      </c>
      <c r="Q283" s="553"/>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1344</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54" t="s">
        <v>366</v>
      </c>
      <c r="V306" s="554"/>
      <c r="W306" s="162" t="e">
        <f>W305/M284</f>
        <v>#DIV/0!</v>
      </c>
      <c r="X306" s="163"/>
      <c r="Y306" s="552" t="s">
        <v>365</v>
      </c>
      <c r="Z306" s="552"/>
      <c r="AA306" s="164" t="e">
        <f>AA305/M284</f>
        <v>#DIV/0!</v>
      </c>
      <c r="AB306" s="161"/>
      <c r="AC306" s="161"/>
      <c r="AD306" s="161"/>
      <c r="AE306" s="161"/>
      <c r="AF306" s="552" t="s">
        <v>365</v>
      </c>
      <c r="AG306" s="552"/>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452</v>
      </c>
      <c r="M307" s="2" t="s">
        <v>107</v>
      </c>
      <c r="N307" s="2" t="s">
        <v>108</v>
      </c>
      <c r="O307" s="97" t="s">
        <v>386</v>
      </c>
      <c r="P307" s="553" t="s">
        <v>375</v>
      </c>
      <c r="Q307" s="553"/>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1344</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54" t="s">
        <v>366</v>
      </c>
      <c r="V330" s="554"/>
      <c r="W330" s="85" t="e">
        <f>W329/M308</f>
        <v>#DIV/0!</v>
      </c>
      <c r="X330" s="86"/>
      <c r="Y330" s="552" t="s">
        <v>365</v>
      </c>
      <c r="Z330" s="552"/>
      <c r="AA330" s="87" t="e">
        <f>AA329/M308</f>
        <v>#DIV/0!</v>
      </c>
      <c r="AB330" s="84"/>
      <c r="AC330" s="84"/>
      <c r="AD330" s="84"/>
      <c r="AE330" s="84"/>
      <c r="AF330" s="552" t="s">
        <v>365</v>
      </c>
      <c r="AG330" s="552"/>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452</v>
      </c>
      <c r="M331" s="116" t="s">
        <v>107</v>
      </c>
      <c r="N331" s="116" t="s">
        <v>108</v>
      </c>
      <c r="O331" s="170" t="s">
        <v>386</v>
      </c>
      <c r="P331" s="553" t="s">
        <v>375</v>
      </c>
      <c r="Q331" s="553"/>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1344</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54" t="s">
        <v>366</v>
      </c>
      <c r="V354" s="554"/>
      <c r="W354" s="162" t="e">
        <f>W353/M332</f>
        <v>#DIV/0!</v>
      </c>
      <c r="X354" s="163"/>
      <c r="Y354" s="552" t="s">
        <v>365</v>
      </c>
      <c r="Z354" s="552"/>
      <c r="AA354" s="164" t="e">
        <f>AA353/M332</f>
        <v>#DIV/0!</v>
      </c>
      <c r="AB354" s="161"/>
      <c r="AC354" s="161"/>
      <c r="AD354" s="161"/>
      <c r="AE354" s="161"/>
      <c r="AF354" s="552" t="s">
        <v>365</v>
      </c>
      <c r="AG354" s="552"/>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452</v>
      </c>
      <c r="M355" s="116" t="s">
        <v>107</v>
      </c>
      <c r="N355" s="116" t="s">
        <v>108</v>
      </c>
      <c r="O355" s="170" t="s">
        <v>386</v>
      </c>
      <c r="P355" s="553" t="s">
        <v>375</v>
      </c>
      <c r="Q355" s="553"/>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1344</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54" t="s">
        <v>366</v>
      </c>
      <c r="V378" s="554"/>
      <c r="W378" s="162" t="e">
        <f>W377/M356</f>
        <v>#DIV/0!</v>
      </c>
      <c r="X378" s="163"/>
      <c r="Y378" s="552" t="s">
        <v>365</v>
      </c>
      <c r="Z378" s="552"/>
      <c r="AA378" s="164" t="e">
        <f>AA377/M356</f>
        <v>#DIV/0!</v>
      </c>
      <c r="AB378" s="161"/>
      <c r="AC378" s="161"/>
      <c r="AD378" s="161"/>
      <c r="AE378" s="161"/>
      <c r="AF378" s="552" t="s">
        <v>365</v>
      </c>
      <c r="AG378" s="552"/>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452</v>
      </c>
      <c r="M379" s="116" t="s">
        <v>107</v>
      </c>
      <c r="N379" s="116" t="s">
        <v>108</v>
      </c>
      <c r="O379" s="170" t="s">
        <v>386</v>
      </c>
      <c r="P379" s="553" t="s">
        <v>375</v>
      </c>
      <c r="Q379" s="553"/>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1344</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54" t="s">
        <v>366</v>
      </c>
      <c r="V402" s="554"/>
      <c r="W402" s="162" t="e">
        <f>W401/M380</f>
        <v>#DIV/0!</v>
      </c>
      <c r="X402" s="163"/>
      <c r="Y402" s="552" t="s">
        <v>365</v>
      </c>
      <c r="Z402" s="552"/>
      <c r="AA402" s="164" t="e">
        <f>AA401/M380</f>
        <v>#DIV/0!</v>
      </c>
      <c r="AB402" s="161"/>
      <c r="AC402" s="161"/>
      <c r="AD402" s="161"/>
      <c r="AE402" s="161"/>
      <c r="AF402" s="552" t="s">
        <v>365</v>
      </c>
      <c r="AG402" s="552"/>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452</v>
      </c>
      <c r="M403" s="116" t="s">
        <v>107</v>
      </c>
      <c r="N403" s="116" t="s">
        <v>108</v>
      </c>
      <c r="O403" s="170" t="s">
        <v>386</v>
      </c>
      <c r="P403" s="553" t="s">
        <v>375</v>
      </c>
      <c r="Q403" s="553"/>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1344</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54" t="s">
        <v>366</v>
      </c>
      <c r="V426" s="554"/>
      <c r="W426" s="162" t="e">
        <f>W425/M404</f>
        <v>#DIV/0!</v>
      </c>
      <c r="X426" s="163"/>
      <c r="Y426" s="552" t="s">
        <v>365</v>
      </c>
      <c r="Z426" s="552"/>
      <c r="AA426" s="164" t="e">
        <f>AA425/M404</f>
        <v>#DIV/0!</v>
      </c>
      <c r="AB426" s="161"/>
      <c r="AC426" s="161"/>
      <c r="AD426" s="161"/>
      <c r="AE426" s="161"/>
      <c r="AF426" s="552" t="s">
        <v>365</v>
      </c>
      <c r="AG426" s="552"/>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452</v>
      </c>
      <c r="M427" s="116" t="s">
        <v>107</v>
      </c>
      <c r="N427" s="116" t="s">
        <v>108</v>
      </c>
      <c r="O427" s="170" t="s">
        <v>386</v>
      </c>
      <c r="P427" s="553" t="s">
        <v>375</v>
      </c>
      <c r="Q427" s="553"/>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1344</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54" t="s">
        <v>366</v>
      </c>
      <c r="V450" s="554"/>
      <c r="W450" s="162" t="e">
        <f>W449/M428</f>
        <v>#DIV/0!</v>
      </c>
      <c r="X450" s="163"/>
      <c r="Y450" s="552" t="s">
        <v>365</v>
      </c>
      <c r="Z450" s="552"/>
      <c r="AA450" s="164" t="e">
        <f>AA449/M428</f>
        <v>#DIV/0!</v>
      </c>
      <c r="AB450" s="161"/>
      <c r="AC450" s="161"/>
      <c r="AD450" s="161"/>
      <c r="AE450" s="161"/>
      <c r="AF450" s="552" t="s">
        <v>365</v>
      </c>
      <c r="AG450" s="552"/>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452</v>
      </c>
      <c r="M451" s="116" t="s">
        <v>107</v>
      </c>
      <c r="N451" s="116" t="s">
        <v>108</v>
      </c>
      <c r="O451" s="170" t="s">
        <v>386</v>
      </c>
      <c r="P451" s="553" t="s">
        <v>375</v>
      </c>
      <c r="Q451" s="553"/>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1344</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54" t="s">
        <v>366</v>
      </c>
      <c r="V474" s="554"/>
      <c r="W474" s="162" t="e">
        <f>W473/M452</f>
        <v>#DIV/0!</v>
      </c>
      <c r="X474" s="163"/>
      <c r="Y474" s="552" t="s">
        <v>365</v>
      </c>
      <c r="Z474" s="552"/>
      <c r="AA474" s="164" t="e">
        <f>AA473/M452</f>
        <v>#DIV/0!</v>
      </c>
      <c r="AB474" s="161"/>
      <c r="AC474" s="161"/>
      <c r="AD474" s="161"/>
      <c r="AE474" s="161"/>
      <c r="AF474" s="552" t="s">
        <v>365</v>
      </c>
      <c r="AG474" s="552"/>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452</v>
      </c>
      <c r="M475" s="116" t="s">
        <v>107</v>
      </c>
      <c r="N475" s="116" t="s">
        <v>108</v>
      </c>
      <c r="O475" s="170" t="s">
        <v>386</v>
      </c>
      <c r="P475" s="553" t="s">
        <v>375</v>
      </c>
      <c r="Q475" s="553"/>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54" t="s">
        <v>366</v>
      </c>
      <c r="V498" s="554"/>
      <c r="W498" s="162" t="e">
        <f>W497/M476</f>
        <v>#DIV/0!</v>
      </c>
      <c r="X498" s="163"/>
      <c r="Y498" s="552" t="s">
        <v>365</v>
      </c>
      <c r="Z498" s="552"/>
      <c r="AA498" s="164" t="e">
        <f>AA497/M476</f>
        <v>#DIV/0!</v>
      </c>
      <c r="AB498" s="161"/>
      <c r="AC498" s="161"/>
      <c r="AD498" s="161"/>
      <c r="AE498" s="161"/>
      <c r="AF498" s="552" t="s">
        <v>365</v>
      </c>
      <c r="AG498" s="552"/>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452</v>
      </c>
      <c r="M499" s="116" t="s">
        <v>107</v>
      </c>
      <c r="N499" s="116" t="s">
        <v>108</v>
      </c>
      <c r="O499" s="170" t="s">
        <v>386</v>
      </c>
      <c r="P499" s="553" t="s">
        <v>375</v>
      </c>
      <c r="Q499" s="553"/>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1344</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54" t="s">
        <v>366</v>
      </c>
      <c r="V522" s="554"/>
      <c r="W522" s="162" t="e">
        <f>W521/M500</f>
        <v>#DIV/0!</v>
      </c>
      <c r="X522" s="163"/>
      <c r="Y522" s="552" t="s">
        <v>365</v>
      </c>
      <c r="Z522" s="552"/>
      <c r="AA522" s="164" t="e">
        <f>AA521/M500</f>
        <v>#DIV/0!</v>
      </c>
      <c r="AB522" s="161"/>
      <c r="AC522" s="161"/>
      <c r="AD522" s="161"/>
      <c r="AE522" s="161"/>
      <c r="AF522" s="552" t="s">
        <v>365</v>
      </c>
      <c r="AG522" s="552"/>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452</v>
      </c>
      <c r="M523" s="116" t="s">
        <v>107</v>
      </c>
      <c r="N523" s="116" t="s">
        <v>108</v>
      </c>
      <c r="O523" s="170" t="s">
        <v>386</v>
      </c>
      <c r="P523" s="553" t="s">
        <v>375</v>
      </c>
      <c r="Q523" s="553"/>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1344</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54" t="s">
        <v>366</v>
      </c>
      <c r="V546" s="554"/>
      <c r="W546" s="162" t="e">
        <f>W545/M524</f>
        <v>#DIV/0!</v>
      </c>
      <c r="X546" s="163"/>
      <c r="Y546" s="552" t="s">
        <v>365</v>
      </c>
      <c r="Z546" s="552"/>
      <c r="AA546" s="164" t="e">
        <f>AA545/M524</f>
        <v>#DIV/0!</v>
      </c>
      <c r="AB546" s="161"/>
      <c r="AC546" s="161"/>
      <c r="AD546" s="161"/>
      <c r="AE546" s="161"/>
      <c r="AF546" s="552" t="s">
        <v>365</v>
      </c>
      <c r="AG546" s="552"/>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452</v>
      </c>
      <c r="M547" s="2" t="s">
        <v>107</v>
      </c>
      <c r="N547" s="2" t="s">
        <v>108</v>
      </c>
      <c r="O547" s="97" t="s">
        <v>386</v>
      </c>
      <c r="P547" s="553" t="s">
        <v>375</v>
      </c>
      <c r="Q547" s="553"/>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1344</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54" t="s">
        <v>366</v>
      </c>
      <c r="V570" s="554"/>
      <c r="W570" s="85" t="e">
        <f>W569/M548</f>
        <v>#DIV/0!</v>
      </c>
      <c r="X570" s="86"/>
      <c r="Y570" s="552" t="s">
        <v>365</v>
      </c>
      <c r="Z570" s="552"/>
      <c r="AA570" s="87" t="e">
        <f>AA569/M548</f>
        <v>#DIV/0!</v>
      </c>
      <c r="AB570" s="84"/>
      <c r="AC570" s="84"/>
      <c r="AD570" s="84"/>
      <c r="AE570" s="84"/>
      <c r="AF570" s="552" t="s">
        <v>365</v>
      </c>
      <c r="AG570" s="552"/>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452</v>
      </c>
      <c r="M571" s="116" t="s">
        <v>107</v>
      </c>
      <c r="N571" s="116" t="s">
        <v>108</v>
      </c>
      <c r="O571" s="170" t="s">
        <v>386</v>
      </c>
      <c r="P571" s="553" t="s">
        <v>375</v>
      </c>
      <c r="Q571" s="553"/>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54" t="s">
        <v>366</v>
      </c>
      <c r="V594" s="554"/>
      <c r="W594" s="162" t="e">
        <f>W593/M572</f>
        <v>#DIV/0!</v>
      </c>
      <c r="X594" s="163"/>
      <c r="Y594" s="552" t="s">
        <v>365</v>
      </c>
      <c r="Z594" s="552"/>
      <c r="AA594" s="164" t="e">
        <f>AA593/M572</f>
        <v>#DIV/0!</v>
      </c>
      <c r="AB594" s="161"/>
      <c r="AC594" s="161"/>
      <c r="AD594" s="161"/>
      <c r="AE594" s="161"/>
      <c r="AF594" s="552" t="s">
        <v>365</v>
      </c>
      <c r="AG594" s="552"/>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452</v>
      </c>
      <c r="M595" s="116" t="s">
        <v>107</v>
      </c>
      <c r="N595" s="116" t="s">
        <v>108</v>
      </c>
      <c r="O595" s="170" t="s">
        <v>386</v>
      </c>
      <c r="P595" s="553" t="s">
        <v>375</v>
      </c>
      <c r="Q595" s="553"/>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648</v>
      </c>
      <c r="O596" s="121" t="s">
        <v>133</v>
      </c>
      <c r="P596" s="169" t="s">
        <v>379</v>
      </c>
      <c r="Q596" s="169" t="s">
        <v>375</v>
      </c>
      <c r="R596" s="169"/>
      <c r="S596" s="133">
        <f>M596</f>
        <v>0</v>
      </c>
      <c r="T596" s="119"/>
      <c r="U596" s="121" t="s">
        <v>292</v>
      </c>
      <c r="V596" s="133">
        <f>S596</f>
        <v>0</v>
      </c>
      <c r="W596" s="133">
        <f>VLOOKUP(U596,Sheet1!$B$6:$C$45,2,FALSE)*V596</f>
        <v>0</v>
      </c>
      <c r="X596" s="141"/>
      <c r="Y596" s="121" t="s">
        <v>292</v>
      </c>
      <c r="Z596" s="146">
        <f>VLOOKUP(Takeoffs!Y596,Sheet1!$B$6:$C$124,2,FALSE)</f>
        <v>0</v>
      </c>
      <c r="AA596" s="146">
        <f>Z596*AB596</f>
        <v>0</v>
      </c>
      <c r="AB596" s="143">
        <f>AD596*AC596</f>
        <v>0</v>
      </c>
      <c r="AC596" s="133">
        <f>S596</f>
        <v>0</v>
      </c>
      <c r="AD596" s="142">
        <v>1</v>
      </c>
      <c r="AE596" s="141"/>
      <c r="AF596" s="121" t="s">
        <v>292</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292</v>
      </c>
      <c r="V597" s="133">
        <f t="shared" ref="V597:V616" si="273">S597</f>
        <v>0</v>
      </c>
      <c r="W597" s="133">
        <f>VLOOKUP(U597,Sheet1!$B$6:$C$45,2,FALSE)*V597</f>
        <v>0</v>
      </c>
      <c r="X597" s="141"/>
      <c r="Y597" s="121" t="s">
        <v>292</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292</v>
      </c>
      <c r="V598" s="133">
        <f t="shared" si="273"/>
        <v>0</v>
      </c>
      <c r="W598" s="133">
        <f>VLOOKUP(U598,Sheet1!$B$6:$C$45,2,FALSE)*V598</f>
        <v>0</v>
      </c>
      <c r="X598" s="141"/>
      <c r="Y598" s="121" t="s">
        <v>292</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0</v>
      </c>
      <c r="T599" s="120"/>
      <c r="U599" s="121" t="s">
        <v>361</v>
      </c>
      <c r="V599" s="133">
        <f t="shared" si="273"/>
        <v>0</v>
      </c>
      <c r="W599" s="133">
        <f>VLOOKUP(U599,Sheet1!$B$6:$C$45,2,FALSE)*V599</f>
        <v>0</v>
      </c>
      <c r="X599" s="141"/>
      <c r="Y599" s="121" t="s">
        <v>292</v>
      </c>
      <c r="Z599" s="146">
        <f>VLOOKUP(Takeoffs!Y599,Sheet1!$B$6:$C$124,2,FALSE)</f>
        <v>0</v>
      </c>
      <c r="AA599" s="146">
        <f t="shared" si="274"/>
        <v>0</v>
      </c>
      <c r="AB599" s="143">
        <f t="shared" si="275"/>
        <v>0</v>
      </c>
      <c r="AC599" s="133">
        <f t="shared" si="276"/>
        <v>0</v>
      </c>
      <c r="AD599" s="142">
        <v>1</v>
      </c>
      <c r="AE599" s="141"/>
      <c r="AF599" s="121" t="s">
        <v>292</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0</v>
      </c>
      <c r="T600" s="120"/>
      <c r="U600" s="121" t="s">
        <v>292</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292</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0</v>
      </c>
      <c r="T601" s="120"/>
      <c r="U601" s="121" t="s">
        <v>362</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0</v>
      </c>
      <c r="T602" s="120"/>
      <c r="U602" s="121" t="s">
        <v>292</v>
      </c>
      <c r="V602" s="133">
        <f t="shared" si="273"/>
        <v>0</v>
      </c>
      <c r="W602" s="133">
        <f>VLOOKUP(U602,Sheet1!$B$6:$C$45,2,FALSE)*V602</f>
        <v>0</v>
      </c>
      <c r="X602" s="141"/>
      <c r="Y602" s="135" t="s">
        <v>422</v>
      </c>
      <c r="Z602" s="146">
        <f>VLOOKUP(Takeoffs!Y602,Sheet1!$B$6:$C$124,2,FALSE)</f>
        <v>23.4</v>
      </c>
      <c r="AA602" s="146">
        <f t="shared" si="274"/>
        <v>0</v>
      </c>
      <c r="AB602" s="143">
        <f t="shared" si="275"/>
        <v>0</v>
      </c>
      <c r="AC602" s="133">
        <f t="shared" si="276"/>
        <v>0</v>
      </c>
      <c r="AD602" s="142">
        <v>1</v>
      </c>
      <c r="AE602" s="141"/>
      <c r="AF602" s="121" t="s">
        <v>292</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0</v>
      </c>
      <c r="T603" s="120"/>
      <c r="U603" s="121" t="s">
        <v>292</v>
      </c>
      <c r="V603" s="133">
        <f t="shared" si="273"/>
        <v>0</v>
      </c>
      <c r="W603" s="133">
        <f>VLOOKUP(U603,Sheet1!$B$6:$C$45,2,FALSE)*V603</f>
        <v>0</v>
      </c>
      <c r="X603" s="141"/>
      <c r="Y603" s="122" t="s">
        <v>333</v>
      </c>
      <c r="Z603" s="146">
        <f>VLOOKUP(Takeoffs!Y603,Sheet1!$B$6:$C$124,2,FALSE)</f>
        <v>60</v>
      </c>
      <c r="AA603" s="146">
        <f t="shared" si="274"/>
        <v>0</v>
      </c>
      <c r="AB603" s="143">
        <f t="shared" si="275"/>
        <v>0</v>
      </c>
      <c r="AC603" s="133">
        <f t="shared" si="276"/>
        <v>0</v>
      </c>
      <c r="AD603" s="142">
        <v>1</v>
      </c>
      <c r="AE603" s="141"/>
      <c r="AF603" s="121" t="s">
        <v>292</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292</v>
      </c>
      <c r="V604" s="133">
        <f t="shared" si="273"/>
        <v>0</v>
      </c>
      <c r="W604" s="133">
        <f>VLOOKUP(U604,Sheet1!$B$6:$C$45,2,FALSE)*V604</f>
        <v>0</v>
      </c>
      <c r="X604" s="141"/>
      <c r="Y604" s="121" t="s">
        <v>292</v>
      </c>
      <c r="Z604" s="146">
        <f>VLOOKUP(Takeoffs!Y604,Sheet1!$B$6:$C$124,2,FALSE)</f>
        <v>0</v>
      </c>
      <c r="AA604" s="146">
        <f t="shared" si="274"/>
        <v>0</v>
      </c>
      <c r="AB604" s="143">
        <f t="shared" si="275"/>
        <v>0</v>
      </c>
      <c r="AC604" s="133">
        <f t="shared" si="276"/>
        <v>0</v>
      </c>
      <c r="AD604" s="142">
        <v>1</v>
      </c>
      <c r="AE604" s="141"/>
      <c r="AF604" s="121" t="s">
        <v>292</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292</v>
      </c>
      <c r="V605" s="133">
        <f t="shared" si="273"/>
        <v>0</v>
      </c>
      <c r="W605" s="133">
        <f>VLOOKUP(U605,Sheet1!$B$6:$C$45,2,FALSE)*V605</f>
        <v>0</v>
      </c>
      <c r="X605" s="141"/>
      <c r="Y605" s="121" t="s">
        <v>292</v>
      </c>
      <c r="Z605" s="146">
        <f>VLOOKUP(Takeoffs!Y605,Sheet1!$B$6:$C$124,2,FALSE)</f>
        <v>0</v>
      </c>
      <c r="AA605" s="146">
        <f t="shared" si="274"/>
        <v>0</v>
      </c>
      <c r="AB605" s="143">
        <f t="shared" si="275"/>
        <v>0</v>
      </c>
      <c r="AC605" s="133">
        <f t="shared" si="276"/>
        <v>0</v>
      </c>
      <c r="AD605" s="142">
        <v>1</v>
      </c>
      <c r="AE605" s="141"/>
      <c r="AF605" s="121" t="s">
        <v>292</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292</v>
      </c>
      <c r="V606" s="133">
        <f t="shared" si="273"/>
        <v>0</v>
      </c>
      <c r="W606" s="133">
        <f>VLOOKUP(U606,Sheet1!$B$6:$C$45,2,FALSE)*V606</f>
        <v>0</v>
      </c>
      <c r="X606" s="141"/>
      <c r="Y606" s="121" t="s">
        <v>292</v>
      </c>
      <c r="Z606" s="146">
        <f>VLOOKUP(Takeoffs!Y606,Sheet1!$B$6:$C$124,2,FALSE)</f>
        <v>0</v>
      </c>
      <c r="AA606" s="146">
        <f t="shared" si="274"/>
        <v>0</v>
      </c>
      <c r="AB606" s="143">
        <f t="shared" si="275"/>
        <v>0</v>
      </c>
      <c r="AC606" s="133">
        <f t="shared" si="276"/>
        <v>0</v>
      </c>
      <c r="AD606" s="142">
        <v>1</v>
      </c>
      <c r="AE606" s="141"/>
      <c r="AF606" s="121" t="s">
        <v>292</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292</v>
      </c>
      <c r="V607" s="133">
        <f t="shared" si="273"/>
        <v>0</v>
      </c>
      <c r="W607" s="133">
        <f>VLOOKUP(U607,Sheet1!$B$6:$C$45,2,FALSE)*V607</f>
        <v>0</v>
      </c>
      <c r="X607" s="141"/>
      <c r="Y607" s="121" t="s">
        <v>292</v>
      </c>
      <c r="Z607" s="146">
        <f>VLOOKUP(Takeoffs!Y607,Sheet1!$B$6:$C$124,2,FALSE)</f>
        <v>0</v>
      </c>
      <c r="AA607" s="146">
        <f t="shared" si="274"/>
        <v>0</v>
      </c>
      <c r="AB607" s="143">
        <f t="shared" si="275"/>
        <v>0</v>
      </c>
      <c r="AC607" s="133">
        <f t="shared" si="276"/>
        <v>0</v>
      </c>
      <c r="AD607" s="142">
        <v>1</v>
      </c>
      <c r="AE607" s="141"/>
      <c r="AF607" s="121" t="s">
        <v>292</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292</v>
      </c>
      <c r="V608" s="133">
        <f t="shared" si="273"/>
        <v>0</v>
      </c>
      <c r="W608" s="133">
        <f>VLOOKUP(U608,Sheet1!$B$6:$C$45,2,FALSE)*V608</f>
        <v>0</v>
      </c>
      <c r="X608" s="141"/>
      <c r="Y608" s="121" t="s">
        <v>292</v>
      </c>
      <c r="Z608" s="146">
        <f>VLOOKUP(Takeoffs!Y608,Sheet1!$B$6:$C$124,2,FALSE)</f>
        <v>0</v>
      </c>
      <c r="AA608" s="146">
        <f t="shared" si="274"/>
        <v>0</v>
      </c>
      <c r="AB608" s="143">
        <f t="shared" si="275"/>
        <v>0</v>
      </c>
      <c r="AC608" s="133">
        <f t="shared" si="276"/>
        <v>0</v>
      </c>
      <c r="AD608" s="142">
        <v>1</v>
      </c>
      <c r="AE608" s="141"/>
      <c r="AF608" s="121" t="s">
        <v>292</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292</v>
      </c>
      <c r="V609" s="133">
        <f t="shared" si="273"/>
        <v>0</v>
      </c>
      <c r="W609" s="133">
        <f>VLOOKUP(U609,Sheet1!$B$6:$C$45,2,FALSE)*V609</f>
        <v>0</v>
      </c>
      <c r="X609" s="141"/>
      <c r="Y609" s="121" t="s">
        <v>292</v>
      </c>
      <c r="Z609" s="146">
        <f>VLOOKUP(Takeoffs!Y609,Sheet1!$B$6:$C$124,2,FALSE)</f>
        <v>0</v>
      </c>
      <c r="AA609" s="146">
        <f t="shared" si="274"/>
        <v>0</v>
      </c>
      <c r="AB609" s="143">
        <f t="shared" si="275"/>
        <v>0</v>
      </c>
      <c r="AC609" s="133">
        <f t="shared" si="276"/>
        <v>0</v>
      </c>
      <c r="AD609" s="142">
        <v>1</v>
      </c>
      <c r="AE609" s="141"/>
      <c r="AF609" s="121" t="s">
        <v>292</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292</v>
      </c>
      <c r="V610" s="133">
        <f t="shared" si="273"/>
        <v>0</v>
      </c>
      <c r="W610" s="133">
        <f>VLOOKUP(U610,Sheet1!$B$6:$C$45,2,FALSE)*V610</f>
        <v>0</v>
      </c>
      <c r="X610" s="141"/>
      <c r="Y610" s="121" t="s">
        <v>292</v>
      </c>
      <c r="Z610" s="146">
        <f>VLOOKUP(Takeoffs!Y610,Sheet1!$B$6:$C$124,2,FALSE)</f>
        <v>0</v>
      </c>
      <c r="AA610" s="146">
        <f t="shared" si="274"/>
        <v>0</v>
      </c>
      <c r="AB610" s="143">
        <f t="shared" si="275"/>
        <v>0</v>
      </c>
      <c r="AC610" s="133">
        <f t="shared" si="276"/>
        <v>0</v>
      </c>
      <c r="AD610" s="142">
        <v>1</v>
      </c>
      <c r="AE610" s="141"/>
      <c r="AF610" s="121" t="s">
        <v>292</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292</v>
      </c>
      <c r="V611" s="133">
        <f t="shared" si="273"/>
        <v>0</v>
      </c>
      <c r="W611" s="133">
        <f>VLOOKUP(U611,Sheet1!$B$6:$C$45,2,FALSE)*V611</f>
        <v>0</v>
      </c>
      <c r="X611" s="141"/>
      <c r="Y611" s="121" t="s">
        <v>292</v>
      </c>
      <c r="Z611" s="146">
        <f>VLOOKUP(Takeoffs!Y611,Sheet1!$B$6:$C$124,2,FALSE)</f>
        <v>0</v>
      </c>
      <c r="AA611" s="146">
        <f t="shared" si="274"/>
        <v>0</v>
      </c>
      <c r="AB611" s="143">
        <f t="shared" si="275"/>
        <v>0</v>
      </c>
      <c r="AC611" s="133">
        <f t="shared" si="276"/>
        <v>0</v>
      </c>
      <c r="AD611" s="142">
        <v>2</v>
      </c>
      <c r="AE611" s="141"/>
      <c r="AF611" s="121" t="s">
        <v>292</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292</v>
      </c>
      <c r="V612" s="133">
        <f t="shared" si="273"/>
        <v>0</v>
      </c>
      <c r="W612" s="133">
        <f>VLOOKUP(U612,Sheet1!$B$6:$C$45,2,FALSE)*V612</f>
        <v>0</v>
      </c>
      <c r="X612" s="141"/>
      <c r="Y612" s="121" t="s">
        <v>292</v>
      </c>
      <c r="Z612" s="146">
        <f>VLOOKUP(Takeoffs!Y612,Sheet1!$B$6:$C$124,2,FALSE)</f>
        <v>0</v>
      </c>
      <c r="AA612" s="146">
        <f t="shared" si="274"/>
        <v>0</v>
      </c>
      <c r="AB612" s="143">
        <f t="shared" si="275"/>
        <v>0</v>
      </c>
      <c r="AC612" s="133">
        <f t="shared" si="276"/>
        <v>0</v>
      </c>
      <c r="AD612" s="142">
        <v>1</v>
      </c>
      <c r="AE612" s="141"/>
      <c r="AF612" s="121" t="s">
        <v>292</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292</v>
      </c>
      <c r="V613" s="133">
        <f t="shared" si="273"/>
        <v>0</v>
      </c>
      <c r="W613" s="133">
        <f>VLOOKUP(U613,Sheet1!$B$6:$C$45,2,FALSE)*V613</f>
        <v>0</v>
      </c>
      <c r="X613" s="141"/>
      <c r="Y613" s="121" t="s">
        <v>292</v>
      </c>
      <c r="Z613" s="146">
        <f>VLOOKUP(Takeoffs!Y613,Sheet1!$B$6:$C$124,2,FALSE)</f>
        <v>0</v>
      </c>
      <c r="AA613" s="146">
        <f t="shared" si="274"/>
        <v>0</v>
      </c>
      <c r="AB613" s="143">
        <f t="shared" si="275"/>
        <v>0</v>
      </c>
      <c r="AC613" s="133">
        <f t="shared" si="276"/>
        <v>0</v>
      </c>
      <c r="AD613" s="142">
        <v>1</v>
      </c>
      <c r="AE613" s="141"/>
      <c r="AF613" s="121" t="s">
        <v>292</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292</v>
      </c>
      <c r="V614" s="133">
        <f t="shared" si="273"/>
        <v>0</v>
      </c>
      <c r="W614" s="133">
        <f>VLOOKUP(U614,Sheet1!$B$6:$C$45,2,FALSE)*V614</f>
        <v>0</v>
      </c>
      <c r="X614" s="141"/>
      <c r="Y614" s="121" t="s">
        <v>292</v>
      </c>
      <c r="Z614" s="146">
        <f>VLOOKUP(Takeoffs!Y614,Sheet1!$B$6:$C$124,2,FALSE)</f>
        <v>0</v>
      </c>
      <c r="AA614" s="146">
        <f t="shared" si="274"/>
        <v>0</v>
      </c>
      <c r="AB614" s="143">
        <f t="shared" si="275"/>
        <v>0</v>
      </c>
      <c r="AC614" s="133">
        <f t="shared" si="276"/>
        <v>0</v>
      </c>
      <c r="AD614" s="142">
        <v>1</v>
      </c>
      <c r="AE614" s="141"/>
      <c r="AF614" s="121" t="s">
        <v>292</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292</v>
      </c>
      <c r="V615" s="133">
        <f t="shared" si="273"/>
        <v>0</v>
      </c>
      <c r="W615" s="133">
        <f>VLOOKUP(U615,Sheet1!$B$6:$C$45,2,FALSE)*V615</f>
        <v>0</v>
      </c>
      <c r="X615" s="141"/>
      <c r="Y615" s="121" t="s">
        <v>292</v>
      </c>
      <c r="Z615" s="146">
        <f>VLOOKUP(Takeoffs!Y615,Sheet1!$B$6:$C$124,2,FALSE)</f>
        <v>0</v>
      </c>
      <c r="AA615" s="146">
        <f t="shared" si="274"/>
        <v>0</v>
      </c>
      <c r="AB615" s="143">
        <f t="shared" si="275"/>
        <v>0</v>
      </c>
      <c r="AC615" s="133">
        <f t="shared" si="276"/>
        <v>0</v>
      </c>
      <c r="AD615" s="142">
        <v>1</v>
      </c>
      <c r="AE615" s="141"/>
      <c r="AF615" s="121" t="s">
        <v>292</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0</v>
      </c>
      <c r="T616" s="120"/>
      <c r="U616" s="121" t="s">
        <v>292</v>
      </c>
      <c r="V616" s="133">
        <f t="shared" si="273"/>
        <v>0</v>
      </c>
      <c r="W616" s="133">
        <f>VLOOKUP(U616,Sheet1!$B$6:$C$45,2,FALSE)*V616</f>
        <v>0</v>
      </c>
      <c r="X616" s="141"/>
      <c r="Y616" s="121" t="s">
        <v>292</v>
      </c>
      <c r="Z616" s="146">
        <f>VLOOKUP(Takeoffs!Y616,Sheet1!$B$6:$C$124,2,FALSE)</f>
        <v>0</v>
      </c>
      <c r="AA616" s="146">
        <f t="shared" si="274"/>
        <v>0</v>
      </c>
      <c r="AB616" s="143">
        <f t="shared" si="275"/>
        <v>0</v>
      </c>
      <c r="AC616" s="133">
        <f t="shared" si="276"/>
        <v>0</v>
      </c>
      <c r="AD616" s="142">
        <v>1</v>
      </c>
      <c r="AE616" s="141"/>
      <c r="AF616" s="121" t="s">
        <v>292</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377</v>
      </c>
      <c r="L617" s="128" t="s">
        <v>378</v>
      </c>
      <c r="N617" s="129"/>
      <c r="O617" s="130" t="s">
        <v>357</v>
      </c>
      <c r="P617" s="155">
        <f>V617+AA617+AH617</f>
        <v>0</v>
      </c>
      <c r="Q617" s="155"/>
      <c r="R617" s="131"/>
      <c r="S617" s="130"/>
      <c r="T617" s="127"/>
      <c r="U617" s="126" t="s">
        <v>351</v>
      </c>
      <c r="V617" s="127">
        <f>W617*80</f>
        <v>0</v>
      </c>
      <c r="W617" s="147">
        <f>SUM(W596:W616)</f>
        <v>0</v>
      </c>
      <c r="X617" s="148"/>
      <c r="Y617" s="127" t="s">
        <v>352</v>
      </c>
      <c r="Z617" s="116"/>
      <c r="AA617" s="116">
        <f>SUM(AA596:AA616)</f>
        <v>0</v>
      </c>
      <c r="AB617" s="149"/>
      <c r="AC617" s="149"/>
      <c r="AD617" s="149"/>
      <c r="AE617" s="149"/>
      <c r="AF617" s="127" t="s">
        <v>356</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27.3" hidden="1"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t="e">
        <f>P617/M596</f>
        <v>#DIV/0!</v>
      </c>
      <c r="Q618" s="195"/>
      <c r="R618" s="188"/>
      <c r="S618" s="160"/>
      <c r="T618" s="161"/>
      <c r="U618" s="554" t="s">
        <v>366</v>
      </c>
      <c r="V618" s="554"/>
      <c r="W618" s="162" t="e">
        <f>W617/M596</f>
        <v>#DIV/0!</v>
      </c>
      <c r="X618" s="163"/>
      <c r="Y618" s="552" t="s">
        <v>365</v>
      </c>
      <c r="Z618" s="552"/>
      <c r="AA618" s="164" t="e">
        <f>AA617/M596</f>
        <v>#DIV/0!</v>
      </c>
      <c r="AB618" s="161"/>
      <c r="AC618" s="161"/>
      <c r="AD618" s="161"/>
      <c r="AE618" s="161"/>
      <c r="AF618" s="552" t="s">
        <v>365</v>
      </c>
      <c r="AG618" s="552"/>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452</v>
      </c>
      <c r="M619" s="116" t="s">
        <v>107</v>
      </c>
      <c r="N619" s="116" t="s">
        <v>108</v>
      </c>
      <c r="O619" s="170" t="s">
        <v>386</v>
      </c>
      <c r="P619" s="553" t="s">
        <v>375</v>
      </c>
      <c r="Q619" s="553"/>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54" t="s">
        <v>366</v>
      </c>
      <c r="V642" s="554"/>
      <c r="W642" s="162" t="e">
        <f>W641/M620</f>
        <v>#DIV/0!</v>
      </c>
      <c r="X642" s="163"/>
      <c r="Y642" s="552" t="s">
        <v>365</v>
      </c>
      <c r="Z642" s="552"/>
      <c r="AA642" s="164" t="e">
        <f>AA641/M620</f>
        <v>#DIV/0!</v>
      </c>
      <c r="AB642" s="161"/>
      <c r="AC642" s="161"/>
      <c r="AD642" s="161"/>
      <c r="AE642" s="161"/>
      <c r="AF642" s="552" t="s">
        <v>365</v>
      </c>
      <c r="AG642" s="552"/>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452</v>
      </c>
      <c r="M643" s="116" t="s">
        <v>107</v>
      </c>
      <c r="N643" s="116" t="s">
        <v>108</v>
      </c>
      <c r="O643" s="170" t="s">
        <v>386</v>
      </c>
      <c r="P643" s="553" t="s">
        <v>375</v>
      </c>
      <c r="Q643" s="553"/>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780</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1344</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54" t="s">
        <v>366</v>
      </c>
      <c r="V666" s="554"/>
      <c r="W666" s="162" t="e">
        <f>W665/M644</f>
        <v>#DIV/0!</v>
      </c>
      <c r="X666" s="163"/>
      <c r="Y666" s="552" t="s">
        <v>365</v>
      </c>
      <c r="Z666" s="552"/>
      <c r="AA666" s="164" t="e">
        <f>AA665/M644</f>
        <v>#DIV/0!</v>
      </c>
      <c r="AB666" s="161"/>
      <c r="AC666" s="161"/>
      <c r="AD666" s="161"/>
      <c r="AE666" s="161"/>
      <c r="AF666" s="552" t="s">
        <v>365</v>
      </c>
      <c r="AG666" s="552"/>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452</v>
      </c>
      <c r="M667" s="116" t="s">
        <v>107</v>
      </c>
      <c r="N667" s="116" t="s">
        <v>108</v>
      </c>
      <c r="O667" s="170" t="s">
        <v>386</v>
      </c>
      <c r="P667" s="553" t="s">
        <v>375</v>
      </c>
      <c r="Q667" s="553"/>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1344</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54" t="s">
        <v>366</v>
      </c>
      <c r="V690" s="554"/>
      <c r="W690" s="162" t="e">
        <f>W689/M668</f>
        <v>#DIV/0!</v>
      </c>
      <c r="X690" s="163"/>
      <c r="Y690" s="552" t="s">
        <v>365</v>
      </c>
      <c r="Z690" s="552"/>
      <c r="AA690" s="164" t="e">
        <f>AA689/M668</f>
        <v>#DIV/0!</v>
      </c>
      <c r="AB690" s="161"/>
      <c r="AC690" s="161"/>
      <c r="AD690" s="161"/>
      <c r="AE690" s="161"/>
      <c r="AF690" s="552" t="s">
        <v>365</v>
      </c>
      <c r="AG690" s="552"/>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452</v>
      </c>
      <c r="M691" s="116" t="s">
        <v>107</v>
      </c>
      <c r="N691" s="116" t="s">
        <v>108</v>
      </c>
      <c r="O691" s="170" t="s">
        <v>386</v>
      </c>
      <c r="P691" s="553" t="s">
        <v>375</v>
      </c>
      <c r="Q691" s="553"/>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1344</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54" t="s">
        <v>366</v>
      </c>
      <c r="V714" s="554"/>
      <c r="W714" s="162" t="e">
        <f>W713/M692</f>
        <v>#DIV/0!</v>
      </c>
      <c r="X714" s="163"/>
      <c r="Y714" s="552" t="s">
        <v>365</v>
      </c>
      <c r="Z714" s="552"/>
      <c r="AA714" s="164" t="e">
        <f>AA713/M692</f>
        <v>#DIV/0!</v>
      </c>
      <c r="AB714" s="161"/>
      <c r="AC714" s="161"/>
      <c r="AD714" s="161"/>
      <c r="AE714" s="161"/>
      <c r="AF714" s="552" t="s">
        <v>365</v>
      </c>
      <c r="AG714" s="552"/>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452</v>
      </c>
      <c r="M715" s="116" t="s">
        <v>107</v>
      </c>
      <c r="N715" s="116" t="s">
        <v>108</v>
      </c>
      <c r="O715" s="170" t="s">
        <v>386</v>
      </c>
      <c r="P715" s="553" t="s">
        <v>375</v>
      </c>
      <c r="Q715" s="553"/>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1344</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54" t="s">
        <v>366</v>
      </c>
      <c r="V738" s="554"/>
      <c r="W738" s="162" t="e">
        <f>W737/M716</f>
        <v>#DIV/0!</v>
      </c>
      <c r="X738" s="163"/>
      <c r="Y738" s="552" t="s">
        <v>365</v>
      </c>
      <c r="Z738" s="552"/>
      <c r="AA738" s="164" t="e">
        <f>AA737/M716</f>
        <v>#DIV/0!</v>
      </c>
      <c r="AB738" s="161"/>
      <c r="AC738" s="161"/>
      <c r="AD738" s="161"/>
      <c r="AE738" s="161"/>
      <c r="AF738" s="552" t="s">
        <v>365</v>
      </c>
      <c r="AG738" s="552"/>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452</v>
      </c>
      <c r="M739" s="116" t="s">
        <v>107</v>
      </c>
      <c r="N739" s="116" t="s">
        <v>108</v>
      </c>
      <c r="O739" s="170" t="s">
        <v>386</v>
      </c>
      <c r="P739" s="553" t="s">
        <v>375</v>
      </c>
      <c r="Q739" s="553"/>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1344</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54" t="s">
        <v>366</v>
      </c>
      <c r="V762" s="554"/>
      <c r="W762" s="162" t="e">
        <f>W761/M740</f>
        <v>#DIV/0!</v>
      </c>
      <c r="X762" s="163"/>
      <c r="Y762" s="552" t="s">
        <v>365</v>
      </c>
      <c r="Z762" s="552"/>
      <c r="AA762" s="164" t="e">
        <f>AA761/M740</f>
        <v>#DIV/0!</v>
      </c>
      <c r="AB762" s="161"/>
      <c r="AC762" s="161"/>
      <c r="AD762" s="161"/>
      <c r="AE762" s="161"/>
      <c r="AF762" s="552" t="s">
        <v>365</v>
      </c>
      <c r="AG762" s="552"/>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452</v>
      </c>
      <c r="M763" s="116" t="s">
        <v>107</v>
      </c>
      <c r="N763" s="116" t="s">
        <v>108</v>
      </c>
      <c r="O763" s="170" t="s">
        <v>386</v>
      </c>
      <c r="P763" s="553" t="s">
        <v>375</v>
      </c>
      <c r="Q763" s="553"/>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1344</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54" t="s">
        <v>366</v>
      </c>
      <c r="V786" s="554"/>
      <c r="W786" s="162" t="e">
        <f>W785/M764</f>
        <v>#DIV/0!</v>
      </c>
      <c r="X786" s="163"/>
      <c r="Y786" s="552" t="s">
        <v>365</v>
      </c>
      <c r="Z786" s="552"/>
      <c r="AA786" s="164" t="e">
        <f>AA785/M764</f>
        <v>#DIV/0!</v>
      </c>
      <c r="AB786" s="161"/>
      <c r="AC786" s="161"/>
      <c r="AD786" s="161"/>
      <c r="AE786" s="161"/>
      <c r="AF786" s="552" t="s">
        <v>365</v>
      </c>
      <c r="AG786" s="552"/>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452</v>
      </c>
      <c r="M787" s="116" t="s">
        <v>107</v>
      </c>
      <c r="N787" s="116" t="s">
        <v>108</v>
      </c>
      <c r="O787" s="170" t="s">
        <v>386</v>
      </c>
      <c r="P787" s="555" t="s">
        <v>375</v>
      </c>
      <c r="Q787" s="555"/>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1344</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54" t="s">
        <v>366</v>
      </c>
      <c r="V810" s="554"/>
      <c r="W810" s="162" t="e">
        <f>W809/M788</f>
        <v>#DIV/0!</v>
      </c>
      <c r="X810" s="163"/>
      <c r="Y810" s="552" t="s">
        <v>365</v>
      </c>
      <c r="Z810" s="552"/>
      <c r="AA810" s="164" t="e">
        <f>AA809/M788</f>
        <v>#DIV/0!</v>
      </c>
      <c r="AB810" s="161"/>
      <c r="AC810" s="161"/>
      <c r="AD810" s="161"/>
      <c r="AE810" s="161"/>
      <c r="AF810" s="552" t="s">
        <v>365</v>
      </c>
      <c r="AG810" s="552"/>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452</v>
      </c>
      <c r="M811" s="116" t="s">
        <v>107</v>
      </c>
      <c r="N811" s="116" t="s">
        <v>108</v>
      </c>
      <c r="O811" s="170" t="s">
        <v>386</v>
      </c>
      <c r="P811" s="555" t="s">
        <v>375</v>
      </c>
      <c r="Q811" s="555"/>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1344</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54" t="s">
        <v>366</v>
      </c>
      <c r="V834" s="554"/>
      <c r="W834" s="162" t="e">
        <f>W833/M812</f>
        <v>#DIV/0!</v>
      </c>
      <c r="X834" s="163"/>
      <c r="Y834" s="552" t="s">
        <v>365</v>
      </c>
      <c r="Z834" s="552"/>
      <c r="AA834" s="164" t="e">
        <f>AA833/M812</f>
        <v>#DIV/0!</v>
      </c>
      <c r="AB834" s="161"/>
      <c r="AC834" s="161"/>
      <c r="AD834" s="161"/>
      <c r="AE834" s="161"/>
      <c r="AF834" s="552" t="s">
        <v>365</v>
      </c>
      <c r="AG834" s="552"/>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452</v>
      </c>
      <c r="M835" s="116" t="s">
        <v>107</v>
      </c>
      <c r="N835" s="116" t="s">
        <v>108</v>
      </c>
      <c r="O835" s="170" t="s">
        <v>386</v>
      </c>
      <c r="P835" s="555" t="s">
        <v>375</v>
      </c>
      <c r="Q835" s="555"/>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1344</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hidden="1"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54" t="s">
        <v>366</v>
      </c>
      <c r="V858" s="554"/>
      <c r="W858" s="162" t="e">
        <f>W857/M836</f>
        <v>#DIV/0!</v>
      </c>
      <c r="X858" s="163"/>
      <c r="Y858" s="552" t="s">
        <v>365</v>
      </c>
      <c r="Z858" s="552"/>
      <c r="AA858" s="164" t="e">
        <f>AA857/M836</f>
        <v>#DIV/0!</v>
      </c>
      <c r="AB858" s="161"/>
      <c r="AC858" s="161"/>
      <c r="AD858" s="161"/>
      <c r="AE858" s="161"/>
      <c r="AF858" s="552" t="s">
        <v>365</v>
      </c>
      <c r="AG858" s="552"/>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452</v>
      </c>
      <c r="M859" s="116" t="s">
        <v>107</v>
      </c>
      <c r="N859" s="116" t="s">
        <v>108</v>
      </c>
      <c r="O859" s="170" t="s">
        <v>386</v>
      </c>
      <c r="P859" s="555" t="s">
        <v>375</v>
      </c>
      <c r="Q859" s="555"/>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1344</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54" t="s">
        <v>366</v>
      </c>
      <c r="V882" s="554"/>
      <c r="W882" s="162" t="e">
        <f>W881/M860</f>
        <v>#DIV/0!</v>
      </c>
      <c r="X882" s="163"/>
      <c r="Y882" s="552" t="s">
        <v>365</v>
      </c>
      <c r="Z882" s="552"/>
      <c r="AA882" s="164" t="e">
        <f>AA881/M860</f>
        <v>#DIV/0!</v>
      </c>
      <c r="AB882" s="161"/>
      <c r="AC882" s="161"/>
      <c r="AD882" s="161"/>
      <c r="AE882" s="161"/>
      <c r="AF882" s="552" t="s">
        <v>365</v>
      </c>
      <c r="AG882" s="552"/>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452</v>
      </c>
      <c r="M883" s="116" t="s">
        <v>107</v>
      </c>
      <c r="N883" s="116" t="s">
        <v>108</v>
      </c>
      <c r="O883" s="170" t="s">
        <v>386</v>
      </c>
      <c r="P883" s="555" t="s">
        <v>375</v>
      </c>
      <c r="Q883" s="555"/>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1344</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54" t="s">
        <v>366</v>
      </c>
      <c r="V906" s="554"/>
      <c r="W906" s="162" t="e">
        <f>W905/M884</f>
        <v>#DIV/0!</v>
      </c>
      <c r="X906" s="163"/>
      <c r="Y906" s="552" t="s">
        <v>365</v>
      </c>
      <c r="Z906" s="552"/>
      <c r="AA906" s="164" t="e">
        <f>AA905/M884</f>
        <v>#DIV/0!</v>
      </c>
      <c r="AB906" s="161"/>
      <c r="AC906" s="161"/>
      <c r="AD906" s="161"/>
      <c r="AE906" s="161"/>
      <c r="AF906" s="552" t="s">
        <v>365</v>
      </c>
      <c r="AG906" s="552"/>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452</v>
      </c>
      <c r="M907" s="116" t="s">
        <v>107</v>
      </c>
      <c r="N907" s="116" t="s">
        <v>108</v>
      </c>
      <c r="O907" s="170" t="s">
        <v>386</v>
      </c>
      <c r="P907" s="555" t="s">
        <v>375</v>
      </c>
      <c r="Q907" s="555"/>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1344</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54" t="s">
        <v>366</v>
      </c>
      <c r="V930" s="554"/>
      <c r="W930" s="162" t="e">
        <f>W929/M908</f>
        <v>#DIV/0!</v>
      </c>
      <c r="X930" s="163"/>
      <c r="Y930" s="552" t="s">
        <v>365</v>
      </c>
      <c r="Z930" s="552"/>
      <c r="AA930" s="164" t="e">
        <f>AA929/M908</f>
        <v>#DIV/0!</v>
      </c>
      <c r="AB930" s="161"/>
      <c r="AC930" s="161"/>
      <c r="AD930" s="161"/>
      <c r="AE930" s="161"/>
      <c r="AF930" s="552" t="s">
        <v>365</v>
      </c>
      <c r="AG930" s="552"/>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452</v>
      </c>
      <c r="M931" s="116" t="s">
        <v>107</v>
      </c>
      <c r="N931" s="116" t="s">
        <v>108</v>
      </c>
      <c r="O931" s="170" t="s">
        <v>386</v>
      </c>
      <c r="P931" s="555" t="s">
        <v>375</v>
      </c>
      <c r="Q931" s="555"/>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1344</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54" t="s">
        <v>366</v>
      </c>
      <c r="V954" s="554"/>
      <c r="W954" s="162" t="e">
        <f>W953/M932</f>
        <v>#DIV/0!</v>
      </c>
      <c r="X954" s="163"/>
      <c r="Y954" s="552" t="s">
        <v>365</v>
      </c>
      <c r="Z954" s="552"/>
      <c r="AA954" s="164" t="e">
        <f>AA953/M932</f>
        <v>#DIV/0!</v>
      </c>
      <c r="AB954" s="161"/>
      <c r="AC954" s="161"/>
      <c r="AD954" s="161"/>
      <c r="AE954" s="161"/>
      <c r="AF954" s="552" t="s">
        <v>365</v>
      </c>
      <c r="AG954" s="552"/>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452</v>
      </c>
      <c r="M956" s="116" t="s">
        <v>107</v>
      </c>
      <c r="N956" s="116" t="s">
        <v>108</v>
      </c>
      <c r="O956" s="170" t="s">
        <v>386</v>
      </c>
      <c r="P956" s="555" t="s">
        <v>375</v>
      </c>
      <c r="Q956" s="555"/>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1344</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54" t="s">
        <v>366</v>
      </c>
      <c r="V979" s="554"/>
      <c r="W979" s="162" t="e">
        <f>W978/M957</f>
        <v>#DIV/0!</v>
      </c>
      <c r="X979" s="163"/>
      <c r="Y979" s="552" t="s">
        <v>365</v>
      </c>
      <c r="Z979" s="552"/>
      <c r="AA979" s="164" t="e">
        <f>AA978/M957</f>
        <v>#DIV/0!</v>
      </c>
      <c r="AB979" s="161"/>
      <c r="AC979" s="161"/>
      <c r="AD979" s="161"/>
      <c r="AE979" s="161"/>
      <c r="AF979" s="552" t="s">
        <v>365</v>
      </c>
      <c r="AG979" s="552"/>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452</v>
      </c>
      <c r="M980" s="116" t="s">
        <v>107</v>
      </c>
      <c r="N980" s="116" t="s">
        <v>108</v>
      </c>
      <c r="O980" s="170" t="s">
        <v>386</v>
      </c>
      <c r="P980" s="555" t="s">
        <v>375</v>
      </c>
      <c r="Q980" s="555"/>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1344</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54" t="s">
        <v>366</v>
      </c>
      <c r="V1003" s="554"/>
      <c r="W1003" s="162" t="e">
        <f>W1002/M981</f>
        <v>#DIV/0!</v>
      </c>
      <c r="X1003" s="163"/>
      <c r="Y1003" s="552" t="s">
        <v>365</v>
      </c>
      <c r="Z1003" s="552"/>
      <c r="AA1003" s="164" t="e">
        <f>AA1002/M981</f>
        <v>#DIV/0!</v>
      </c>
      <c r="AB1003" s="161"/>
      <c r="AC1003" s="161"/>
      <c r="AD1003" s="161"/>
      <c r="AE1003" s="161"/>
      <c r="AF1003" s="552" t="s">
        <v>365</v>
      </c>
      <c r="AG1003" s="552"/>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452</v>
      </c>
      <c r="M1004" s="116" t="s">
        <v>107</v>
      </c>
      <c r="N1004" s="116" t="s">
        <v>108</v>
      </c>
      <c r="O1004" s="170" t="s">
        <v>386</v>
      </c>
      <c r="P1004" s="555" t="s">
        <v>375</v>
      </c>
      <c r="Q1004" s="555"/>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1344</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54" t="s">
        <v>366</v>
      </c>
      <c r="V1027" s="554"/>
      <c r="W1027" s="162" t="e">
        <f>W1026/M1005</f>
        <v>#DIV/0!</v>
      </c>
      <c r="X1027" s="163"/>
      <c r="Y1027" s="552" t="s">
        <v>365</v>
      </c>
      <c r="Z1027" s="552"/>
      <c r="AA1027" s="164" t="e">
        <f>AA1026/M1005</f>
        <v>#DIV/0!</v>
      </c>
      <c r="AB1027" s="161"/>
      <c r="AC1027" s="161"/>
      <c r="AD1027" s="161"/>
      <c r="AE1027" s="161"/>
      <c r="AF1027" s="552" t="s">
        <v>365</v>
      </c>
      <c r="AG1027" s="552"/>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452</v>
      </c>
      <c r="M1028" s="116" t="s">
        <v>107</v>
      </c>
      <c r="N1028" s="116" t="s">
        <v>108</v>
      </c>
      <c r="O1028" s="170" t="s">
        <v>386</v>
      </c>
      <c r="P1028" s="555" t="s">
        <v>375</v>
      </c>
      <c r="Q1028" s="555"/>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1344</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54" t="s">
        <v>366</v>
      </c>
      <c r="V1051" s="554"/>
      <c r="W1051" s="162" t="e">
        <f>W1050/M1029</f>
        <v>#DIV/0!</v>
      </c>
      <c r="X1051" s="163"/>
      <c r="Y1051" s="552" t="s">
        <v>365</v>
      </c>
      <c r="Z1051" s="552"/>
      <c r="AA1051" s="164" t="e">
        <f>AA1050/M1029</f>
        <v>#DIV/0!</v>
      </c>
      <c r="AB1051" s="161"/>
      <c r="AC1051" s="161"/>
      <c r="AD1051" s="161"/>
      <c r="AE1051" s="161"/>
      <c r="AF1051" s="552" t="s">
        <v>365</v>
      </c>
      <c r="AG1051" s="552"/>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452</v>
      </c>
      <c r="M1052" s="116" t="s">
        <v>107</v>
      </c>
      <c r="N1052" s="116" t="s">
        <v>108</v>
      </c>
      <c r="O1052" s="170" t="s">
        <v>386</v>
      </c>
      <c r="P1052" s="555" t="s">
        <v>375</v>
      </c>
      <c r="Q1052" s="555"/>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1344</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54" t="s">
        <v>366</v>
      </c>
      <c r="V1075" s="554"/>
      <c r="W1075" s="162" t="e">
        <f>W1074/M1053</f>
        <v>#DIV/0!</v>
      </c>
      <c r="X1075" s="163"/>
      <c r="Y1075" s="552" t="s">
        <v>365</v>
      </c>
      <c r="Z1075" s="552"/>
      <c r="AA1075" s="164" t="e">
        <f>AA1074/M1053</f>
        <v>#DIV/0!</v>
      </c>
      <c r="AB1075" s="161"/>
      <c r="AC1075" s="161"/>
      <c r="AD1075" s="161"/>
      <c r="AE1075" s="161"/>
      <c r="AF1075" s="552" t="s">
        <v>365</v>
      </c>
      <c r="AG1075" s="552"/>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452</v>
      </c>
      <c r="M1076" s="116" t="s">
        <v>107</v>
      </c>
      <c r="N1076" s="116" t="s">
        <v>108</v>
      </c>
      <c r="O1076" s="170" t="s">
        <v>386</v>
      </c>
      <c r="P1076" s="555" t="s">
        <v>375</v>
      </c>
      <c r="Q1076" s="555"/>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1344</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54" t="s">
        <v>366</v>
      </c>
      <c r="V1099" s="554"/>
      <c r="W1099" s="162" t="e">
        <f>W1098/M1077</f>
        <v>#DIV/0!</v>
      </c>
      <c r="X1099" s="163"/>
      <c r="Y1099" s="552" t="s">
        <v>365</v>
      </c>
      <c r="Z1099" s="552"/>
      <c r="AA1099" s="164" t="e">
        <f>AA1098/M1077</f>
        <v>#DIV/0!</v>
      </c>
      <c r="AB1099" s="161"/>
      <c r="AC1099" s="161"/>
      <c r="AD1099" s="161"/>
      <c r="AE1099" s="161"/>
      <c r="AF1099" s="552" t="s">
        <v>365</v>
      </c>
      <c r="AG1099" s="552"/>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452</v>
      </c>
      <c r="M1100" s="116" t="s">
        <v>107</v>
      </c>
      <c r="N1100" s="116" t="s">
        <v>108</v>
      </c>
      <c r="O1100" s="170" t="s">
        <v>386</v>
      </c>
      <c r="P1100" s="553" t="s">
        <v>375</v>
      </c>
      <c r="Q1100" s="553"/>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1344</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54" t="s">
        <v>366</v>
      </c>
      <c r="V1123" s="554"/>
      <c r="W1123" s="162" t="e">
        <f>W1122/M1101</f>
        <v>#DIV/0!</v>
      </c>
      <c r="X1123" s="163"/>
      <c r="Y1123" s="552" t="s">
        <v>365</v>
      </c>
      <c r="Z1123" s="552"/>
      <c r="AA1123" s="164" t="e">
        <f>AA1122/M1101</f>
        <v>#DIV/0!</v>
      </c>
      <c r="AB1123" s="161"/>
      <c r="AC1123" s="161"/>
      <c r="AD1123" s="161"/>
      <c r="AE1123" s="161"/>
      <c r="AF1123" s="552" t="s">
        <v>365</v>
      </c>
      <c r="AG1123" s="552"/>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452</v>
      </c>
      <c r="M1124" s="116" t="s">
        <v>107</v>
      </c>
      <c r="N1124" s="116" t="s">
        <v>108</v>
      </c>
      <c r="O1124" s="170" t="s">
        <v>386</v>
      </c>
      <c r="P1124" s="553" t="s">
        <v>375</v>
      </c>
      <c r="Q1124" s="553"/>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1344</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54" t="s">
        <v>366</v>
      </c>
      <c r="V1147" s="554"/>
      <c r="W1147" s="162" t="e">
        <f>W1146/M1125</f>
        <v>#DIV/0!</v>
      </c>
      <c r="X1147" s="163"/>
      <c r="Y1147" s="552" t="s">
        <v>365</v>
      </c>
      <c r="Z1147" s="552"/>
      <c r="AA1147" s="164" t="e">
        <f>AA1146/M1125</f>
        <v>#DIV/0!</v>
      </c>
      <c r="AB1147" s="161"/>
      <c r="AC1147" s="161"/>
      <c r="AD1147" s="161"/>
      <c r="AE1147" s="161"/>
      <c r="AF1147" s="552" t="s">
        <v>365</v>
      </c>
      <c r="AG1147" s="552"/>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452</v>
      </c>
      <c r="M1148" s="116" t="s">
        <v>107</v>
      </c>
      <c r="N1148" s="116" t="s">
        <v>108</v>
      </c>
      <c r="O1148" s="170" t="s">
        <v>386</v>
      </c>
      <c r="P1148" s="553" t="s">
        <v>375</v>
      </c>
      <c r="Q1148" s="553"/>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1344</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54" t="s">
        <v>366</v>
      </c>
      <c r="V1171" s="554"/>
      <c r="W1171" s="162" t="e">
        <f>W1170/M1149</f>
        <v>#DIV/0!</v>
      </c>
      <c r="X1171" s="163"/>
      <c r="Y1171" s="552" t="s">
        <v>365</v>
      </c>
      <c r="Z1171" s="552"/>
      <c r="AA1171" s="164" t="e">
        <f>AA1170/M1149</f>
        <v>#DIV/0!</v>
      </c>
      <c r="AB1171" s="161"/>
      <c r="AC1171" s="161"/>
      <c r="AD1171" s="161"/>
      <c r="AE1171" s="161"/>
      <c r="AF1171" s="552" t="s">
        <v>365</v>
      </c>
      <c r="AG1171" s="552"/>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53" t="s">
        <v>375</v>
      </c>
      <c r="Q1173" s="553"/>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54" t="s">
        <v>366</v>
      </c>
      <c r="V1196" s="554"/>
      <c r="W1196" s="162" t="e">
        <f>W1195/M1174</f>
        <v>#DIV/0!</v>
      </c>
      <c r="X1196" s="163"/>
      <c r="Y1196" s="552" t="s">
        <v>365</v>
      </c>
      <c r="Z1196" s="552"/>
      <c r="AA1196" s="164" t="e">
        <f>AA1195/M1174</f>
        <v>#DIV/0!</v>
      </c>
      <c r="AB1196" s="161"/>
      <c r="AC1196" s="161"/>
      <c r="AD1196" s="161"/>
      <c r="AE1196" s="161"/>
      <c r="AF1196" s="552" t="s">
        <v>365</v>
      </c>
      <c r="AG1196" s="552"/>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452</v>
      </c>
      <c r="M1197" s="116" t="s">
        <v>107</v>
      </c>
      <c r="N1197" s="116" t="s">
        <v>108</v>
      </c>
      <c r="O1197" s="170" t="s">
        <v>386</v>
      </c>
      <c r="P1197" s="553" t="s">
        <v>375</v>
      </c>
      <c r="Q1197" s="553"/>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54" t="s">
        <v>366</v>
      </c>
      <c r="V1220" s="554"/>
      <c r="W1220" s="162" t="e">
        <f>W1219/M1198</f>
        <v>#DIV/0!</v>
      </c>
      <c r="X1220" s="163"/>
      <c r="Y1220" s="552" t="s">
        <v>365</v>
      </c>
      <c r="Z1220" s="552"/>
      <c r="AA1220" s="164" t="e">
        <f>AA1219/M1198</f>
        <v>#DIV/0!</v>
      </c>
      <c r="AB1220" s="161"/>
      <c r="AC1220" s="161"/>
      <c r="AD1220" s="161"/>
      <c r="AE1220" s="161"/>
      <c r="AF1220" s="552" t="s">
        <v>365</v>
      </c>
      <c r="AG1220" s="552"/>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452</v>
      </c>
      <c r="M1221" s="2" t="s">
        <v>107</v>
      </c>
      <c r="N1221" s="2" t="s">
        <v>108</v>
      </c>
      <c r="O1221" s="97" t="s">
        <v>386</v>
      </c>
      <c r="P1221" s="553" t="s">
        <v>375</v>
      </c>
      <c r="Q1221" s="553"/>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54" t="s">
        <v>366</v>
      </c>
      <c r="V1244" s="554"/>
      <c r="W1244" s="85" t="e">
        <f>W1243/M1222</f>
        <v>#DIV/0!</v>
      </c>
      <c r="X1244" s="86"/>
      <c r="Y1244" s="552" t="s">
        <v>365</v>
      </c>
      <c r="Z1244" s="552"/>
      <c r="AA1244" s="87" t="e">
        <f>AA1243/M1222</f>
        <v>#DIV/0!</v>
      </c>
      <c r="AB1244" s="84"/>
      <c r="AC1244" s="84"/>
      <c r="AD1244" s="84"/>
      <c r="AE1244" s="84"/>
      <c r="AF1244" s="552" t="s">
        <v>365</v>
      </c>
      <c r="AG1244" s="552"/>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452</v>
      </c>
      <c r="M1245" s="116" t="s">
        <v>298</v>
      </c>
      <c r="N1245" s="116" t="s">
        <v>108</v>
      </c>
      <c r="O1245" s="170" t="s">
        <v>386</v>
      </c>
      <c r="P1245" s="553" t="s">
        <v>375</v>
      </c>
      <c r="Q1245" s="553"/>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54" t="s">
        <v>366</v>
      </c>
      <c r="V1268" s="554"/>
      <c r="W1268" s="162" t="e">
        <f>W1267/M1246</f>
        <v>#DIV/0!</v>
      </c>
      <c r="X1268" s="163"/>
      <c r="Y1268" s="552" t="s">
        <v>365</v>
      </c>
      <c r="Z1268" s="552"/>
      <c r="AA1268" s="164" t="e">
        <f>AA1267/M1246</f>
        <v>#DIV/0!</v>
      </c>
      <c r="AB1268" s="161"/>
      <c r="AC1268" s="161"/>
      <c r="AD1268" s="161"/>
      <c r="AE1268" s="161"/>
      <c r="AF1268" s="552" t="s">
        <v>365</v>
      </c>
      <c r="AG1268" s="552"/>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452</v>
      </c>
      <c r="M1269" s="116" t="s">
        <v>298</v>
      </c>
      <c r="N1269" s="116" t="s">
        <v>108</v>
      </c>
      <c r="O1269" s="170" t="s">
        <v>386</v>
      </c>
      <c r="P1269" s="553" t="s">
        <v>375</v>
      </c>
      <c r="Q1269" s="553"/>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54" t="s">
        <v>366</v>
      </c>
      <c r="V1292" s="554"/>
      <c r="W1292" s="162" t="e">
        <f>W1291/M1270</f>
        <v>#DIV/0!</v>
      </c>
      <c r="X1292" s="163"/>
      <c r="Y1292" s="552" t="s">
        <v>365</v>
      </c>
      <c r="Z1292" s="552"/>
      <c r="AA1292" s="164" t="e">
        <f>AA1291/M1270</f>
        <v>#DIV/0!</v>
      </c>
      <c r="AB1292" s="161"/>
      <c r="AC1292" s="161"/>
      <c r="AD1292" s="161"/>
      <c r="AE1292" s="161"/>
      <c r="AF1292" s="552" t="s">
        <v>365</v>
      </c>
      <c r="AG1292" s="552"/>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452</v>
      </c>
      <c r="M1293" s="116" t="s">
        <v>298</v>
      </c>
      <c r="N1293" s="116" t="s">
        <v>108</v>
      </c>
      <c r="O1293" s="170" t="s">
        <v>386</v>
      </c>
      <c r="P1293" s="553" t="s">
        <v>375</v>
      </c>
      <c r="Q1293" s="553"/>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54" t="s">
        <v>366</v>
      </c>
      <c r="V1316" s="554"/>
      <c r="W1316" s="162" t="e">
        <f>W1315/M1294</f>
        <v>#DIV/0!</v>
      </c>
      <c r="X1316" s="163"/>
      <c r="Y1316" s="552" t="s">
        <v>365</v>
      </c>
      <c r="Z1316" s="552"/>
      <c r="AA1316" s="164" t="e">
        <f>AA1315/M1294</f>
        <v>#DIV/0!</v>
      </c>
      <c r="AB1316" s="161"/>
      <c r="AC1316" s="161"/>
      <c r="AD1316" s="161"/>
      <c r="AE1316" s="161"/>
      <c r="AF1316" s="552" t="s">
        <v>365</v>
      </c>
      <c r="AG1316" s="552"/>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452</v>
      </c>
      <c r="M1317" s="116" t="s">
        <v>298</v>
      </c>
      <c r="N1317" s="116" t="s">
        <v>108</v>
      </c>
      <c r="O1317" s="170" t="s">
        <v>386</v>
      </c>
      <c r="P1317" s="553" t="s">
        <v>375</v>
      </c>
      <c r="Q1317" s="553"/>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54" t="s">
        <v>366</v>
      </c>
      <c r="V1340" s="554"/>
      <c r="W1340" s="162" t="e">
        <f>W1339/M1318</f>
        <v>#DIV/0!</v>
      </c>
      <c r="X1340" s="163"/>
      <c r="Y1340" s="552" t="s">
        <v>365</v>
      </c>
      <c r="Z1340" s="552"/>
      <c r="AA1340" s="164" t="e">
        <f>AA1339/M1318</f>
        <v>#DIV/0!</v>
      </c>
      <c r="AB1340" s="161"/>
      <c r="AC1340" s="161"/>
      <c r="AD1340" s="161"/>
      <c r="AE1340" s="161"/>
      <c r="AF1340" s="552" t="s">
        <v>365</v>
      </c>
      <c r="AG1340" s="552"/>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452</v>
      </c>
      <c r="M1341" s="116" t="s">
        <v>298</v>
      </c>
      <c r="N1341" s="116" t="s">
        <v>108</v>
      </c>
      <c r="O1341" s="170" t="s">
        <v>386</v>
      </c>
      <c r="P1341" s="553" t="s">
        <v>375</v>
      </c>
      <c r="Q1341" s="553"/>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54" t="s">
        <v>366</v>
      </c>
      <c r="V1364" s="554"/>
      <c r="W1364" s="162" t="e">
        <f>W1363/M1342</f>
        <v>#DIV/0!</v>
      </c>
      <c r="X1364" s="163"/>
      <c r="Y1364" s="552" t="s">
        <v>365</v>
      </c>
      <c r="Z1364" s="552"/>
      <c r="AA1364" s="164" t="e">
        <f>AA1363/M1342</f>
        <v>#DIV/0!</v>
      </c>
      <c r="AB1364" s="161"/>
      <c r="AC1364" s="161"/>
      <c r="AD1364" s="161"/>
      <c r="AE1364" s="161"/>
      <c r="AF1364" s="552" t="s">
        <v>365</v>
      </c>
      <c r="AG1364" s="552"/>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452</v>
      </c>
      <c r="M1365" s="116" t="s">
        <v>298</v>
      </c>
      <c r="N1365" s="116" t="s">
        <v>108</v>
      </c>
      <c r="O1365" s="170" t="s">
        <v>386</v>
      </c>
      <c r="P1365" s="553" t="s">
        <v>375</v>
      </c>
      <c r="Q1365" s="553"/>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54" t="s">
        <v>366</v>
      </c>
      <c r="V1388" s="554"/>
      <c r="W1388" s="162" t="e">
        <f>W1387/M1366</f>
        <v>#DIV/0!</v>
      </c>
      <c r="X1388" s="163"/>
      <c r="Y1388" s="552" t="s">
        <v>365</v>
      </c>
      <c r="Z1388" s="552"/>
      <c r="AA1388" s="164" t="e">
        <f>AA1387/M1366</f>
        <v>#DIV/0!</v>
      </c>
      <c r="AB1388" s="161"/>
      <c r="AC1388" s="161"/>
      <c r="AD1388" s="161"/>
      <c r="AE1388" s="161"/>
      <c r="AF1388" s="552" t="s">
        <v>365</v>
      </c>
      <c r="AG1388" s="552"/>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452</v>
      </c>
      <c r="M1389" s="116" t="s">
        <v>298</v>
      </c>
      <c r="N1389" s="116" t="s">
        <v>108</v>
      </c>
      <c r="O1389" s="170" t="s">
        <v>386</v>
      </c>
      <c r="P1389" s="553" t="s">
        <v>375</v>
      </c>
      <c r="Q1389" s="553"/>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54" t="s">
        <v>366</v>
      </c>
      <c r="V1412" s="554"/>
      <c r="W1412" s="162" t="e">
        <f>W1411/M1390</f>
        <v>#DIV/0!</v>
      </c>
      <c r="X1412" s="163"/>
      <c r="Y1412" s="552" t="s">
        <v>365</v>
      </c>
      <c r="Z1412" s="552"/>
      <c r="AA1412" s="164" t="e">
        <f>AA1411/M1390</f>
        <v>#DIV/0!</v>
      </c>
      <c r="AB1412" s="161"/>
      <c r="AC1412" s="161"/>
      <c r="AD1412" s="161"/>
      <c r="AE1412" s="161"/>
      <c r="AF1412" s="552" t="s">
        <v>365</v>
      </c>
      <c r="AG1412" s="552"/>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452</v>
      </c>
      <c r="M1413" s="116" t="s">
        <v>298</v>
      </c>
      <c r="N1413" s="116" t="s">
        <v>108</v>
      </c>
      <c r="O1413" s="170" t="s">
        <v>386</v>
      </c>
      <c r="P1413" s="553" t="s">
        <v>375</v>
      </c>
      <c r="Q1413" s="553"/>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54" t="s">
        <v>366</v>
      </c>
      <c r="V1436" s="554"/>
      <c r="W1436" s="162" t="e">
        <f>W1435/M1414</f>
        <v>#DIV/0!</v>
      </c>
      <c r="X1436" s="163"/>
      <c r="Y1436" s="552" t="s">
        <v>365</v>
      </c>
      <c r="Z1436" s="552"/>
      <c r="AA1436" s="164" t="e">
        <f>AA1435/M1414</f>
        <v>#DIV/0!</v>
      </c>
      <c r="AB1436" s="161"/>
      <c r="AC1436" s="161"/>
      <c r="AD1436" s="161"/>
      <c r="AE1436" s="161"/>
      <c r="AF1436" s="552" t="s">
        <v>365</v>
      </c>
      <c r="AG1436" s="552"/>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452</v>
      </c>
      <c r="M1437" s="2" t="s">
        <v>298</v>
      </c>
      <c r="N1437" s="2" t="s">
        <v>108</v>
      </c>
      <c r="O1437" s="97" t="s">
        <v>386</v>
      </c>
      <c r="P1437" s="553" t="s">
        <v>375</v>
      </c>
      <c r="Q1437" s="553"/>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54" t="s">
        <v>366</v>
      </c>
      <c r="V1460" s="554"/>
      <c r="W1460" s="85" t="e">
        <f>W1459/M1438</f>
        <v>#DIV/0!</v>
      </c>
      <c r="X1460" s="86"/>
      <c r="Y1460" s="552" t="s">
        <v>365</v>
      </c>
      <c r="Z1460" s="552"/>
      <c r="AA1460" s="87" t="e">
        <f>AA1459/M1438</f>
        <v>#DIV/0!</v>
      </c>
      <c r="AB1460" s="84"/>
      <c r="AC1460" s="84"/>
      <c r="AD1460" s="84"/>
      <c r="AE1460" s="84"/>
      <c r="AF1460" s="552" t="s">
        <v>365</v>
      </c>
      <c r="AG1460" s="552"/>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452</v>
      </c>
      <c r="M1461" s="116" t="s">
        <v>298</v>
      </c>
      <c r="N1461" s="116" t="s">
        <v>108</v>
      </c>
      <c r="O1461" s="170" t="s">
        <v>386</v>
      </c>
      <c r="P1461" s="553" t="s">
        <v>375</v>
      </c>
      <c r="Q1461" s="553"/>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54" t="s">
        <v>366</v>
      </c>
      <c r="V1484" s="554"/>
      <c r="W1484" s="162" t="e">
        <f>W1483/M1462</f>
        <v>#DIV/0!</v>
      </c>
      <c r="X1484" s="163"/>
      <c r="Y1484" s="552" t="s">
        <v>365</v>
      </c>
      <c r="Z1484" s="552"/>
      <c r="AA1484" s="164" t="e">
        <f>AA1483/M1462</f>
        <v>#DIV/0!</v>
      </c>
      <c r="AB1484" s="161"/>
      <c r="AC1484" s="161"/>
      <c r="AD1484" s="161"/>
      <c r="AE1484" s="161"/>
      <c r="AF1484" s="552" t="s">
        <v>365</v>
      </c>
      <c r="AG1484" s="552"/>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452</v>
      </c>
      <c r="M1485" s="116" t="s">
        <v>298</v>
      </c>
      <c r="N1485" s="116" t="s">
        <v>108</v>
      </c>
      <c r="O1485" s="170" t="s">
        <v>386</v>
      </c>
      <c r="P1485" s="553" t="s">
        <v>375</v>
      </c>
      <c r="Q1485" s="553"/>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54" t="s">
        <v>366</v>
      </c>
      <c r="V1508" s="554"/>
      <c r="W1508" s="162" t="e">
        <f>W1507/M1486</f>
        <v>#DIV/0!</v>
      </c>
      <c r="X1508" s="163"/>
      <c r="Y1508" s="552" t="s">
        <v>365</v>
      </c>
      <c r="Z1508" s="552"/>
      <c r="AA1508" s="164" t="e">
        <f>AA1507/M1486</f>
        <v>#DIV/0!</v>
      </c>
      <c r="AB1508" s="161"/>
      <c r="AC1508" s="161"/>
      <c r="AD1508" s="161"/>
      <c r="AE1508" s="161"/>
      <c r="AF1508" s="552" t="s">
        <v>365</v>
      </c>
      <c r="AG1508" s="552"/>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452</v>
      </c>
      <c r="M1509" s="2" t="s">
        <v>298</v>
      </c>
      <c r="N1509" s="2" t="s">
        <v>108</v>
      </c>
      <c r="O1509" s="97" t="s">
        <v>386</v>
      </c>
      <c r="P1509" s="553" t="s">
        <v>375</v>
      </c>
      <c r="Q1509" s="553"/>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54" t="s">
        <v>366</v>
      </c>
      <c r="V1532" s="554"/>
      <c r="W1532" s="85" t="e">
        <f>W1531/M1510</f>
        <v>#DIV/0!</v>
      </c>
      <c r="X1532" s="86"/>
      <c r="Y1532" s="552" t="s">
        <v>365</v>
      </c>
      <c r="Z1532" s="552"/>
      <c r="AA1532" s="87" t="e">
        <f>AA1531/M1510</f>
        <v>#DIV/0!</v>
      </c>
      <c r="AB1532" s="84"/>
      <c r="AC1532" s="84"/>
      <c r="AD1532" s="84"/>
      <c r="AE1532" s="84"/>
      <c r="AF1532" s="552" t="s">
        <v>365</v>
      </c>
      <c r="AG1532" s="552"/>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452</v>
      </c>
      <c r="M1533" s="2" t="s">
        <v>298</v>
      </c>
      <c r="N1533" s="2" t="s">
        <v>108</v>
      </c>
      <c r="O1533" s="97" t="s">
        <v>386</v>
      </c>
      <c r="P1533" s="553" t="s">
        <v>375</v>
      </c>
      <c r="Q1533" s="553"/>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54" t="s">
        <v>366</v>
      </c>
      <c r="V1556" s="554"/>
      <c r="W1556" s="85" t="e">
        <f>W1555/M1534</f>
        <v>#DIV/0!</v>
      </c>
      <c r="X1556" s="86"/>
      <c r="Y1556" s="552" t="s">
        <v>365</v>
      </c>
      <c r="Z1556" s="552"/>
      <c r="AA1556" s="87" t="e">
        <f>AA1555/M1534</f>
        <v>#DIV/0!</v>
      </c>
      <c r="AB1556" s="84"/>
      <c r="AC1556" s="84"/>
      <c r="AD1556" s="84"/>
      <c r="AE1556" s="84"/>
      <c r="AF1556" s="552" t="s">
        <v>365</v>
      </c>
      <c r="AG1556" s="552"/>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452</v>
      </c>
      <c r="M1559" s="116" t="s">
        <v>107</v>
      </c>
      <c r="N1559" s="116" t="s">
        <v>108</v>
      </c>
      <c r="O1559" s="170" t="s">
        <v>386</v>
      </c>
      <c r="P1559" s="553" t="s">
        <v>375</v>
      </c>
      <c r="Q1559" s="553"/>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54" t="s">
        <v>366</v>
      </c>
      <c r="V1582" s="554"/>
      <c r="W1582" s="162" t="e">
        <f>W1581/M1560</f>
        <v>#DIV/0!</v>
      </c>
      <c r="X1582" s="163"/>
      <c r="Y1582" s="552" t="s">
        <v>365</v>
      </c>
      <c r="Z1582" s="552"/>
      <c r="AA1582" s="164" t="e">
        <f>AA1581/M1560</f>
        <v>#DIV/0!</v>
      </c>
      <c r="AB1582" s="161"/>
      <c r="AC1582" s="161"/>
      <c r="AD1582" s="161"/>
      <c r="AE1582" s="161"/>
      <c r="AF1582" s="552" t="s">
        <v>365</v>
      </c>
      <c r="AG1582" s="552"/>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452</v>
      </c>
      <c r="M1583" s="116" t="s">
        <v>107</v>
      </c>
      <c r="N1583" s="116" t="s">
        <v>108</v>
      </c>
      <c r="O1583" s="170" t="s">
        <v>386</v>
      </c>
      <c r="P1583" s="553" t="s">
        <v>375</v>
      </c>
      <c r="Q1583" s="553"/>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54" t="s">
        <v>366</v>
      </c>
      <c r="V1606" s="554"/>
      <c r="W1606" s="162" t="e">
        <f>W1605/M1584</f>
        <v>#DIV/0!</v>
      </c>
      <c r="X1606" s="163"/>
      <c r="Y1606" s="552" t="s">
        <v>365</v>
      </c>
      <c r="Z1606" s="552"/>
      <c r="AA1606" s="164" t="e">
        <f>AA1605/M1584</f>
        <v>#DIV/0!</v>
      </c>
      <c r="AB1606" s="161"/>
      <c r="AC1606" s="161"/>
      <c r="AD1606" s="161"/>
      <c r="AE1606" s="161"/>
      <c r="AF1606" s="552" t="s">
        <v>365</v>
      </c>
      <c r="AG1606" s="552"/>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452</v>
      </c>
      <c r="M1607" s="2" t="s">
        <v>107</v>
      </c>
      <c r="N1607" s="2" t="s">
        <v>108</v>
      </c>
      <c r="O1607" s="97" t="s">
        <v>386</v>
      </c>
      <c r="P1607" s="553" t="s">
        <v>375</v>
      </c>
      <c r="Q1607" s="553"/>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54" t="s">
        <v>366</v>
      </c>
      <c r="V1630" s="554"/>
      <c r="W1630" s="85" t="e">
        <f>W1629/M1608</f>
        <v>#DIV/0!</v>
      </c>
      <c r="X1630" s="86"/>
      <c r="Y1630" s="552" t="s">
        <v>365</v>
      </c>
      <c r="Z1630" s="552"/>
      <c r="AA1630" s="87" t="e">
        <f>AA1629/M1608</f>
        <v>#DIV/0!</v>
      </c>
      <c r="AB1630" s="84"/>
      <c r="AC1630" s="84"/>
      <c r="AD1630" s="84"/>
      <c r="AE1630" s="84"/>
      <c r="AF1630" s="552" t="s">
        <v>365</v>
      </c>
      <c r="AG1630" s="552"/>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452</v>
      </c>
      <c r="M1632" s="116" t="s">
        <v>107</v>
      </c>
      <c r="N1632" s="116" t="s">
        <v>108</v>
      </c>
      <c r="O1632" s="170" t="s">
        <v>386</v>
      </c>
      <c r="P1632" s="553" t="s">
        <v>375</v>
      </c>
      <c r="Q1632" s="553"/>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hidden="1"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56" t="s">
        <v>366</v>
      </c>
      <c r="V1655" s="556"/>
      <c r="W1655" s="177" t="e">
        <f>W1654/M1633</f>
        <v>#DIV/0!</v>
      </c>
      <c r="X1655" s="178"/>
      <c r="Y1655" s="557" t="s">
        <v>365</v>
      </c>
      <c r="Z1655" s="557"/>
      <c r="AA1655" s="181" t="e">
        <f>AA1654/M1633</f>
        <v>#DIV/0!</v>
      </c>
      <c r="AB1655" s="172"/>
      <c r="AC1655" s="172"/>
      <c r="AD1655" s="172"/>
      <c r="AE1655" s="172"/>
      <c r="AF1655" s="557" t="s">
        <v>365</v>
      </c>
      <c r="AG1655" s="557"/>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452</v>
      </c>
      <c r="M1656" s="116" t="s">
        <v>107</v>
      </c>
      <c r="N1656" s="116" t="s">
        <v>108</v>
      </c>
      <c r="O1656" s="170" t="s">
        <v>386</v>
      </c>
      <c r="P1656" s="553" t="s">
        <v>375</v>
      </c>
      <c r="Q1656" s="553"/>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56" t="s">
        <v>366</v>
      </c>
      <c r="V1679" s="556"/>
      <c r="W1679" s="177" t="e">
        <f>W1678/M1657</f>
        <v>#DIV/0!</v>
      </c>
      <c r="X1679" s="178"/>
      <c r="Y1679" s="557" t="s">
        <v>365</v>
      </c>
      <c r="Z1679" s="557"/>
      <c r="AA1679" s="181" t="e">
        <f>AA1678/M1657</f>
        <v>#DIV/0!</v>
      </c>
      <c r="AB1679" s="172"/>
      <c r="AC1679" s="172"/>
      <c r="AD1679" s="172"/>
      <c r="AE1679" s="172"/>
      <c r="AF1679" s="557" t="s">
        <v>365</v>
      </c>
      <c r="AG1679" s="557"/>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452</v>
      </c>
      <c r="M1680" s="116" t="s">
        <v>107</v>
      </c>
      <c r="N1680" s="116" t="s">
        <v>108</v>
      </c>
      <c r="O1680" s="170" t="s">
        <v>386</v>
      </c>
      <c r="P1680" s="553" t="s">
        <v>375</v>
      </c>
      <c r="Q1680" s="553"/>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56" t="s">
        <v>366</v>
      </c>
      <c r="V1703" s="556"/>
      <c r="W1703" s="177" t="e">
        <f>W1702/M1681</f>
        <v>#DIV/0!</v>
      </c>
      <c r="X1703" s="178"/>
      <c r="Y1703" s="557" t="s">
        <v>365</v>
      </c>
      <c r="Z1703" s="557"/>
      <c r="AA1703" s="181" t="e">
        <f>AA1702/M1681</f>
        <v>#DIV/0!</v>
      </c>
      <c r="AB1703" s="172"/>
      <c r="AC1703" s="172"/>
      <c r="AD1703" s="172"/>
      <c r="AE1703" s="172"/>
      <c r="AF1703" s="557" t="s">
        <v>365</v>
      </c>
      <c r="AG1703" s="557"/>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452</v>
      </c>
      <c r="M1704" s="116" t="s">
        <v>107</v>
      </c>
      <c r="N1704" s="116" t="s">
        <v>108</v>
      </c>
      <c r="O1704" s="170" t="s">
        <v>386</v>
      </c>
      <c r="P1704" s="553" t="s">
        <v>375</v>
      </c>
      <c r="Q1704" s="553"/>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1344</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54" t="s">
        <v>366</v>
      </c>
      <c r="V1727" s="554"/>
      <c r="W1727" s="162" t="e">
        <f>W1726/M1705</f>
        <v>#DIV/0!</v>
      </c>
      <c r="X1727" s="163"/>
      <c r="Y1727" s="552" t="s">
        <v>365</v>
      </c>
      <c r="Z1727" s="552"/>
      <c r="AA1727" s="164" t="e">
        <f>AA1726/M1705</f>
        <v>#DIV/0!</v>
      </c>
      <c r="AB1727" s="161"/>
      <c r="AC1727" s="161"/>
      <c r="AD1727" s="161"/>
      <c r="AE1727" s="161"/>
      <c r="AF1727" s="552" t="s">
        <v>365</v>
      </c>
      <c r="AG1727" s="552"/>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452</v>
      </c>
      <c r="M1728" s="116" t="s">
        <v>107</v>
      </c>
      <c r="N1728" s="116" t="s">
        <v>108</v>
      </c>
      <c r="O1728" s="170" t="s">
        <v>386</v>
      </c>
      <c r="P1728" s="553" t="s">
        <v>375</v>
      </c>
      <c r="Q1728" s="553"/>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1344</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54" t="s">
        <v>366</v>
      </c>
      <c r="V1751" s="554"/>
      <c r="W1751" s="162" t="e">
        <f>W1750/M1729</f>
        <v>#DIV/0!</v>
      </c>
      <c r="X1751" s="163"/>
      <c r="Y1751" s="552" t="s">
        <v>365</v>
      </c>
      <c r="Z1751" s="552"/>
      <c r="AA1751" s="164" t="e">
        <f>AA1750/M1729</f>
        <v>#DIV/0!</v>
      </c>
      <c r="AB1751" s="161"/>
      <c r="AC1751" s="161"/>
      <c r="AD1751" s="161"/>
      <c r="AE1751" s="161"/>
      <c r="AF1751" s="552" t="s">
        <v>365</v>
      </c>
      <c r="AG1751" s="552"/>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452</v>
      </c>
      <c r="M1752" s="116" t="s">
        <v>107</v>
      </c>
      <c r="N1752" s="116" t="s">
        <v>108</v>
      </c>
      <c r="O1752" s="170" t="s">
        <v>386</v>
      </c>
      <c r="P1752" s="553" t="s">
        <v>375</v>
      </c>
      <c r="Q1752" s="553"/>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1344</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54" t="s">
        <v>366</v>
      </c>
      <c r="V1775" s="554"/>
      <c r="W1775" s="162" t="e">
        <f>W1774/M1753</f>
        <v>#DIV/0!</v>
      </c>
      <c r="X1775" s="163"/>
      <c r="Y1775" s="552" t="s">
        <v>365</v>
      </c>
      <c r="Z1775" s="552"/>
      <c r="AA1775" s="164" t="e">
        <f>AA1774/M1753</f>
        <v>#DIV/0!</v>
      </c>
      <c r="AB1775" s="161"/>
      <c r="AC1775" s="161"/>
      <c r="AD1775" s="161"/>
      <c r="AE1775" s="161"/>
      <c r="AF1775" s="552" t="s">
        <v>365</v>
      </c>
      <c r="AG1775" s="552"/>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452</v>
      </c>
      <c r="M1777" s="116" t="s">
        <v>107</v>
      </c>
      <c r="N1777" s="116" t="s">
        <v>108</v>
      </c>
      <c r="O1777" s="170" t="s">
        <v>386</v>
      </c>
      <c r="P1777" s="553" t="s">
        <v>375</v>
      </c>
      <c r="Q1777" s="553"/>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1344</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54" t="s">
        <v>366</v>
      </c>
      <c r="V1800" s="554"/>
      <c r="W1800" s="162" t="e">
        <f>W1799/M1778</f>
        <v>#DIV/0!</v>
      </c>
      <c r="X1800" s="163"/>
      <c r="Y1800" s="552" t="s">
        <v>365</v>
      </c>
      <c r="Z1800" s="552"/>
      <c r="AA1800" s="164" t="e">
        <f>AA1799/M1778</f>
        <v>#DIV/0!</v>
      </c>
      <c r="AB1800" s="161"/>
      <c r="AC1800" s="161"/>
      <c r="AD1800" s="161"/>
      <c r="AE1800" s="161"/>
      <c r="AF1800" s="552" t="s">
        <v>365</v>
      </c>
      <c r="AG1800" s="552"/>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452</v>
      </c>
      <c r="M1801" s="2" t="s">
        <v>107</v>
      </c>
      <c r="N1801" s="2" t="s">
        <v>108</v>
      </c>
      <c r="O1801" s="97" t="s">
        <v>386</v>
      </c>
      <c r="P1801" s="553" t="s">
        <v>375</v>
      </c>
      <c r="Q1801" s="553"/>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928</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926</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927</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1344</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54" t="s">
        <v>366</v>
      </c>
      <c r="V1824" s="554"/>
      <c r="W1824" s="85" t="e">
        <f>W1823/M1802</f>
        <v>#DIV/0!</v>
      </c>
      <c r="X1824" s="86"/>
      <c r="Y1824" s="552" t="s">
        <v>365</v>
      </c>
      <c r="Z1824" s="552"/>
      <c r="AA1824" s="87" t="e">
        <f>AA1823/M1802</f>
        <v>#DIV/0!</v>
      </c>
      <c r="AB1824" s="84"/>
      <c r="AC1824" s="84"/>
      <c r="AD1824" s="84"/>
      <c r="AE1824" s="84"/>
      <c r="AF1824" s="552" t="s">
        <v>365</v>
      </c>
      <c r="AG1824" s="552"/>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452</v>
      </c>
      <c r="M1825" s="2" t="s">
        <v>107</v>
      </c>
      <c r="N1825" s="2" t="s">
        <v>108</v>
      </c>
      <c r="O1825" s="97" t="s">
        <v>386</v>
      </c>
      <c r="P1825" s="553" t="s">
        <v>375</v>
      </c>
      <c r="Q1825" s="553"/>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1344</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54" t="s">
        <v>366</v>
      </c>
      <c r="V1848" s="554"/>
      <c r="W1848" s="85" t="e">
        <f>W1847/M1826</f>
        <v>#DIV/0!</v>
      </c>
      <c r="X1848" s="86"/>
      <c r="Y1848" s="552" t="s">
        <v>365</v>
      </c>
      <c r="Z1848" s="552"/>
      <c r="AA1848" s="87" t="e">
        <f>AA1847/M1826</f>
        <v>#DIV/0!</v>
      </c>
      <c r="AB1848" s="84"/>
      <c r="AC1848" s="84"/>
      <c r="AD1848" s="84"/>
      <c r="AE1848" s="84"/>
      <c r="AF1848" s="552" t="s">
        <v>365</v>
      </c>
      <c r="AG1848" s="552"/>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452</v>
      </c>
      <c r="M1849" s="116" t="s">
        <v>107</v>
      </c>
      <c r="N1849" s="116" t="s">
        <v>108</v>
      </c>
      <c r="O1849" s="170" t="s">
        <v>386</v>
      </c>
      <c r="P1849" s="553" t="s">
        <v>375</v>
      </c>
      <c r="Q1849" s="553"/>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54" t="s">
        <v>366</v>
      </c>
      <c r="V1872" s="554"/>
      <c r="W1872" s="162" t="e">
        <f>W1871/M1850</f>
        <v>#DIV/0!</v>
      </c>
      <c r="X1872" s="163"/>
      <c r="Y1872" s="552" t="s">
        <v>365</v>
      </c>
      <c r="Z1872" s="552"/>
      <c r="AA1872" s="164" t="e">
        <f>AA1871/M1850</f>
        <v>#DIV/0!</v>
      </c>
      <c r="AB1872" s="161"/>
      <c r="AC1872" s="161"/>
      <c r="AD1872" s="161"/>
      <c r="AE1872" s="161"/>
      <c r="AF1872" s="552" t="s">
        <v>365</v>
      </c>
      <c r="AG1872" s="552"/>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452</v>
      </c>
      <c r="M1873" s="116" t="s">
        <v>107</v>
      </c>
      <c r="N1873" s="116" t="s">
        <v>108</v>
      </c>
      <c r="O1873" s="170" t="s">
        <v>386</v>
      </c>
      <c r="P1873" s="553" t="s">
        <v>375</v>
      </c>
      <c r="Q1873" s="553"/>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1344</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54" t="s">
        <v>366</v>
      </c>
      <c r="V1896" s="554"/>
      <c r="W1896" s="162" t="e">
        <f>W1895/M1874</f>
        <v>#DIV/0!</v>
      </c>
      <c r="X1896" s="163"/>
      <c r="Y1896" s="552" t="s">
        <v>365</v>
      </c>
      <c r="Z1896" s="552"/>
      <c r="AA1896" s="164" t="e">
        <f>AA1895/M1874</f>
        <v>#DIV/0!</v>
      </c>
      <c r="AB1896" s="161"/>
      <c r="AC1896" s="161"/>
      <c r="AD1896" s="161"/>
      <c r="AE1896" s="161"/>
      <c r="AF1896" s="552" t="s">
        <v>365</v>
      </c>
      <c r="AG1896" s="552"/>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452</v>
      </c>
      <c r="M1899" s="116" t="s">
        <v>107</v>
      </c>
      <c r="N1899" s="116" t="s">
        <v>108</v>
      </c>
      <c r="O1899" s="170" t="s">
        <v>386</v>
      </c>
      <c r="P1899" s="553" t="s">
        <v>375</v>
      </c>
      <c r="Q1899" s="553"/>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1344</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54" t="s">
        <v>366</v>
      </c>
      <c r="V1922" s="554"/>
      <c r="W1922" s="162" t="e">
        <f>W1921/M1900</f>
        <v>#DIV/0!</v>
      </c>
      <c r="X1922" s="163"/>
      <c r="Y1922" s="552" t="s">
        <v>365</v>
      </c>
      <c r="Z1922" s="552"/>
      <c r="AA1922" s="164" t="e">
        <f>AA1921/M1900</f>
        <v>#DIV/0!</v>
      </c>
      <c r="AB1922" s="161"/>
      <c r="AC1922" s="161"/>
      <c r="AD1922" s="161"/>
      <c r="AE1922" s="161"/>
      <c r="AF1922" s="552" t="s">
        <v>365</v>
      </c>
      <c r="AG1922" s="552"/>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452</v>
      </c>
      <c r="M1923" s="116" t="s">
        <v>107</v>
      </c>
      <c r="N1923" s="116" t="s">
        <v>108</v>
      </c>
      <c r="O1923" s="170" t="s">
        <v>386</v>
      </c>
      <c r="P1923" s="553" t="s">
        <v>375</v>
      </c>
      <c r="Q1923" s="553"/>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1344</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54" t="s">
        <v>366</v>
      </c>
      <c r="V1946" s="554"/>
      <c r="W1946" s="162" t="e">
        <f>W1945/M1924</f>
        <v>#DIV/0!</v>
      </c>
      <c r="X1946" s="163"/>
      <c r="Y1946" s="552" t="s">
        <v>365</v>
      </c>
      <c r="Z1946" s="552"/>
      <c r="AA1946" s="164" t="e">
        <f>AA1945/M1924</f>
        <v>#DIV/0!</v>
      </c>
      <c r="AB1946" s="161"/>
      <c r="AC1946" s="161"/>
      <c r="AD1946" s="161"/>
      <c r="AE1946" s="161"/>
      <c r="AF1946" s="552" t="s">
        <v>365</v>
      </c>
      <c r="AG1946" s="552"/>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452</v>
      </c>
      <c r="M1947" s="116" t="s">
        <v>107</v>
      </c>
      <c r="N1947" s="116" t="s">
        <v>108</v>
      </c>
      <c r="O1947" s="170" t="s">
        <v>386</v>
      </c>
      <c r="P1947" s="553" t="s">
        <v>375</v>
      </c>
      <c r="Q1947" s="553"/>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1344</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54" t="s">
        <v>366</v>
      </c>
      <c r="V1970" s="554"/>
      <c r="W1970" s="162" t="e">
        <f>W1969/M1948</f>
        <v>#DIV/0!</v>
      </c>
      <c r="X1970" s="163"/>
      <c r="Y1970" s="552" t="s">
        <v>365</v>
      </c>
      <c r="Z1970" s="552"/>
      <c r="AA1970" s="164" t="e">
        <f>AA1969/M1948</f>
        <v>#DIV/0!</v>
      </c>
      <c r="AB1970" s="161"/>
      <c r="AC1970" s="161"/>
      <c r="AD1970" s="161"/>
      <c r="AE1970" s="161"/>
      <c r="AF1970" s="552" t="s">
        <v>365</v>
      </c>
      <c r="AG1970" s="552"/>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452</v>
      </c>
      <c r="M1971" s="2" t="s">
        <v>107</v>
      </c>
      <c r="N1971" s="2" t="s">
        <v>108</v>
      </c>
      <c r="O1971" s="97" t="s">
        <v>386</v>
      </c>
      <c r="P1971" s="553" t="s">
        <v>375</v>
      </c>
      <c r="Q1971" s="553"/>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1344</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54" t="s">
        <v>366</v>
      </c>
      <c r="V1994" s="554"/>
      <c r="W1994" s="85" t="e">
        <f>W1993/M1972</f>
        <v>#DIV/0!</v>
      </c>
      <c r="X1994" s="86"/>
      <c r="Y1994" s="552" t="s">
        <v>365</v>
      </c>
      <c r="Z1994" s="552"/>
      <c r="AA1994" s="87" t="e">
        <f>AA1993/M1972</f>
        <v>#DIV/0!</v>
      </c>
      <c r="AB1994" s="84"/>
      <c r="AC1994" s="84"/>
      <c r="AD1994" s="84"/>
      <c r="AE1994" s="84"/>
      <c r="AF1994" s="552" t="s">
        <v>365</v>
      </c>
      <c r="AG1994" s="552"/>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452</v>
      </c>
      <c r="M1996" s="116" t="s">
        <v>107</v>
      </c>
      <c r="N1996" s="116" t="s">
        <v>108</v>
      </c>
      <c r="O1996" s="170" t="s">
        <v>386</v>
      </c>
      <c r="P1996" s="555" t="s">
        <v>375</v>
      </c>
      <c r="Q1996" s="555"/>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1344</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54" t="s">
        <v>366</v>
      </c>
      <c r="V2019" s="554"/>
      <c r="W2019" s="162" t="e">
        <f>W2018/M1997</f>
        <v>#DIV/0!</v>
      </c>
      <c r="X2019" s="163"/>
      <c r="Y2019" s="552" t="s">
        <v>365</v>
      </c>
      <c r="Z2019" s="552"/>
      <c r="AA2019" s="164" t="e">
        <f>AA2018/M1997</f>
        <v>#DIV/0!</v>
      </c>
      <c r="AB2019" s="161"/>
      <c r="AC2019" s="161"/>
      <c r="AD2019" s="161"/>
      <c r="AE2019" s="161"/>
      <c r="AF2019" s="552" t="s">
        <v>365</v>
      </c>
      <c r="AG2019" s="552"/>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452</v>
      </c>
      <c r="M2020" s="116" t="s">
        <v>107</v>
      </c>
      <c r="N2020" s="116" t="s">
        <v>108</v>
      </c>
      <c r="O2020" s="170" t="s">
        <v>386</v>
      </c>
      <c r="P2020" s="555" t="s">
        <v>375</v>
      </c>
      <c r="Q2020" s="555"/>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1344</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54" t="s">
        <v>366</v>
      </c>
      <c r="V2043" s="554"/>
      <c r="W2043" s="162" t="e">
        <f>W2042/M2021</f>
        <v>#DIV/0!</v>
      </c>
      <c r="X2043" s="163"/>
      <c r="Y2043" s="552" t="s">
        <v>365</v>
      </c>
      <c r="Z2043" s="552"/>
      <c r="AA2043" s="164" t="e">
        <f>AA2042/M2021</f>
        <v>#DIV/0!</v>
      </c>
      <c r="AB2043" s="161"/>
      <c r="AC2043" s="161"/>
      <c r="AD2043" s="161"/>
      <c r="AE2043" s="161"/>
      <c r="AF2043" s="552" t="s">
        <v>365</v>
      </c>
      <c r="AG2043" s="552"/>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53" t="s">
        <v>375</v>
      </c>
      <c r="Q2044" s="553"/>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54" t="s">
        <v>366</v>
      </c>
      <c r="V2067" s="554"/>
      <c r="W2067" s="162" t="e">
        <f>W2066/M2045</f>
        <v>#DIV/0!</v>
      </c>
      <c r="X2067" s="163"/>
      <c r="Y2067" s="552" t="s">
        <v>365</v>
      </c>
      <c r="Z2067" s="552"/>
      <c r="AA2067" s="164" t="e">
        <f>AA2066/M2045</f>
        <v>#DIV/0!</v>
      </c>
      <c r="AB2067" s="161"/>
      <c r="AC2067" s="161"/>
      <c r="AD2067" s="161"/>
      <c r="AE2067" s="161"/>
      <c r="AF2067" s="552" t="s">
        <v>365</v>
      </c>
      <c r="AG2067" s="552"/>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53" t="s">
        <v>375</v>
      </c>
      <c r="Q2068" s="553"/>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1344</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54" t="s">
        <v>366</v>
      </c>
      <c r="V2091" s="554"/>
      <c r="W2091" s="162" t="e">
        <f>W2090/M2069</f>
        <v>#DIV/0!</v>
      </c>
      <c r="X2091" s="163"/>
      <c r="Y2091" s="552" t="s">
        <v>365</v>
      </c>
      <c r="Z2091" s="552"/>
      <c r="AA2091" s="164" t="e">
        <f>AA2090/M2069</f>
        <v>#DIV/0!</v>
      </c>
      <c r="AB2091" s="161"/>
      <c r="AC2091" s="161"/>
      <c r="AD2091" s="161"/>
      <c r="AE2091" s="161"/>
      <c r="AF2091" s="552" t="s">
        <v>365</v>
      </c>
      <c r="AG2091" s="552"/>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v>25</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AK2097*AJ2097</f>
        <v>0</v>
      </c>
      <c r="AJ2097" s="133">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0</v>
      </c>
      <c r="T2098" s="11"/>
      <c r="U2098" s="12" t="s">
        <v>292</v>
      </c>
      <c r="V2098" s="28">
        <f t="shared" si="961"/>
        <v>0</v>
      </c>
      <c r="W2098" s="28">
        <f>VLOOKUP(U2098,Sheet1!$B$6:$C$45,2,FALSE)*V2098</f>
        <v>0</v>
      </c>
      <c r="X2098" s="59"/>
      <c r="Y2098" s="12" t="s">
        <v>292</v>
      </c>
      <c r="Z2098" s="68">
        <f>VLOOKUP(Takeoffs!Y2098,Sheet1!$B$6:$C$124,2,FALSE)</f>
        <v>0</v>
      </c>
      <c r="AA2098" s="68">
        <f t="shared" si="962"/>
        <v>0</v>
      </c>
      <c r="AB2098" s="63">
        <f t="shared" si="963"/>
        <v>0</v>
      </c>
      <c r="AC2098" s="28">
        <f t="shared" ref="AC2098:AC2115" si="968">S2098</f>
        <v>0</v>
      </c>
      <c r="AD2098" s="61">
        <v>1</v>
      </c>
      <c r="AE2098" s="75"/>
      <c r="AF2098" s="12" t="s">
        <v>436</v>
      </c>
      <c r="AG2098" s="68">
        <f>VLOOKUP(Takeoffs!AF2098,Sheet1!$B$6:$C$124,2,FALSE)</f>
        <v>1.2</v>
      </c>
      <c r="AH2098" s="68">
        <f t="shared" si="964"/>
        <v>0</v>
      </c>
      <c r="AI2098" s="63">
        <f t="shared" si="965"/>
        <v>0</v>
      </c>
      <c r="AJ2098" s="133">
        <f>S2098</f>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133">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133">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357</v>
      </c>
      <c r="P2116" s="100">
        <f>V2116+AA2116+AH2116</f>
        <v>0</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367</v>
      </c>
      <c r="N2118" s="83" t="str">
        <f>N2095</f>
        <v>kilometres of cabling required throughout this project</v>
      </c>
      <c r="O2118" s="185" t="s">
        <v>438</v>
      </c>
      <c r="P2118" s="202" t="e">
        <f>P2116/(M2095*1000)</f>
        <v>#DIV/0!</v>
      </c>
      <c r="Q2118" s="196"/>
      <c r="R2118" s="188"/>
      <c r="S2118" s="83"/>
      <c r="T2118" s="84"/>
      <c r="U2118" s="554"/>
      <c r="V2118" s="554"/>
      <c r="W2118" s="85"/>
      <c r="X2118" s="86"/>
      <c r="Y2118" s="552"/>
      <c r="Z2118" s="552"/>
      <c r="AA2118" s="87"/>
      <c r="AB2118" s="84"/>
      <c r="AC2118" s="84"/>
      <c r="AD2118" s="84"/>
      <c r="AE2118" s="84"/>
      <c r="AF2118" s="552" t="s">
        <v>365</v>
      </c>
      <c r="AG2118" s="552"/>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681</v>
      </c>
      <c r="C2119" s="266" t="s">
        <v>683</v>
      </c>
      <c r="D2119" s="260" t="s">
        <v>677</v>
      </c>
      <c r="E2119" s="266"/>
      <c r="F2119" s="266"/>
      <c r="G2119" s="266"/>
      <c r="H2119" s="266"/>
      <c r="I2119" s="271">
        <f>'Job Summary'!H1</f>
        <v>0</v>
      </c>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681</v>
      </c>
      <c r="C2120" s="266" t="s">
        <v>682</v>
      </c>
      <c r="D2120" s="260" t="s">
        <v>677</v>
      </c>
      <c r="E2120" s="266"/>
      <c r="F2120" s="266"/>
      <c r="G2120" s="266"/>
      <c r="H2120" s="266"/>
      <c r="I2120" s="271">
        <f>'Job Summary'!H2</f>
        <v>0</v>
      </c>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684" priority="403">
      <formula>RIGHT(O213,2)="  "</formula>
    </cfRule>
    <cfRule type="expression" dxfId="683" priority="404">
      <formula>RIGHT(O213,1)=" "</formula>
    </cfRule>
  </conditionalFormatting>
  <conditionalFormatting sqref="O261:O280">
    <cfRule type="expression" dxfId="682" priority="401">
      <formula>RIGHT(O261,2)="  "</formula>
    </cfRule>
    <cfRule type="expression" dxfId="681" priority="402">
      <formula>RIGHT(O261,1)=" "</formula>
    </cfRule>
  </conditionalFormatting>
  <conditionalFormatting sqref="O309:O328">
    <cfRule type="expression" dxfId="680" priority="399">
      <formula>RIGHT(O309,2)="  "</formula>
    </cfRule>
    <cfRule type="expression" dxfId="679" priority="400">
      <formula>RIGHT(O309,1)=" "</formula>
    </cfRule>
  </conditionalFormatting>
  <conditionalFormatting sqref="O549:O568">
    <cfRule type="expression" dxfId="678" priority="397">
      <formula>RIGHT(O549,2)="  "</formula>
    </cfRule>
    <cfRule type="expression" dxfId="677" priority="398">
      <formula>RIGHT(O549,1)=" "</formula>
    </cfRule>
  </conditionalFormatting>
  <conditionalFormatting sqref="O765:O784">
    <cfRule type="expression" dxfId="676" priority="395">
      <formula>RIGHT(O765,2)="  "</formula>
    </cfRule>
    <cfRule type="expression" dxfId="675" priority="396">
      <formula>RIGHT(O765,1)=" "</formula>
    </cfRule>
  </conditionalFormatting>
  <conditionalFormatting sqref="O933:O952">
    <cfRule type="expression" dxfId="674" priority="393">
      <formula>RIGHT(O933,2)="  "</formula>
    </cfRule>
    <cfRule type="expression" dxfId="673" priority="394">
      <formula>RIGHT(O933,1)=" "</formula>
    </cfRule>
  </conditionalFormatting>
  <conditionalFormatting sqref="O958:O977">
    <cfRule type="expression" dxfId="672" priority="391">
      <formula>RIGHT(O958,2)="  "</formula>
    </cfRule>
    <cfRule type="expression" dxfId="671" priority="392">
      <formula>RIGHT(O958,1)=" "</formula>
    </cfRule>
  </conditionalFormatting>
  <conditionalFormatting sqref="O1078:O1080 O1082:O1097">
    <cfRule type="expression" dxfId="670" priority="389">
      <formula>RIGHT(O1078,2)="  "</formula>
    </cfRule>
    <cfRule type="expression" dxfId="669" priority="390">
      <formula>RIGHT(O1078,1)=" "</formula>
    </cfRule>
  </conditionalFormatting>
  <conditionalFormatting sqref="O1102:O1104 O1106:O1121">
    <cfRule type="expression" dxfId="668" priority="387">
      <formula>RIGHT(O1102,2)="  "</formula>
    </cfRule>
    <cfRule type="expression" dxfId="667" priority="388">
      <formula>RIGHT(O1102,1)=" "</formula>
    </cfRule>
  </conditionalFormatting>
  <conditionalFormatting sqref="O1150:O1169">
    <cfRule type="expression" dxfId="666" priority="385">
      <formula>RIGHT(O1150,2)="  "</formula>
    </cfRule>
    <cfRule type="expression" dxfId="665" priority="386">
      <formula>RIGHT(O1150,1)=" "</formula>
    </cfRule>
  </conditionalFormatting>
  <conditionalFormatting sqref="O1175:O1194">
    <cfRule type="expression" dxfId="664" priority="383">
      <formula>RIGHT(O1175,2)="  "</formula>
    </cfRule>
    <cfRule type="expression" dxfId="663" priority="384">
      <formula>RIGHT(O1175,1)=" "</formula>
    </cfRule>
  </conditionalFormatting>
  <conditionalFormatting sqref="O1223:O1242">
    <cfRule type="expression" dxfId="662" priority="381">
      <formula>RIGHT(O1223,2)="  "</formula>
    </cfRule>
    <cfRule type="expression" dxfId="661" priority="382">
      <formula>RIGHT(O1223,1)=" "</formula>
    </cfRule>
  </conditionalFormatting>
  <conditionalFormatting sqref="O1439:O1458">
    <cfRule type="expression" dxfId="660" priority="379">
      <formula>RIGHT(O1439,2)="  "</formula>
    </cfRule>
    <cfRule type="expression" dxfId="659" priority="380">
      <formula>RIGHT(O1439,1)=" "</formula>
    </cfRule>
  </conditionalFormatting>
  <conditionalFormatting sqref="O1511:O1530">
    <cfRule type="expression" dxfId="658" priority="377">
      <formula>RIGHT(O1511,2)="  "</formula>
    </cfRule>
    <cfRule type="expression" dxfId="657" priority="378">
      <formula>RIGHT(O1511,1)=" "</formula>
    </cfRule>
  </conditionalFormatting>
  <conditionalFormatting sqref="O1535:O1554">
    <cfRule type="expression" dxfId="656" priority="375">
      <formula>RIGHT(O1535,2)="  "</formula>
    </cfRule>
    <cfRule type="expression" dxfId="655" priority="376">
      <formula>RIGHT(O1535,1)=" "</formula>
    </cfRule>
  </conditionalFormatting>
  <conditionalFormatting sqref="O1609:O1628">
    <cfRule type="expression" dxfId="654" priority="373">
      <formula>RIGHT(O1609,2)="  "</formula>
    </cfRule>
    <cfRule type="expression" dxfId="653" priority="374">
      <formula>RIGHT(O1609,1)=" "</formula>
    </cfRule>
  </conditionalFormatting>
  <conditionalFormatting sqref="O1754:O1773">
    <cfRule type="expression" dxfId="652" priority="371">
      <formula>RIGHT(O1754,2)="  "</formula>
    </cfRule>
    <cfRule type="expression" dxfId="651" priority="372">
      <formula>RIGHT(O1754,1)=" "</formula>
    </cfRule>
  </conditionalFormatting>
  <conditionalFormatting sqref="O1803:O1822">
    <cfRule type="expression" dxfId="650" priority="369">
      <formula>RIGHT(O1803,2)="  "</formula>
    </cfRule>
    <cfRule type="expression" dxfId="649" priority="370">
      <formula>RIGHT(O1803,1)=" "</formula>
    </cfRule>
  </conditionalFormatting>
  <conditionalFormatting sqref="O1827:O1846">
    <cfRule type="expression" dxfId="648" priority="367">
      <formula>RIGHT(O1827,2)="  "</formula>
    </cfRule>
    <cfRule type="expression" dxfId="647" priority="368">
      <formula>RIGHT(O1827,1)=" "</formula>
    </cfRule>
  </conditionalFormatting>
  <conditionalFormatting sqref="O1851:O1870">
    <cfRule type="expression" dxfId="646" priority="365">
      <formula>RIGHT(O1851,2)="  "</formula>
    </cfRule>
    <cfRule type="expression" dxfId="645" priority="366">
      <formula>RIGHT(O1851,1)=" "</formula>
    </cfRule>
  </conditionalFormatting>
  <conditionalFormatting sqref="Q958:Q977">
    <cfRule type="expression" dxfId="644" priority="335">
      <formula>RIGHT(Q958,2)="  "</formula>
    </cfRule>
    <cfRule type="expression" dxfId="643" priority="336">
      <formula>RIGHT(Q958,1)=" "</formula>
    </cfRule>
  </conditionalFormatting>
  <conditionalFormatting sqref="O1875:O1894">
    <cfRule type="expression" dxfId="642" priority="363">
      <formula>RIGHT(O1875,2)="  "</formula>
    </cfRule>
    <cfRule type="expression" dxfId="641" priority="364">
      <formula>RIGHT(O1875,1)=" "</formula>
    </cfRule>
  </conditionalFormatting>
  <conditionalFormatting sqref="O140:O159">
    <cfRule type="expression" dxfId="640" priority="361">
      <formula>RIGHT(O140,2)="  "</formula>
    </cfRule>
    <cfRule type="expression" dxfId="639" priority="362">
      <formula>RIGHT(O140,1)=" "</formula>
    </cfRule>
  </conditionalFormatting>
  <conditionalFormatting sqref="O164:O183">
    <cfRule type="expression" dxfId="638" priority="359">
      <formula>RIGHT(O164,2)="  "</formula>
    </cfRule>
    <cfRule type="expression" dxfId="637" priority="360">
      <formula>RIGHT(O164,1)=" "</formula>
    </cfRule>
  </conditionalFormatting>
  <conditionalFormatting sqref="O188:O207">
    <cfRule type="expression" dxfId="636" priority="357">
      <formula>RIGHT(O188,2)="  "</formula>
    </cfRule>
    <cfRule type="expression" dxfId="635" priority="358">
      <formula>RIGHT(O188,1)=" "</formula>
    </cfRule>
  </conditionalFormatting>
  <conditionalFormatting sqref="O1925:O1944">
    <cfRule type="expression" dxfId="634" priority="355">
      <formula>RIGHT(O1925,2)="  "</formula>
    </cfRule>
    <cfRule type="expression" dxfId="633" priority="356">
      <formula>RIGHT(O1925,1)=" "</formula>
    </cfRule>
  </conditionalFormatting>
  <conditionalFormatting sqref="Q933:Q952">
    <cfRule type="expression" dxfId="632" priority="337">
      <formula>RIGHT(Q933,2)="  "</formula>
    </cfRule>
    <cfRule type="expression" dxfId="631" priority="338">
      <formula>RIGHT(Q933,1)=" "</formula>
    </cfRule>
  </conditionalFormatting>
  <conditionalFormatting sqref="O1973:O1992">
    <cfRule type="expression" dxfId="630" priority="351">
      <formula>RIGHT(O1973,2)="  "</formula>
    </cfRule>
    <cfRule type="expression" dxfId="629" priority="352">
      <formula>RIGHT(O1973,1)=" "</formula>
    </cfRule>
  </conditionalFormatting>
  <conditionalFormatting sqref="O1949:O1968">
    <cfRule type="expression" dxfId="628" priority="349">
      <formula>RIGHT(O1949,2)="  "</formula>
    </cfRule>
    <cfRule type="expression" dxfId="627" priority="350">
      <formula>RIGHT(O1949,1)=" "</formula>
    </cfRule>
  </conditionalFormatting>
  <conditionalFormatting sqref="O45:O63">
    <cfRule type="expression" dxfId="626" priority="333">
      <formula>RIGHT(O45,2)="  "</formula>
    </cfRule>
    <cfRule type="expression" dxfId="625" priority="334">
      <formula>RIGHT(O45,1)=" "</formula>
    </cfRule>
  </conditionalFormatting>
  <conditionalFormatting sqref="O20:O28 O30:O39">
    <cfRule type="expression" dxfId="624" priority="331">
      <formula>RIGHT(O20,2)="  "</formula>
    </cfRule>
    <cfRule type="expression" dxfId="623" priority="332">
      <formula>RIGHT(O20,1)=" "</formula>
    </cfRule>
  </conditionalFormatting>
  <conditionalFormatting sqref="Q213:Q232">
    <cfRule type="expression" dxfId="622" priority="347">
      <formula>RIGHT(Q213,2)="  "</formula>
    </cfRule>
    <cfRule type="expression" dxfId="621" priority="348">
      <formula>RIGHT(Q213,1)=" "</formula>
    </cfRule>
  </conditionalFormatting>
  <conditionalFormatting sqref="Q261:Q280">
    <cfRule type="expression" dxfId="620" priority="345">
      <formula>RIGHT(Q261,2)="  "</formula>
    </cfRule>
    <cfRule type="expression" dxfId="619" priority="346">
      <formula>RIGHT(Q261,1)=" "</formula>
    </cfRule>
  </conditionalFormatting>
  <conditionalFormatting sqref="Q309:Q328">
    <cfRule type="expression" dxfId="618" priority="343">
      <formula>RIGHT(Q309,2)="  "</formula>
    </cfRule>
    <cfRule type="expression" dxfId="617" priority="344">
      <formula>RIGHT(Q309,1)=" "</formula>
    </cfRule>
  </conditionalFormatting>
  <conditionalFormatting sqref="Q549:Q568">
    <cfRule type="expression" dxfId="616" priority="341">
      <formula>RIGHT(Q549,2)="  "</formula>
    </cfRule>
    <cfRule type="expression" dxfId="615" priority="342">
      <formula>RIGHT(Q549,1)=" "</formula>
    </cfRule>
  </conditionalFormatting>
  <conditionalFormatting sqref="Q765:Q784">
    <cfRule type="expression" dxfId="614" priority="339">
      <formula>RIGHT(Q765,2)="  "</formula>
    </cfRule>
    <cfRule type="expression" dxfId="613" priority="340">
      <formula>RIGHT(Q765,1)=" "</formula>
    </cfRule>
  </conditionalFormatting>
  <conditionalFormatting sqref="O117:O135">
    <cfRule type="expression" dxfId="612" priority="329">
      <formula>RIGHT(O117,2)="  "</formula>
    </cfRule>
    <cfRule type="expression" dxfId="611" priority="330">
      <formula>RIGHT(O117,1)=" "</formula>
    </cfRule>
  </conditionalFormatting>
  <conditionalFormatting sqref="O1682:O1701">
    <cfRule type="expression" dxfId="610" priority="327">
      <formula>RIGHT(O1682,2)="  "</formula>
    </cfRule>
    <cfRule type="expression" dxfId="609" priority="328">
      <formula>RIGHT(O1682,1)=" "</formula>
    </cfRule>
  </conditionalFormatting>
  <conditionalFormatting sqref="O29">
    <cfRule type="expression" dxfId="608" priority="325">
      <formula>RIGHT(O29,2)="  "</formula>
    </cfRule>
    <cfRule type="expression" dxfId="607" priority="326">
      <formula>RIGHT(O29,1)=" "</formula>
    </cfRule>
  </conditionalFormatting>
  <conditionalFormatting sqref="O44">
    <cfRule type="expression" dxfId="606" priority="323">
      <formula>RIGHT(O44,2)="  "</formula>
    </cfRule>
    <cfRule type="expression" dxfId="605" priority="324">
      <formula>RIGHT(O44,1)=" "</formula>
    </cfRule>
  </conditionalFormatting>
  <conditionalFormatting sqref="O116">
    <cfRule type="expression" dxfId="604" priority="321">
      <formula>RIGHT(O116,2)="  "</formula>
    </cfRule>
    <cfRule type="expression" dxfId="603" priority="322">
      <formula>RIGHT(O116,1)=" "</formula>
    </cfRule>
  </conditionalFormatting>
  <conditionalFormatting sqref="O621:O640">
    <cfRule type="expression" dxfId="602" priority="319">
      <formula>RIGHT(O621,2)="  "</formula>
    </cfRule>
    <cfRule type="expression" dxfId="601" priority="320">
      <formula>RIGHT(O621,1)=" "</formula>
    </cfRule>
  </conditionalFormatting>
  <conditionalFormatting sqref="Q621:Q640">
    <cfRule type="expression" dxfId="600" priority="317">
      <formula>RIGHT(Q621,2)="  "</formula>
    </cfRule>
    <cfRule type="expression" dxfId="599" priority="318">
      <formula>RIGHT(Q621,1)=" "</formula>
    </cfRule>
  </conditionalFormatting>
  <conditionalFormatting sqref="O525:O544">
    <cfRule type="expression" dxfId="598" priority="315">
      <formula>RIGHT(O525,2)="  "</formula>
    </cfRule>
    <cfRule type="expression" dxfId="597" priority="316">
      <formula>RIGHT(O525,1)=" "</formula>
    </cfRule>
  </conditionalFormatting>
  <conditionalFormatting sqref="Q525:Q544">
    <cfRule type="expression" dxfId="596" priority="313">
      <formula>RIGHT(Q525,2)="  "</formula>
    </cfRule>
    <cfRule type="expression" dxfId="595" priority="314">
      <formula>RIGHT(Q525,1)=" "</formula>
    </cfRule>
  </conditionalFormatting>
  <conditionalFormatting sqref="O837:O856">
    <cfRule type="expression" dxfId="594" priority="311">
      <formula>RIGHT(O837,2)="  "</formula>
    </cfRule>
    <cfRule type="expression" dxfId="593" priority="312">
      <formula>RIGHT(O837,1)=" "</formula>
    </cfRule>
  </conditionalFormatting>
  <conditionalFormatting sqref="Q837:Q856">
    <cfRule type="expression" dxfId="592" priority="309">
      <formula>RIGHT(Q837,2)="  "</formula>
    </cfRule>
    <cfRule type="expression" dxfId="591" priority="310">
      <formula>RIGHT(Q837,1)=" "</formula>
    </cfRule>
  </conditionalFormatting>
  <conditionalFormatting sqref="O1054:O1056 O1058:O1073">
    <cfRule type="expression" dxfId="590" priority="307">
      <formula>RIGHT(O1054,2)="  "</formula>
    </cfRule>
    <cfRule type="expression" dxfId="589" priority="308">
      <formula>RIGHT(O1054,1)=" "</formula>
    </cfRule>
  </conditionalFormatting>
  <conditionalFormatting sqref="O1030:O1049">
    <cfRule type="expression" dxfId="588" priority="305">
      <formula>RIGHT(O1030,2)="  "</formula>
    </cfRule>
    <cfRule type="expression" dxfId="587" priority="306">
      <formula>RIGHT(O1030,1)=" "</formula>
    </cfRule>
  </conditionalFormatting>
  <conditionalFormatting sqref="O982:O1001">
    <cfRule type="expression" dxfId="586" priority="303">
      <formula>RIGHT(O982,2)="  "</formula>
    </cfRule>
    <cfRule type="expression" dxfId="585" priority="304">
      <formula>RIGHT(O982,1)=" "</formula>
    </cfRule>
  </conditionalFormatting>
  <conditionalFormatting sqref="O1057">
    <cfRule type="expression" dxfId="584" priority="301">
      <formula>RIGHT(O1057,2)="  "</formula>
    </cfRule>
    <cfRule type="expression" dxfId="583" priority="302">
      <formula>RIGHT(O1057,1)=" "</formula>
    </cfRule>
  </conditionalFormatting>
  <conditionalFormatting sqref="O1081">
    <cfRule type="expression" dxfId="582" priority="299">
      <formula>RIGHT(O1081,2)="  "</formula>
    </cfRule>
    <cfRule type="expression" dxfId="581" priority="300">
      <formula>RIGHT(O1081,1)=" "</formula>
    </cfRule>
  </conditionalFormatting>
  <conditionalFormatting sqref="O1105">
    <cfRule type="expression" dxfId="580" priority="297">
      <formula>RIGHT(O1105,2)="  "</formula>
    </cfRule>
    <cfRule type="expression" dxfId="579" priority="298">
      <formula>RIGHT(O1105,1)=" "</formula>
    </cfRule>
  </conditionalFormatting>
  <conditionalFormatting sqref="O1706:O1725">
    <cfRule type="expression" dxfId="578" priority="295">
      <formula>RIGHT(O1706,2)="  "</formula>
    </cfRule>
    <cfRule type="expression" dxfId="577" priority="296">
      <formula>RIGHT(O1706,1)=" "</formula>
    </cfRule>
  </conditionalFormatting>
  <conditionalFormatting sqref="O1730:O1749">
    <cfRule type="expression" dxfId="576" priority="293">
      <formula>RIGHT(O1730,2)="  "</formula>
    </cfRule>
    <cfRule type="expression" dxfId="575" priority="294">
      <formula>RIGHT(O1730,1)=" "</formula>
    </cfRule>
  </conditionalFormatting>
  <conditionalFormatting sqref="O1634:O1653">
    <cfRule type="expression" dxfId="574" priority="291">
      <formula>RIGHT(O1634,2)="  "</formula>
    </cfRule>
    <cfRule type="expression" dxfId="573" priority="292">
      <formula>RIGHT(O1634,1)=" "</formula>
    </cfRule>
  </conditionalFormatting>
  <conditionalFormatting sqref="O1126:O1145">
    <cfRule type="expression" dxfId="572" priority="289">
      <formula>RIGHT(O1126,2)="  "</formula>
    </cfRule>
    <cfRule type="expression" dxfId="571" priority="290">
      <formula>RIGHT(O1126,1)=" "</formula>
    </cfRule>
  </conditionalFormatting>
  <conditionalFormatting sqref="O69:O87">
    <cfRule type="expression" dxfId="570" priority="287">
      <formula>RIGHT(O69,2)="  "</formula>
    </cfRule>
    <cfRule type="expression" dxfId="569" priority="288">
      <formula>RIGHT(O69,1)=" "</formula>
    </cfRule>
  </conditionalFormatting>
  <conditionalFormatting sqref="O68">
    <cfRule type="expression" dxfId="568" priority="285">
      <formula>RIGHT(O68,2)="  "</formula>
    </cfRule>
    <cfRule type="expression" dxfId="567" priority="286">
      <formula>RIGHT(O68,1)=" "</formula>
    </cfRule>
  </conditionalFormatting>
  <conditionalFormatting sqref="O1561 O1563:O1564 O1571:O1580 O1568">
    <cfRule type="expression" dxfId="566" priority="283">
      <formula>RIGHT(O1561,2)="  "</formula>
    </cfRule>
    <cfRule type="expression" dxfId="565" priority="284">
      <formula>RIGHT(O1561,1)=" "</formula>
    </cfRule>
  </conditionalFormatting>
  <conditionalFormatting sqref="O1415:O1434">
    <cfRule type="expression" dxfId="564" priority="281">
      <formula>RIGHT(O1415,2)="  "</formula>
    </cfRule>
    <cfRule type="expression" dxfId="563" priority="282">
      <formula>RIGHT(O1415,1)=" "</formula>
    </cfRule>
  </conditionalFormatting>
  <conditionalFormatting sqref="O1779:O1798">
    <cfRule type="expression" dxfId="562" priority="279">
      <formula>RIGHT(O1779,2)="  "</formula>
    </cfRule>
    <cfRule type="expression" dxfId="561" priority="280">
      <formula>RIGHT(O1779,1)=" "</formula>
    </cfRule>
  </conditionalFormatting>
  <conditionalFormatting sqref="O885:O904">
    <cfRule type="expression" dxfId="560" priority="277">
      <formula>RIGHT(O885,2)="  "</formula>
    </cfRule>
    <cfRule type="expression" dxfId="559" priority="278">
      <formula>RIGHT(O885,1)=" "</formula>
    </cfRule>
  </conditionalFormatting>
  <conditionalFormatting sqref="Q885:Q904">
    <cfRule type="expression" dxfId="558" priority="275">
      <formula>RIGHT(Q885,2)="  "</formula>
    </cfRule>
    <cfRule type="expression" dxfId="557" priority="276">
      <formula>RIGHT(Q885,1)=" "</formula>
    </cfRule>
  </conditionalFormatting>
  <conditionalFormatting sqref="O285:O304">
    <cfRule type="expression" dxfId="556" priority="273">
      <formula>RIGHT(O285,2)="  "</formula>
    </cfRule>
    <cfRule type="expression" dxfId="555" priority="274">
      <formula>RIGHT(O285,1)=" "</formula>
    </cfRule>
  </conditionalFormatting>
  <conditionalFormatting sqref="O909:O928">
    <cfRule type="expression" dxfId="554" priority="271">
      <formula>RIGHT(O909,2)="  "</formula>
    </cfRule>
    <cfRule type="expression" dxfId="553" priority="272">
      <formula>RIGHT(O909,1)=" "</formula>
    </cfRule>
  </conditionalFormatting>
  <conditionalFormatting sqref="Q909:Q928">
    <cfRule type="expression" dxfId="552" priority="269">
      <formula>RIGHT(Q909,2)="  "</formula>
    </cfRule>
    <cfRule type="expression" dxfId="551" priority="270">
      <formula>RIGHT(Q909,1)=" "</formula>
    </cfRule>
  </conditionalFormatting>
  <conditionalFormatting sqref="O861:O880">
    <cfRule type="expression" dxfId="550" priority="267">
      <formula>RIGHT(O861,2)="  "</formula>
    </cfRule>
    <cfRule type="expression" dxfId="549" priority="268">
      <formula>RIGHT(O861,1)=" "</formula>
    </cfRule>
  </conditionalFormatting>
  <conditionalFormatting sqref="Q861:Q880">
    <cfRule type="expression" dxfId="548" priority="265">
      <formula>RIGHT(Q861,2)="  "</formula>
    </cfRule>
    <cfRule type="expression" dxfId="547" priority="266">
      <formula>RIGHT(Q861,1)=" "</formula>
    </cfRule>
  </conditionalFormatting>
  <conditionalFormatting sqref="O1199:O1218">
    <cfRule type="expression" dxfId="546" priority="263">
      <formula>RIGHT(O1199,2)="  "</formula>
    </cfRule>
    <cfRule type="expression" dxfId="545" priority="264">
      <formula>RIGHT(O1199,1)=" "</formula>
    </cfRule>
  </conditionalFormatting>
  <conditionalFormatting sqref="O789:O808">
    <cfRule type="expression" dxfId="544" priority="261">
      <formula>RIGHT(O789,2)="  "</formula>
    </cfRule>
    <cfRule type="expression" dxfId="543" priority="262">
      <formula>RIGHT(O789,1)=" "</formula>
    </cfRule>
  </conditionalFormatting>
  <conditionalFormatting sqref="Q789:Q808">
    <cfRule type="expression" dxfId="542" priority="259">
      <formula>RIGHT(Q789,2)="  "</formula>
    </cfRule>
    <cfRule type="expression" dxfId="541" priority="260">
      <formula>RIGHT(Q789,1)=" "</formula>
    </cfRule>
  </conditionalFormatting>
  <conditionalFormatting sqref="O1006:O1025">
    <cfRule type="expression" dxfId="540" priority="257">
      <formula>RIGHT(O1006,2)="  "</formula>
    </cfRule>
    <cfRule type="expression" dxfId="539" priority="258">
      <formula>RIGHT(O1006,1)=" "</formula>
    </cfRule>
  </conditionalFormatting>
  <conditionalFormatting sqref="O1319:O1338">
    <cfRule type="expression" dxfId="538" priority="255">
      <formula>RIGHT(O1319,2)="  "</formula>
    </cfRule>
    <cfRule type="expression" dxfId="537" priority="256">
      <formula>RIGHT(O1319,1)=" "</formula>
    </cfRule>
  </conditionalFormatting>
  <conditionalFormatting sqref="O693:O712">
    <cfRule type="expression" dxfId="536" priority="253">
      <formula>RIGHT(O693,2)="  "</formula>
    </cfRule>
    <cfRule type="expression" dxfId="535" priority="254">
      <formula>RIGHT(O693,1)=" "</formula>
    </cfRule>
  </conditionalFormatting>
  <conditionalFormatting sqref="Q693:Q712">
    <cfRule type="expression" dxfId="534" priority="251">
      <formula>RIGHT(Q693,2)="  "</formula>
    </cfRule>
    <cfRule type="expression" dxfId="533" priority="252">
      <formula>RIGHT(Q693,1)=" "</formula>
    </cfRule>
  </conditionalFormatting>
  <conditionalFormatting sqref="O429:O448">
    <cfRule type="expression" dxfId="532" priority="249">
      <formula>RIGHT(O429,2)="  "</formula>
    </cfRule>
    <cfRule type="expression" dxfId="531" priority="250">
      <formula>RIGHT(O429,1)=" "</formula>
    </cfRule>
  </conditionalFormatting>
  <conditionalFormatting sqref="Q429:Q448">
    <cfRule type="expression" dxfId="530" priority="247">
      <formula>RIGHT(Q429,2)="  "</formula>
    </cfRule>
    <cfRule type="expression" dxfId="529" priority="248">
      <formula>RIGHT(Q429,1)=" "</formula>
    </cfRule>
  </conditionalFormatting>
  <conditionalFormatting sqref="O1271:O1290">
    <cfRule type="expression" dxfId="528" priority="245">
      <formula>RIGHT(O1271,2)="  "</formula>
    </cfRule>
    <cfRule type="expression" dxfId="527" priority="246">
      <formula>RIGHT(O1271,1)=" "</formula>
    </cfRule>
  </conditionalFormatting>
  <conditionalFormatting sqref="Q1271">
    <cfRule type="expression" dxfId="526" priority="243">
      <formula>RIGHT(Q1271,2)="  "</formula>
    </cfRule>
    <cfRule type="expression" dxfId="525" priority="244">
      <formula>RIGHT(Q1271,1)=" "</formula>
    </cfRule>
  </conditionalFormatting>
  <conditionalFormatting sqref="Q1272">
    <cfRule type="expression" dxfId="524" priority="241">
      <formula>RIGHT(Q1272,2)="  "</formula>
    </cfRule>
    <cfRule type="expression" dxfId="523" priority="242">
      <formula>RIGHT(Q1272,1)=" "</formula>
    </cfRule>
  </conditionalFormatting>
  <conditionalFormatting sqref="Q1273">
    <cfRule type="expression" dxfId="522" priority="239">
      <formula>RIGHT(Q1273,2)="  "</formula>
    </cfRule>
    <cfRule type="expression" dxfId="521" priority="240">
      <formula>RIGHT(Q1273,1)=" "</formula>
    </cfRule>
  </conditionalFormatting>
  <conditionalFormatting sqref="O453:O456 O460:O472">
    <cfRule type="expression" dxfId="520" priority="237">
      <formula>RIGHT(O453,2)="  "</formula>
    </cfRule>
    <cfRule type="expression" dxfId="519" priority="238">
      <formula>RIGHT(O453,1)=" "</formula>
    </cfRule>
  </conditionalFormatting>
  <conditionalFormatting sqref="O457:O459">
    <cfRule type="expression" dxfId="518" priority="227">
      <formula>RIGHT(O457,2)="  "</formula>
    </cfRule>
    <cfRule type="expression" dxfId="517" priority="228">
      <formula>RIGHT(O457,1)=" "</formula>
    </cfRule>
  </conditionalFormatting>
  <conditionalFormatting sqref="Q453">
    <cfRule type="expression" dxfId="516" priority="233">
      <formula>RIGHT(Q453,2)="  "</formula>
    </cfRule>
    <cfRule type="expression" dxfId="515" priority="234">
      <formula>RIGHT(Q453,1)=" "</formula>
    </cfRule>
  </conditionalFormatting>
  <conditionalFormatting sqref="Q455">
    <cfRule type="expression" dxfId="514" priority="229">
      <formula>RIGHT(Q455,2)="  "</formula>
    </cfRule>
    <cfRule type="expression" dxfId="513" priority="230">
      <formula>RIGHT(Q455,1)=" "</formula>
    </cfRule>
  </conditionalFormatting>
  <conditionalFormatting sqref="Q719">
    <cfRule type="expression" dxfId="512" priority="217">
      <formula>RIGHT(Q719,2)="  "</formula>
    </cfRule>
    <cfRule type="expression" dxfId="511" priority="218">
      <formula>RIGHT(Q719,1)=" "</formula>
    </cfRule>
  </conditionalFormatting>
  <conditionalFormatting sqref="O719:O721">
    <cfRule type="expression" dxfId="510" priority="215">
      <formula>RIGHT(O719,2)="  "</formula>
    </cfRule>
    <cfRule type="expression" dxfId="509" priority="216">
      <formula>RIGHT(O719,1)=" "</formula>
    </cfRule>
  </conditionalFormatting>
  <conditionalFormatting sqref="O717:O718 O722:O736">
    <cfRule type="expression" dxfId="508" priority="225">
      <formula>RIGHT(O717,2)="  "</formula>
    </cfRule>
    <cfRule type="expression" dxfId="507" priority="226">
      <formula>RIGHT(O717,1)=" "</formula>
    </cfRule>
  </conditionalFormatting>
  <conditionalFormatting sqref="Q1249">
    <cfRule type="expression" dxfId="506" priority="207">
      <formula>RIGHT(Q1249,2)="  "</formula>
    </cfRule>
    <cfRule type="expression" dxfId="505" priority="208">
      <formula>RIGHT(Q1249,1)=" "</formula>
    </cfRule>
  </conditionalFormatting>
  <conditionalFormatting sqref="Q717">
    <cfRule type="expression" dxfId="504" priority="221">
      <formula>RIGHT(Q717,2)="  "</formula>
    </cfRule>
    <cfRule type="expression" dxfId="503" priority="222">
      <formula>RIGHT(Q717,1)=" "</formula>
    </cfRule>
  </conditionalFormatting>
  <conditionalFormatting sqref="Q1247">
    <cfRule type="expression" dxfId="502" priority="211">
      <formula>RIGHT(Q1247,2)="  "</formula>
    </cfRule>
    <cfRule type="expression" dxfId="501" priority="212">
      <formula>RIGHT(Q1247,1)=" "</formula>
    </cfRule>
  </conditionalFormatting>
  <conditionalFormatting sqref="Q1248">
    <cfRule type="expression" dxfId="500" priority="209">
      <formula>RIGHT(Q1248,2)="  "</formula>
    </cfRule>
    <cfRule type="expression" dxfId="499" priority="210">
      <formula>RIGHT(Q1248,1)=" "</formula>
    </cfRule>
  </conditionalFormatting>
  <conditionalFormatting sqref="Q1590">
    <cfRule type="expression" dxfId="498" priority="175">
      <formula>RIGHT(Q1590,2)="  "</formula>
    </cfRule>
    <cfRule type="expression" dxfId="497" priority="176">
      <formula>RIGHT(Q1590,1)=" "</formula>
    </cfRule>
  </conditionalFormatting>
  <conditionalFormatting sqref="O1247:O1266">
    <cfRule type="expression" dxfId="496" priority="213">
      <formula>RIGHT(O1247,2)="  "</formula>
    </cfRule>
    <cfRule type="expression" dxfId="495" priority="214">
      <formula>RIGHT(O1247,1)=" "</formula>
    </cfRule>
  </conditionalFormatting>
  <conditionalFormatting sqref="O1586">
    <cfRule type="expression" dxfId="494" priority="179">
      <formula>RIGHT(O1586,2)="  "</formula>
    </cfRule>
    <cfRule type="expression" dxfId="493" priority="180">
      <formula>RIGHT(O1586,1)=" "</formula>
    </cfRule>
  </conditionalFormatting>
  <conditionalFormatting sqref="Q2022:Q2028 Q2030:Q2041">
    <cfRule type="expression" dxfId="492" priority="171">
      <formula>RIGHT(Q2022,2)="  "</formula>
    </cfRule>
    <cfRule type="expression" dxfId="491" priority="172">
      <formula>RIGHT(Q2022,1)=" "</formula>
    </cfRule>
  </conditionalFormatting>
  <conditionalFormatting sqref="O1585 O1591:O1604 O1587">
    <cfRule type="expression" dxfId="490" priority="205">
      <formula>RIGHT(O1585,2)="  "</formula>
    </cfRule>
    <cfRule type="expression" dxfId="489" priority="206">
      <formula>RIGHT(O1585,1)=" "</formula>
    </cfRule>
  </conditionalFormatting>
  <conditionalFormatting sqref="Q1585">
    <cfRule type="expression" dxfId="488" priority="203">
      <formula>RIGHT(Q1585,2)="  "</formula>
    </cfRule>
    <cfRule type="expression" dxfId="487" priority="204">
      <formula>RIGHT(Q1585,1)=" "</formula>
    </cfRule>
  </conditionalFormatting>
  <conditionalFormatting sqref="Q1586">
    <cfRule type="expression" dxfId="486" priority="201">
      <formula>RIGHT(Q1586,2)="  "</formula>
    </cfRule>
    <cfRule type="expression" dxfId="485" priority="202">
      <formula>RIGHT(Q1586,1)=" "</formula>
    </cfRule>
  </conditionalFormatting>
  <conditionalFormatting sqref="Q1587">
    <cfRule type="expression" dxfId="484" priority="199">
      <formula>RIGHT(Q1587,2)="  "</formula>
    </cfRule>
    <cfRule type="expression" dxfId="483" priority="200">
      <formula>RIGHT(Q1587,1)=" "</formula>
    </cfRule>
  </conditionalFormatting>
  <conditionalFormatting sqref="O1588:O1590">
    <cfRule type="expression" dxfId="482" priority="197">
      <formula>RIGHT(O1588,2)="  "</formula>
    </cfRule>
    <cfRule type="expression" dxfId="481" priority="198">
      <formula>RIGHT(O1588,1)=" "</formula>
    </cfRule>
  </conditionalFormatting>
  <conditionalFormatting sqref="O1562">
    <cfRule type="expression" dxfId="480" priority="195">
      <formula>RIGHT(O1562,2)="  "</formula>
    </cfRule>
    <cfRule type="expression" dxfId="479" priority="196">
      <formula>RIGHT(O1562,1)=" "</formula>
    </cfRule>
  </conditionalFormatting>
  <conditionalFormatting sqref="O1570">
    <cfRule type="expression" dxfId="478" priority="193">
      <formula>RIGHT(O1570,2)="  "</formula>
    </cfRule>
    <cfRule type="expression" dxfId="477" priority="194">
      <formula>RIGHT(O1570,1)=" "</formula>
    </cfRule>
  </conditionalFormatting>
  <conditionalFormatting sqref="O1569">
    <cfRule type="expression" dxfId="476" priority="191">
      <formula>RIGHT(O1569,2)="  "</formula>
    </cfRule>
    <cfRule type="expression" dxfId="475" priority="192">
      <formula>RIGHT(O1569,1)=" "</formula>
    </cfRule>
  </conditionalFormatting>
  <conditionalFormatting sqref="Q1561">
    <cfRule type="expression" dxfId="474" priority="189">
      <formula>RIGHT(Q1561,2)="  "</formula>
    </cfRule>
    <cfRule type="expression" dxfId="473" priority="190">
      <formula>RIGHT(Q1561,1)=" "</formula>
    </cfRule>
  </conditionalFormatting>
  <conditionalFormatting sqref="Q1562">
    <cfRule type="expression" dxfId="472" priority="187">
      <formula>RIGHT(Q1562,2)="  "</formula>
    </cfRule>
    <cfRule type="expression" dxfId="471" priority="188">
      <formula>RIGHT(Q1562,1)=" "</formula>
    </cfRule>
  </conditionalFormatting>
  <conditionalFormatting sqref="Q1563">
    <cfRule type="expression" dxfId="470" priority="185">
      <formula>RIGHT(Q1563,2)="  "</formula>
    </cfRule>
    <cfRule type="expression" dxfId="469" priority="186">
      <formula>RIGHT(Q1563,1)=" "</formula>
    </cfRule>
  </conditionalFormatting>
  <conditionalFormatting sqref="O1565:O1567">
    <cfRule type="expression" dxfId="468" priority="183">
      <formula>RIGHT(O1565,2)="  "</formula>
    </cfRule>
    <cfRule type="expression" dxfId="467" priority="184">
      <formula>RIGHT(O1565,1)=" "</formula>
    </cfRule>
  </conditionalFormatting>
  <conditionalFormatting sqref="O2022:O2023 O2025:O2038">
    <cfRule type="expression" dxfId="466" priority="173">
      <formula>RIGHT(O2022,2)="  "</formula>
    </cfRule>
    <cfRule type="expression" dxfId="465" priority="174">
      <formula>RIGHT(O2022,1)=" "</formula>
    </cfRule>
  </conditionalFormatting>
  <conditionalFormatting sqref="Q2029">
    <cfRule type="expression" dxfId="464" priority="167">
      <formula>RIGHT(Q2029,2)="  "</formula>
    </cfRule>
    <cfRule type="expression" dxfId="463" priority="168">
      <formula>RIGHT(Q2029,1)=" "</formula>
    </cfRule>
  </conditionalFormatting>
  <conditionalFormatting sqref="O2016:O2017 O2000">
    <cfRule type="expression" dxfId="462" priority="165">
      <formula>RIGHT(O2000,2)="  "</formula>
    </cfRule>
    <cfRule type="expression" dxfId="461" priority="166">
      <formula>RIGHT(O2000,1)=" "</formula>
    </cfRule>
  </conditionalFormatting>
  <conditionalFormatting sqref="Q1998:Q2004 Q2006:Q2017">
    <cfRule type="expression" dxfId="460" priority="161">
      <formula>RIGHT(Q1998,2)="  "</formula>
    </cfRule>
    <cfRule type="expression" dxfId="459" priority="162">
      <formula>RIGHT(Q1998,1)=" "</formula>
    </cfRule>
  </conditionalFormatting>
  <conditionalFormatting sqref="O1998:O1999 O2001:O2014">
    <cfRule type="expression" dxfId="458" priority="163">
      <formula>RIGHT(O1998,2)="  "</formula>
    </cfRule>
    <cfRule type="expression" dxfId="457" priority="164">
      <formula>RIGHT(O1998,1)=" "</formula>
    </cfRule>
  </conditionalFormatting>
  <conditionalFormatting sqref="Q2005">
    <cfRule type="expression" dxfId="456" priority="159">
      <formula>RIGHT(Q2005,2)="  "</formula>
    </cfRule>
    <cfRule type="expression" dxfId="455" priority="160">
      <formula>RIGHT(Q2005,1)=" "</formula>
    </cfRule>
  </conditionalFormatting>
  <conditionalFormatting sqref="O237:O256">
    <cfRule type="expression" dxfId="454" priority="157">
      <formula>RIGHT(O237,2)="  "</formula>
    </cfRule>
    <cfRule type="expression" dxfId="453" priority="158">
      <formula>RIGHT(O237,1)=" "</formula>
    </cfRule>
  </conditionalFormatting>
  <conditionalFormatting sqref="Q237:Q256">
    <cfRule type="expression" dxfId="452" priority="155">
      <formula>RIGHT(Q237,2)="  "</formula>
    </cfRule>
    <cfRule type="expression" dxfId="451" priority="156">
      <formula>RIGHT(Q237,1)=" "</formula>
    </cfRule>
  </conditionalFormatting>
  <conditionalFormatting sqref="O1658:O1677">
    <cfRule type="expression" dxfId="450" priority="153">
      <formula>RIGHT(O1658,2)="  "</formula>
    </cfRule>
    <cfRule type="expression" dxfId="449" priority="154">
      <formula>RIGHT(O1658,1)=" "</formula>
    </cfRule>
  </conditionalFormatting>
  <conditionalFormatting sqref="O1295:O1314">
    <cfRule type="expression" dxfId="448" priority="151">
      <formula>RIGHT(O1295,2)="  "</formula>
    </cfRule>
    <cfRule type="expression" dxfId="447" priority="152">
      <formula>RIGHT(O1295,1)=" "</formula>
    </cfRule>
  </conditionalFormatting>
  <conditionalFormatting sqref="O1487:O1506">
    <cfRule type="expression" dxfId="446" priority="147">
      <formula>RIGHT(O1487,2)="  "</formula>
    </cfRule>
    <cfRule type="expression" dxfId="445" priority="148">
      <formula>RIGHT(O1487,1)=" "</formula>
    </cfRule>
  </conditionalFormatting>
  <conditionalFormatting sqref="O1463:O1482">
    <cfRule type="expression" dxfId="444" priority="145">
      <formula>RIGHT(O1463,2)="  "</formula>
    </cfRule>
    <cfRule type="expression" dxfId="443" priority="146">
      <formula>RIGHT(O1463,1)=" "</formula>
    </cfRule>
  </conditionalFormatting>
  <conditionalFormatting sqref="O597:O616">
    <cfRule type="expression" dxfId="442" priority="143">
      <formula>RIGHT(O597,2)="  "</formula>
    </cfRule>
    <cfRule type="expression" dxfId="441" priority="144">
      <formula>RIGHT(O597,1)=" "</formula>
    </cfRule>
  </conditionalFormatting>
  <conditionalFormatting sqref="Q597:Q616">
    <cfRule type="expression" dxfId="440" priority="141">
      <formula>RIGHT(Q597,2)="  "</formula>
    </cfRule>
    <cfRule type="expression" dxfId="439" priority="142">
      <formula>RIGHT(Q597,1)=" "</formula>
    </cfRule>
  </conditionalFormatting>
  <conditionalFormatting sqref="O501:O520">
    <cfRule type="expression" dxfId="438" priority="139">
      <formula>RIGHT(O501,2)="  "</formula>
    </cfRule>
    <cfRule type="expression" dxfId="437" priority="140">
      <formula>RIGHT(O501,1)=" "</formula>
    </cfRule>
  </conditionalFormatting>
  <conditionalFormatting sqref="Q501:Q520">
    <cfRule type="expression" dxfId="436" priority="137">
      <formula>RIGHT(Q501,2)="  "</formula>
    </cfRule>
    <cfRule type="expression" dxfId="435" priority="138">
      <formula>RIGHT(Q501,1)=" "</formula>
    </cfRule>
  </conditionalFormatting>
  <conditionalFormatting sqref="O741:O760">
    <cfRule type="expression" dxfId="434" priority="135">
      <formula>RIGHT(O741,2)="  "</formula>
    </cfRule>
    <cfRule type="expression" dxfId="433" priority="136">
      <formula>RIGHT(O741,1)=" "</formula>
    </cfRule>
  </conditionalFormatting>
  <conditionalFormatting sqref="Q741:Q760">
    <cfRule type="expression" dxfId="432" priority="133">
      <formula>RIGHT(Q741,2)="  "</formula>
    </cfRule>
    <cfRule type="expression" dxfId="431" priority="134">
      <formula>RIGHT(Q741,1)=" "</formula>
    </cfRule>
  </conditionalFormatting>
  <conditionalFormatting sqref="O669:O688">
    <cfRule type="expression" dxfId="430" priority="130">
      <formula>RIGHT(O669,2)="  "</formula>
    </cfRule>
    <cfRule type="expression" dxfId="429" priority="131">
      <formula>RIGHT(O669,1)=" "</formula>
    </cfRule>
  </conditionalFormatting>
  <conditionalFormatting sqref="Q669:Q688">
    <cfRule type="expression" dxfId="428" priority="128">
      <formula>RIGHT(Q669,2)="  "</formula>
    </cfRule>
    <cfRule type="expression" dxfId="427" priority="129">
      <formula>RIGHT(Q669,1)=" "</formula>
    </cfRule>
  </conditionalFormatting>
  <conditionalFormatting sqref="O333:O352">
    <cfRule type="expression" dxfId="426" priority="125">
      <formula>RIGHT(O333,2)="  "</formula>
    </cfRule>
    <cfRule type="expression" dxfId="425" priority="126">
      <formula>RIGHT(O333,1)=" "</formula>
    </cfRule>
  </conditionalFormatting>
  <conditionalFormatting sqref="Q333:Q352">
    <cfRule type="expression" dxfId="424" priority="123">
      <formula>RIGHT(Q333,2)="  "</formula>
    </cfRule>
    <cfRule type="expression" dxfId="423" priority="124">
      <formula>RIGHT(Q333,1)=" "</formula>
    </cfRule>
  </conditionalFormatting>
  <conditionalFormatting sqref="O357:O376">
    <cfRule type="expression" dxfId="422" priority="120">
      <formula>RIGHT(O357,2)="  "</formula>
    </cfRule>
    <cfRule type="expression" dxfId="421" priority="121">
      <formula>RIGHT(O357,1)=" "</formula>
    </cfRule>
  </conditionalFormatting>
  <conditionalFormatting sqref="Q357:Q376">
    <cfRule type="expression" dxfId="420" priority="118">
      <formula>RIGHT(Q357,2)="  "</formula>
    </cfRule>
    <cfRule type="expression" dxfId="419" priority="119">
      <formula>RIGHT(Q357,1)=" "</formula>
    </cfRule>
  </conditionalFormatting>
  <conditionalFormatting sqref="O405:O424">
    <cfRule type="expression" dxfId="418" priority="115">
      <formula>RIGHT(O405,2)="  "</formula>
    </cfRule>
    <cfRule type="expression" dxfId="417" priority="116">
      <formula>RIGHT(O405,1)=" "</formula>
    </cfRule>
  </conditionalFormatting>
  <conditionalFormatting sqref="Q405:Q424">
    <cfRule type="expression" dxfId="416" priority="113">
      <formula>RIGHT(Q405,2)="  "</formula>
    </cfRule>
    <cfRule type="expression" dxfId="415" priority="114">
      <formula>RIGHT(Q405,1)=" "</formula>
    </cfRule>
  </conditionalFormatting>
  <conditionalFormatting sqref="O2070:O2089">
    <cfRule type="expression" dxfId="414" priority="110">
      <formula>RIGHT(O2070,2)="  "</formula>
    </cfRule>
    <cfRule type="expression" dxfId="413"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AU2068:XFD2601 AU1923:XFD2043 AU667:XFD1898 J2602:XFD1048576 J17:XFD18 B2:H8 J2:XFD14 AP2118:AT2601 AU25:XFD474 AO15 J19:AO474 AV19:XFD24 A16:H16 AW15:XFD16 J16:AO16 B10:H11 B9:C9 E9:H9 J1:AO1 AR1:XFD1 J2068:AO2601">
    <cfRule type="expression" dxfId="412" priority="108">
      <formula>IF(ROW() = ROW(), TRUE, FALSE)</formula>
    </cfRule>
  </conditionalFormatting>
  <conditionalFormatting sqref="O813:O832">
    <cfRule type="expression" dxfId="411" priority="106">
      <formula>RIGHT(O813,2)="  "</formula>
    </cfRule>
    <cfRule type="expression" dxfId="410" priority="107">
      <formula>RIGHT(O813,1)=" "</formula>
    </cfRule>
  </conditionalFormatting>
  <conditionalFormatting sqref="Q813:Q832">
    <cfRule type="expression" dxfId="409" priority="104">
      <formula>RIGHT(Q813,2)="  "</formula>
    </cfRule>
    <cfRule type="expression" dxfId="408" priority="105">
      <formula>RIGHT(Q813,1)=" "</formula>
    </cfRule>
  </conditionalFormatting>
  <conditionalFormatting sqref="D499:D570 D595:D642 D2068:D1048576 D667:D1898 D1923:D2043 D1:D8 D13:D474 D10:D11">
    <cfRule type="cellIs" dxfId="407" priority="101" operator="equal">
      <formula>"EITHER"</formula>
    </cfRule>
    <cfRule type="cellIs" dxfId="406" priority="102" operator="equal">
      <formula>"MSSB"</formula>
    </cfRule>
    <cfRule type="cellIs" dxfId="405" priority="103" operator="equal">
      <formula>"LOCAL"</formula>
    </cfRule>
  </conditionalFormatting>
  <conditionalFormatting sqref="D8 D10:D11">
    <cfRule type="cellIs" dxfId="404" priority="75" operator="notEqual">
      <formula>0</formula>
    </cfRule>
  </conditionalFormatting>
  <conditionalFormatting sqref="D475:D498">
    <cfRule type="cellIs" dxfId="403" priority="67" operator="equal">
      <formula>"EITHER"</formula>
    </cfRule>
    <cfRule type="cellIs" dxfId="402" priority="68" operator="equal">
      <formula>"MSSB"</formula>
    </cfRule>
    <cfRule type="cellIs" dxfId="401" priority="69" operator="equal">
      <formula>"LOCAL"</formula>
    </cfRule>
  </conditionalFormatting>
  <conditionalFormatting sqref="D571:D594">
    <cfRule type="cellIs" dxfId="400" priority="56" operator="equal">
      <formula>"EITHER"</formula>
    </cfRule>
    <cfRule type="cellIs" dxfId="399" priority="57" operator="equal">
      <formula>"MSSB"</formula>
    </cfRule>
    <cfRule type="cellIs" dxfId="398" priority="58" operator="equal">
      <formula>"LOCAL"</formula>
    </cfRule>
  </conditionalFormatting>
  <conditionalFormatting sqref="D2044:D2067">
    <cfRule type="cellIs" dxfId="397" priority="49" operator="equal">
      <formula>"EITHER"</formula>
    </cfRule>
    <cfRule type="cellIs" dxfId="396" priority="50" operator="equal">
      <formula>"MSSB"</formula>
    </cfRule>
    <cfRule type="cellIs" dxfId="395" priority="51" operator="equal">
      <formula>"LOCAL"</formula>
    </cfRule>
  </conditionalFormatting>
  <conditionalFormatting sqref="D643:D666">
    <cfRule type="cellIs" dxfId="394" priority="40" operator="equal">
      <formula>"EITHER"</formula>
    </cfRule>
    <cfRule type="cellIs" dxfId="393" priority="41" operator="equal">
      <formula>"MSSB"</formula>
    </cfRule>
    <cfRule type="cellIs" dxfId="392" priority="42" operator="equal">
      <formula>"LOCAL"</formula>
    </cfRule>
  </conditionalFormatting>
  <conditionalFormatting sqref="O1901:O1920">
    <cfRule type="expression" dxfId="391" priority="37">
      <formula>RIGHT(O1901,2)="  "</formula>
    </cfRule>
    <cfRule type="expression" dxfId="390" priority="38">
      <formula>RIGHT(O1901,1)=" "</formula>
    </cfRule>
  </conditionalFormatting>
  <conditionalFormatting sqref="A1899:H1922 J1899:AO1922 AU1899:XFD1922">
    <cfRule type="expression" dxfId="389" priority="36">
      <formula>IF(ROW() = ROW(), TRUE, FALSE)</formula>
    </cfRule>
  </conditionalFormatting>
  <conditionalFormatting sqref="D1899:D1922">
    <cfRule type="cellIs" dxfId="388" priority="33" operator="equal">
      <formula>"EITHER"</formula>
    </cfRule>
    <cfRule type="cellIs" dxfId="387" priority="34" operator="equal">
      <formula>"MSSB"</formula>
    </cfRule>
    <cfRule type="cellIs" dxfId="386" priority="35" operator="equal">
      <formula>"LOCAL"</formula>
    </cfRule>
  </conditionalFormatting>
  <conditionalFormatting sqref="AP19:AU19 AU20:AU24 AP20:AT2117">
    <cfRule type="expression" dxfId="385" priority="30">
      <formula>IF(ROW() = ROW(), TRUE, FALSE)</formula>
    </cfRule>
  </conditionalFormatting>
  <conditionalFormatting sqref="AP16:AV16 AP15:AS15 AU15:AV15">
    <cfRule type="expression" dxfId="384" priority="29">
      <formula>IF(ROW() = ROW(), TRUE, FALSE)</formula>
    </cfRule>
  </conditionalFormatting>
  <conditionalFormatting sqref="D9">
    <cfRule type="expression" dxfId="383" priority="18">
      <formula>IF(ROW() = ROW(), TRUE, FALSE)</formula>
    </cfRule>
  </conditionalFormatting>
  <conditionalFormatting sqref="D9">
    <cfRule type="cellIs" dxfId="382" priority="15" operator="equal">
      <formula>"EITHER"</formula>
    </cfRule>
    <cfRule type="cellIs" dxfId="381" priority="16" operator="equal">
      <formula>"MSSB"</formula>
    </cfRule>
    <cfRule type="cellIs" dxfId="380" priority="17" operator="equal">
      <formula>"LOCAL"</formula>
    </cfRule>
  </conditionalFormatting>
  <conditionalFormatting sqref="D9">
    <cfRule type="cellIs" dxfId="379" priority="14" operator="notEqual">
      <formula>0</formula>
    </cfRule>
  </conditionalFormatting>
  <conditionalFormatting sqref="AT15">
    <cfRule type="expression" dxfId="378" priority="12">
      <formula>IF(ROW() = ROW(), TRUE, FALSE)</formula>
    </cfRule>
  </conditionalFormatting>
  <conditionalFormatting sqref="I11">
    <cfRule type="expression" dxfId="377" priority="11">
      <formula>IF(ROW() = ROW(), TRUE, FALSE)</formula>
    </cfRule>
  </conditionalFormatting>
  <conditionalFormatting sqref="I11">
    <cfRule type="cellIs" dxfId="376" priority="8" operator="equal">
      <formula>"EITHER"</formula>
    </cfRule>
    <cfRule type="cellIs" dxfId="375" priority="9" operator="equal">
      <formula>"MSSB"</formula>
    </cfRule>
    <cfRule type="cellIs" dxfId="374" priority="10" operator="equal">
      <formula>"LOCAL"</formula>
    </cfRule>
  </conditionalFormatting>
  <conditionalFormatting sqref="I499:I570 I595:I642 I1:I7 I667:I1898 I1923:I2043 I11:I474 I2068:I1048576">
    <cfRule type="cellIs" dxfId="373" priority="7" operator="notEqual">
      <formula>0</formula>
    </cfRule>
  </conditionalFormatting>
  <conditionalFormatting sqref="I475:I498">
    <cfRule type="cellIs" dxfId="372" priority="6" operator="notEqual">
      <formula>0</formula>
    </cfRule>
  </conditionalFormatting>
  <conditionalFormatting sqref="I571:I594">
    <cfRule type="cellIs" dxfId="371" priority="5" operator="notEqual">
      <formula>0</formula>
    </cfRule>
  </conditionalFormatting>
  <conditionalFormatting sqref="I2044:I2067">
    <cfRule type="cellIs" dxfId="370" priority="4" operator="notEqual">
      <formula>0</formula>
    </cfRule>
  </conditionalFormatting>
  <conditionalFormatting sqref="I643:I666">
    <cfRule type="cellIs" dxfId="369" priority="3" operator="notEqual">
      <formula>0</formula>
    </cfRule>
  </conditionalFormatting>
  <conditionalFormatting sqref="I1899:I1922">
    <cfRule type="cellIs" dxfId="368" priority="2" operator="notEqual">
      <formula>0</formula>
    </cfRule>
  </conditionalFormatting>
  <conditionalFormatting sqref="AP1:AQ1">
    <cfRule type="expression" dxfId="367" priority="1">
      <formula>IF(ROW() = ROW(), TRUE, FALSE)</formula>
    </cfRule>
  </conditionalFormatting>
  <dataValidations disablePrompts="1"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366" priority="7">
      <formula>RIGHT(D8,2)="  "</formula>
    </cfRule>
    <cfRule type="expression" dxfId="365" priority="8">
      <formula>RIGHT(D8,1)=" "</formula>
    </cfRule>
  </conditionalFormatting>
  <conditionalFormatting sqref="D9">
    <cfRule type="expression" dxfId="364" priority="5">
      <formula>RIGHT(D9,2)="  "</formula>
    </cfRule>
    <cfRule type="expression" dxfId="363" priority="6">
      <formula>RIGHT(D9,1)=" "</formula>
    </cfRule>
  </conditionalFormatting>
  <conditionalFormatting sqref="D10">
    <cfRule type="expression" dxfId="362" priority="3">
      <formula>RIGHT(D10,2)="  "</formula>
    </cfRule>
    <cfRule type="expression" dxfId="361" priority="4">
      <formula>RIGHT(D10,1)=" "</formula>
    </cfRule>
  </conditionalFormatting>
  <conditionalFormatting sqref="I25:I27">
    <cfRule type="expression" dxfId="360" priority="1">
      <formula>RIGHT(I25,2)="  "</formula>
    </cfRule>
    <cfRule type="expression" dxfId="359"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24"/>
  <sheetViews>
    <sheetView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8.765625" style="114" bestFit="1" customWidth="1"/>
    <col min="7" max="7" width="8.84375" style="114" bestFit="1" customWidth="1"/>
    <col min="8" max="8" width="9.69140625" style="114" bestFit="1" customWidth="1"/>
    <col min="9" max="9" width="18.765625" style="114" customWidth="1"/>
    <col min="10" max="10" width="5.074218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046875" style="114" customWidth="1"/>
    <col min="17" max="17" width="9.23046875" style="114" hidden="1" customWidth="1"/>
    <col min="18" max="18" width="17.07421875" style="286" hidden="1" customWidth="1"/>
    <col min="19" max="19" width="4.07421875" style="286" hidden="1" customWidth="1"/>
    <col min="20" max="20" width="5.074218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046875" style="114" hidden="1" customWidth="1"/>
    <col min="29" max="29" width="63.304687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930</v>
      </c>
      <c r="B1" s="416" t="s">
        <v>931</v>
      </c>
      <c r="C1" s="417" t="s">
        <v>932</v>
      </c>
      <c r="D1" s="416" t="s">
        <v>933</v>
      </c>
      <c r="E1" s="416" t="s">
        <v>843</v>
      </c>
      <c r="F1" s="416" t="s">
        <v>934</v>
      </c>
      <c r="G1" s="416" t="s">
        <v>935</v>
      </c>
      <c r="H1" s="416" t="s">
        <v>936</v>
      </c>
      <c r="I1" s="418" t="s">
        <v>937</v>
      </c>
      <c r="J1" s="416" t="s">
        <v>938</v>
      </c>
      <c r="K1" s="416" t="s">
        <v>939</v>
      </c>
      <c r="L1" s="416" t="s">
        <v>940</v>
      </c>
      <c r="M1" s="416" t="s">
        <v>941</v>
      </c>
      <c r="N1" s="416" t="s">
        <v>942</v>
      </c>
      <c r="O1" s="418" t="s">
        <v>943</v>
      </c>
      <c r="P1" s="416" t="s">
        <v>929</v>
      </c>
      <c r="R1" s="419" t="s">
        <v>937</v>
      </c>
      <c r="S1" s="419" t="s">
        <v>843</v>
      </c>
      <c r="T1" s="420" t="str">
        <f>J1</f>
        <v>Form</v>
      </c>
      <c r="U1" s="420" t="str">
        <f>K1</f>
        <v>IP Rating</v>
      </c>
      <c r="V1" s="420" t="str">
        <f>L1</f>
        <v>Colour</v>
      </c>
      <c r="W1" s="420" t="s">
        <v>944</v>
      </c>
      <c r="X1" s="420" t="str">
        <f>N1</f>
        <v>Poles / Dim</v>
      </c>
      <c r="Y1" s="420" t="str">
        <f>O1</f>
        <v>Non-Auto/
MCCB</v>
      </c>
      <c r="AC1" s="421" t="s">
        <v>945</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358" priority="4" operator="equal">
      <formula>"INVALID"</formula>
    </cfRule>
    <cfRule type="cellIs" dxfId="357" priority="5" operator="equal">
      <formula>"VALID"</formula>
    </cfRule>
  </conditionalFormatting>
  <conditionalFormatting sqref="J3:O22 Q2:Q23">
    <cfRule type="cellIs" dxfId="356" priority="3" operator="equal">
      <formula>$ZU$2</formula>
    </cfRule>
  </conditionalFormatting>
  <conditionalFormatting sqref="J2:O2">
    <cfRule type="cellIs" dxfId="355"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0000000-0002-0000-06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promptTitle="Poles or Dimensions" prompt="For MSSB/Distribution boards specify the number of poles_x000a_For enclosures specify the dimesions" xr:uid="{00000000-0002-0000-0600-000001000000}">
          <x14:formula1>
            <xm:f>_MSSB!$E$2:$E$11</xm:f>
          </x14:formula1>
          <xm:sqref>N3:N22</xm:sqref>
        </x14:dataValidation>
        <x14:dataValidation type="list" allowBlank="1" showInputMessage="1" showErrorMessage="1" promptTitle="IP Rating" xr:uid="{00000000-0002-0000-0600-000002000000}">
          <x14:formula1>
            <xm:f>_MSSB!$B$2:$B$4</xm:f>
          </x14:formula1>
          <xm:sqref>K3:K22</xm:sqref>
        </x14:dataValidation>
        <x14:dataValidation type="list" allowBlank="1" showInputMessage="1" showErrorMessage="1" promptTitle="Non-Auto/MCCB" prompt="For enclosures: N/A_x000a_For standard mech elec: Non-Auto_x000a_MCCB: For motor control (QIE, not IAC)" xr:uid="{00000000-0002-0000-0600-000003000000}">
          <x14:formula1>
            <xm:f>_MSSB!$F$2:$F$3</xm:f>
          </x14:formula1>
          <xm:sqref>O3:O22</xm:sqref>
        </x14:dataValidation>
        <x14:dataValidation type="list" allowBlank="1" showInputMessage="1" showErrorMessage="1" promptTitle="250/400" xr:uid="{00000000-0002-0000-0600-000004000000}">
          <x14:formula1>
            <xm:f>_MSSB!$D$2:$D$3</xm:f>
          </x14:formula1>
          <xm:sqref>M3:M22</xm:sqref>
        </x14:dataValidation>
        <x14:dataValidation type="list" allowBlank="1" showInputMessage="1" showErrorMessage="1" promptTitle="Colour" xr:uid="{00000000-0002-0000-0600-000005000000}">
          <x14:formula1>
            <xm:f>_MSSB!$C$2:$C$3</xm:f>
          </x14:formula1>
          <xm:sqref>L3:L22</xm:sqref>
        </x14:dataValidation>
        <x14:dataValidation type="list" allowBlank="1" showInputMessage="1" showErrorMessage="1" promptTitle="Form" prompt="{1,2,3}" xr:uid="{00000000-0002-0000-0600-000006000000}">
          <x14:formula1>
            <xm:f>_MSSB!$A$2:$A$4</xm:f>
          </x14:formula1>
          <xm:sqref>J3:J22</xm:sqref>
        </x14:dataValidation>
        <x14:dataValidation type="list" allowBlank="1" showInputMessage="1" showErrorMessage="1" promptTitle="Form" prompt="{1,2,3}" xr:uid="{00000000-0002-0000-0600-000007000000}">
          <x14:formula1>
            <xm:f>'D:\Google Drive\3. Clients\2. Tenders\18-0266 - Beenliegh Aquatic Center\Section 0 - Tender Documentation\Tender Markup\[18-0266 - Beenleigh Aquatic Center - MechElec - 2.3r1.xlsx]_MSSB'!#REF!</xm:f>
          </x14:formula1>
          <xm:sqref>J2</xm:sqref>
        </x14:dataValidation>
        <x14:dataValidation type="list" allowBlank="1" showInputMessage="1" showErrorMessage="1" promptTitle="Colour" xr:uid="{00000000-0002-0000-0600-000008000000}">
          <x14:formula1>
            <xm:f>'D:\Google Drive\3. Clients\2. Tenders\18-0266 - Beenliegh Aquatic Center\Section 0 - Tender Documentation\Tender Markup\[18-0266 - Beenleigh Aquatic Center - MechElec - 2.3r1.xlsx]_MSSB'!#REF!</xm:f>
          </x14:formula1>
          <xm:sqref>L2</xm:sqref>
        </x14:dataValidation>
        <x14:dataValidation type="list" allowBlank="1" showInputMessage="1" showErrorMessage="1" promptTitle="250/400" xr:uid="{00000000-0002-0000-0600-000009000000}">
          <x14:formula1>
            <xm:f>'D:\Google Drive\3. Clients\2. Tenders\18-0266 - Beenliegh Aquatic Center\Section 0 - Tender Documentation\Tender Markup\[18-0266 - Beenleigh Aquatic Center - MechElec - 2.3r1.xlsx]_MSSB'!#REF!</xm:f>
          </x14:formula1>
          <xm:sqref>M2</xm:sqref>
        </x14:dataValidation>
        <x14:dataValidation type="list" allowBlank="1" showInputMessage="1" showErrorMessage="1" promptTitle="Non-Auto/MCCB" prompt="For enclosures: N/A_x000a_For standard mech elec: Non-Auto_x000a_MCCB: For motor control (QIE, not IAC)" xr:uid="{00000000-0002-0000-0600-00000A000000}">
          <x14:formula1>
            <xm:f>'D:\Google Drive\3. Clients\2. Tenders\18-0266 - Beenliegh Aquatic Center\Section 0 - Tender Documentation\Tender Markup\[18-0266 - Beenleigh Aquatic Center - MechElec - 2.3r1.xlsx]_MSSB'!#REF!</xm:f>
          </x14:formula1>
          <xm:sqref>O2</xm:sqref>
        </x14:dataValidation>
        <x14:dataValidation type="list" allowBlank="1" showInputMessage="1" showErrorMessage="1" promptTitle="IP Rating" xr:uid="{00000000-0002-0000-0600-00000B000000}">
          <x14:formula1>
            <xm:f>'D:\Google Drive\3. Clients\2. Tenders\18-0266 - Beenliegh Aquatic Center\Section 0 - Tender Documentation\Tender Markup\[18-0266 - Beenleigh Aquatic Center - MechElec - 2.3r1.xlsx]_MSSB'!#REF!</xm:f>
          </x14:formula1>
          <xm:sqref>K2</xm:sqref>
        </x14:dataValidation>
        <x14:dataValidation type="list" allowBlank="1" showInputMessage="1" showErrorMessage="1" promptTitle="Poles or Dimensions" prompt="For MSSB/Distribution boards specify the number of poles_x000a_For enclosures specify the dimesions" xr:uid="{00000000-0002-0000-0600-00000C000000}">
          <x14:formula1>
            <xm:f>'D:\Google Drive\3. Clients\2. Tenders\18-0266 - Beenliegh Aquatic Center\Section 0 - Tender Documentation\Tender Markup\[18-0266 - Beenleigh Aquatic Center - MechElec - 2.3r1.xlsx]_MSSB'!#REF!</xm:f>
          </x14:formula1>
          <xm:sqref>N2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2"/>
  <sheetViews>
    <sheetView topLeftCell="A10" workbookViewId="0">
      <selection activeCell="J13" sqref="J13"/>
    </sheetView>
  </sheetViews>
  <sheetFormatPr defaultColWidth="9.23046875" defaultRowHeight="14.6" x14ac:dyDescent="0.4"/>
  <cols>
    <col min="1" max="10" width="9.23046875" style="114"/>
    <col min="11" max="11" width="9.23046875" style="415"/>
    <col min="12" max="12" width="9.23046875" style="114"/>
    <col min="13" max="13" width="30.3046875" style="114" customWidth="1"/>
    <col min="14" max="15" width="9.23046875" style="114"/>
    <col min="16" max="17" width="20.69140625" style="114" customWidth="1"/>
    <col min="18" max="16384" width="9.23046875" style="114"/>
  </cols>
  <sheetData>
    <row r="1" spans="1:17" ht="43.75" x14ac:dyDescent="0.4">
      <c r="A1" s="33" t="s">
        <v>938</v>
      </c>
      <c r="B1" s="33" t="s">
        <v>939</v>
      </c>
      <c r="C1" s="33" t="s">
        <v>940</v>
      </c>
      <c r="D1" s="33" t="s">
        <v>941</v>
      </c>
      <c r="E1" s="33" t="s">
        <v>952</v>
      </c>
      <c r="F1" s="418" t="s">
        <v>943</v>
      </c>
      <c r="G1" s="33" t="s">
        <v>953</v>
      </c>
      <c r="H1" s="114" t="str">
        <f>C1</f>
        <v>Colour</v>
      </c>
      <c r="I1" s="114" t="s">
        <v>954</v>
      </c>
      <c r="J1" s="33" t="s">
        <v>955</v>
      </c>
      <c r="K1" s="415" t="s">
        <v>956</v>
      </c>
      <c r="L1" s="33" t="s">
        <v>833</v>
      </c>
      <c r="P1" s="114" t="str">
        <f>J1</f>
        <v>IGOC</v>
      </c>
      <c r="Q1" s="114" t="str">
        <f>L1</f>
        <v>Dore</v>
      </c>
    </row>
    <row r="2" spans="1:17" x14ac:dyDescent="0.4">
      <c r="A2" s="114">
        <v>1</v>
      </c>
      <c r="B2" s="114" t="s">
        <v>957</v>
      </c>
      <c r="C2" s="114" t="s">
        <v>947</v>
      </c>
      <c r="D2" s="114">
        <v>250</v>
      </c>
      <c r="E2" s="114" t="s">
        <v>958</v>
      </c>
      <c r="F2" s="114" t="s">
        <v>951</v>
      </c>
      <c r="H2" s="114" t="s">
        <v>947</v>
      </c>
      <c r="I2" s="114" t="s">
        <v>958</v>
      </c>
      <c r="J2" s="327" t="str">
        <f>_xlfn.CONCAT("EN",IF(I2=$E$2,46,IF(I2=$E$3,66,IF(I2=$E$4,68,IF(I2=$E$5,88,810)))),IF(H2="Orange","-O","-G"))</f>
        <v>EN46-O</v>
      </c>
      <c r="K2" s="415" t="s">
        <v>959</v>
      </c>
      <c r="L2" s="114" t="s">
        <v>960</v>
      </c>
      <c r="P2" s="114" t="str">
        <f t="shared" ref="P2:P11" si="0">J2</f>
        <v>EN46-O</v>
      </c>
      <c r="Q2" s="114" t="str">
        <f t="shared" ref="Q2:Q11" si="1">L2</f>
        <v>MBO4620</v>
      </c>
    </row>
    <row r="3" spans="1:17" x14ac:dyDescent="0.4">
      <c r="A3" s="114">
        <v>2</v>
      </c>
      <c r="B3" s="114" t="s">
        <v>961</v>
      </c>
      <c r="C3" s="114" t="s">
        <v>950</v>
      </c>
      <c r="D3" s="114">
        <v>400</v>
      </c>
      <c r="E3" s="114" t="s">
        <v>962</v>
      </c>
      <c r="F3" s="114" t="s">
        <v>949</v>
      </c>
      <c r="H3" s="114" t="s">
        <v>947</v>
      </c>
      <c r="I3" s="114" t="s">
        <v>962</v>
      </c>
      <c r="J3" s="327" t="str">
        <f t="shared" ref="J3:J11" si="2">_xlfn.CONCAT("EN",IF(I3=$E$2,46,IF(I3=$E$3,66,IF(I3=$E$4,68,IF(I3=$E$5,88,810)))),IF(H3="Orange","-O","-G"))</f>
        <v>EN66-O</v>
      </c>
      <c r="K3" s="415" t="s">
        <v>959</v>
      </c>
      <c r="L3" s="114" t="s">
        <v>745</v>
      </c>
      <c r="P3" s="114" t="str">
        <f t="shared" si="0"/>
        <v>EN66-O</v>
      </c>
      <c r="Q3" s="114" t="str">
        <f t="shared" si="1"/>
        <v>MBO6620</v>
      </c>
    </row>
    <row r="4" spans="1:17" x14ac:dyDescent="0.4">
      <c r="A4" s="114">
        <v>3</v>
      </c>
      <c r="B4" s="114" t="s">
        <v>946</v>
      </c>
      <c r="E4" s="114" t="s">
        <v>948</v>
      </c>
      <c r="H4" s="114" t="s">
        <v>947</v>
      </c>
      <c r="I4" s="114" t="s">
        <v>948</v>
      </c>
      <c r="J4" s="327" t="str">
        <f t="shared" si="2"/>
        <v>EN68-O</v>
      </c>
      <c r="K4" s="415" t="s">
        <v>959</v>
      </c>
      <c r="L4" s="114" t="s">
        <v>963</v>
      </c>
      <c r="P4" s="114" t="str">
        <f t="shared" si="0"/>
        <v>EN68-O</v>
      </c>
      <c r="Q4" s="114" t="str">
        <f t="shared" si="1"/>
        <v>MBO6825</v>
      </c>
    </row>
    <row r="5" spans="1:17" x14ac:dyDescent="0.4">
      <c r="A5" s="114" t="s">
        <v>964</v>
      </c>
      <c r="E5" s="114" t="s">
        <v>965</v>
      </c>
      <c r="H5" s="114" t="s">
        <v>947</v>
      </c>
      <c r="I5" s="114" t="s">
        <v>965</v>
      </c>
      <c r="J5" s="327" t="str">
        <f t="shared" si="2"/>
        <v>EN88-O</v>
      </c>
      <c r="K5" s="415" t="s">
        <v>966</v>
      </c>
      <c r="L5" s="114" t="s">
        <v>967</v>
      </c>
      <c r="P5" s="114" t="str">
        <f t="shared" si="0"/>
        <v>EN88-O</v>
      </c>
      <c r="Q5" s="114" t="str">
        <f t="shared" si="1"/>
        <v>N/A</v>
      </c>
    </row>
    <row r="6" spans="1:17" x14ac:dyDescent="0.4">
      <c r="E6" s="114" t="s">
        <v>968</v>
      </c>
      <c r="H6" s="114" t="s">
        <v>947</v>
      </c>
      <c r="I6" s="114" t="s">
        <v>968</v>
      </c>
      <c r="J6" s="327" t="str">
        <f t="shared" si="2"/>
        <v>EN810-O</v>
      </c>
      <c r="K6" s="415" t="s">
        <v>959</v>
      </c>
      <c r="L6" s="114" t="s">
        <v>969</v>
      </c>
      <c r="P6" s="114" t="str">
        <f t="shared" si="0"/>
        <v>EN810-O</v>
      </c>
      <c r="Q6" s="114" t="str">
        <f t="shared" si="1"/>
        <v>MB81030</v>
      </c>
    </row>
    <row r="7" spans="1:17" x14ac:dyDescent="0.4">
      <c r="E7" s="114">
        <v>24</v>
      </c>
      <c r="H7" s="114" t="s">
        <v>950</v>
      </c>
      <c r="I7" s="114" t="s">
        <v>958</v>
      </c>
      <c r="J7" s="327" t="str">
        <f t="shared" si="2"/>
        <v>EN46-G</v>
      </c>
      <c r="K7" s="415" t="s">
        <v>959</v>
      </c>
      <c r="L7" s="114" t="s">
        <v>970</v>
      </c>
      <c r="P7" s="114" t="str">
        <f t="shared" si="0"/>
        <v>EN46-G</v>
      </c>
      <c r="Q7" s="114" t="str">
        <f t="shared" si="1"/>
        <v>MB4620</v>
      </c>
    </row>
    <row r="8" spans="1:17" x14ac:dyDescent="0.4">
      <c r="E8" s="114">
        <v>36</v>
      </c>
      <c r="H8" s="114" t="s">
        <v>950</v>
      </c>
      <c r="I8" s="114" t="s">
        <v>962</v>
      </c>
      <c r="J8" s="327" t="str">
        <f t="shared" si="2"/>
        <v>EN66-G</v>
      </c>
      <c r="K8" s="415" t="s">
        <v>959</v>
      </c>
      <c r="L8" s="114" t="s">
        <v>971</v>
      </c>
      <c r="P8" s="114" t="str">
        <f t="shared" si="0"/>
        <v>EN66-G</v>
      </c>
      <c r="Q8" s="114" t="str">
        <f t="shared" si="1"/>
        <v>MB6630</v>
      </c>
    </row>
    <row r="9" spans="1:17" x14ac:dyDescent="0.4">
      <c r="E9" s="114">
        <v>48</v>
      </c>
      <c r="H9" s="114" t="s">
        <v>950</v>
      </c>
      <c r="I9" s="114" t="s">
        <v>948</v>
      </c>
      <c r="J9" s="327" t="str">
        <f t="shared" si="2"/>
        <v>EN68-G</v>
      </c>
      <c r="K9" s="415" t="s">
        <v>959</v>
      </c>
      <c r="L9" s="114" t="s">
        <v>972</v>
      </c>
      <c r="P9" s="114" t="str">
        <f t="shared" si="0"/>
        <v>EN68-G</v>
      </c>
      <c r="Q9" s="114" t="str">
        <f t="shared" si="1"/>
        <v>MB6830</v>
      </c>
    </row>
    <row r="10" spans="1:17" x14ac:dyDescent="0.4">
      <c r="E10" s="114">
        <v>60</v>
      </c>
      <c r="H10" s="114" t="s">
        <v>950</v>
      </c>
      <c r="I10" s="114" t="s">
        <v>965</v>
      </c>
      <c r="J10" s="327" t="str">
        <f t="shared" si="2"/>
        <v>EN88-G</v>
      </c>
      <c r="K10" s="415" t="s">
        <v>959</v>
      </c>
      <c r="L10" s="114" t="s">
        <v>973</v>
      </c>
      <c r="P10" s="114" t="str">
        <f t="shared" si="0"/>
        <v>EN88-G</v>
      </c>
      <c r="Q10" s="114" t="str">
        <f t="shared" si="1"/>
        <v>MB8830</v>
      </c>
    </row>
    <row r="11" spans="1:17" x14ac:dyDescent="0.4">
      <c r="E11" s="114">
        <v>72</v>
      </c>
      <c r="H11" s="114" t="s">
        <v>950</v>
      </c>
      <c r="I11" s="114" t="s">
        <v>968</v>
      </c>
      <c r="J11" s="327" t="str">
        <f t="shared" si="2"/>
        <v>EN810-G</v>
      </c>
      <c r="K11" s="415" t="s">
        <v>959</v>
      </c>
      <c r="L11" s="114" t="s">
        <v>969</v>
      </c>
      <c r="P11" s="114" t="str">
        <f t="shared" si="0"/>
        <v>EN810-G</v>
      </c>
      <c r="Q11" s="114" t="str">
        <f t="shared" si="1"/>
        <v>MB81030</v>
      </c>
    </row>
    <row r="12" spans="1:17" x14ac:dyDescent="0.4">
      <c r="M12" s="33"/>
      <c r="N12" s="33"/>
    </row>
    <row r="13" spans="1:17" x14ac:dyDescent="0.4">
      <c r="A13" s="33" t="s">
        <v>974</v>
      </c>
      <c r="G13" s="114" t="s">
        <v>975</v>
      </c>
      <c r="H13" s="114" t="s">
        <v>947</v>
      </c>
      <c r="I13" s="114">
        <f>D2</f>
        <v>250</v>
      </c>
      <c r="J13" s="114">
        <v>24</v>
      </c>
      <c r="K13" s="415" t="str">
        <f>F2</f>
        <v>Non-Auto</v>
      </c>
      <c r="L13" s="114" t="s">
        <v>961</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964</v>
      </c>
      <c r="B14" s="114" t="s">
        <v>976</v>
      </c>
      <c r="H14" s="114" t="s">
        <v>947</v>
      </c>
      <c r="I14" s="114">
        <f>D2</f>
        <v>250</v>
      </c>
      <c r="J14" s="114">
        <v>24</v>
      </c>
      <c r="K14" s="415" t="str">
        <f>F3</f>
        <v>MCCB</v>
      </c>
      <c r="L14" s="114" t="s">
        <v>961</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977</v>
      </c>
      <c r="B15" s="114" t="s">
        <v>978</v>
      </c>
      <c r="H15" s="114" t="s">
        <v>947</v>
      </c>
      <c r="I15" s="114">
        <f>D2</f>
        <v>250</v>
      </c>
      <c r="J15" s="114">
        <v>36</v>
      </c>
      <c r="K15" s="415" t="s">
        <v>951</v>
      </c>
      <c r="L15" s="114" t="s">
        <v>961</v>
      </c>
      <c r="M15" s="114" t="str">
        <f t="shared" si="4"/>
        <v>DB36-2-42-O</v>
      </c>
      <c r="N15" s="114" t="str">
        <f t="shared" si="5"/>
        <v>EUR-MDB36OR</v>
      </c>
      <c r="P15" s="114" t="str">
        <f t="shared" si="3"/>
        <v>DB36-2-42-O</v>
      </c>
      <c r="Q15" s="114" t="str">
        <f t="shared" si="3"/>
        <v>EUR-MDB36OR</v>
      </c>
    </row>
    <row r="16" spans="1:17" x14ac:dyDescent="0.4">
      <c r="H16" s="114" t="s">
        <v>947</v>
      </c>
      <c r="I16" s="114">
        <f>D2</f>
        <v>250</v>
      </c>
      <c r="J16" s="114">
        <v>36</v>
      </c>
      <c r="K16" s="415" t="s">
        <v>949</v>
      </c>
      <c r="L16" s="114" t="s">
        <v>961</v>
      </c>
      <c r="M16" s="114" t="str">
        <f t="shared" si="4"/>
        <v>DB36-2-42-O-M</v>
      </c>
      <c r="N16" s="114" t="str">
        <f t="shared" si="5"/>
        <v>EUR-MDB36O2MC</v>
      </c>
      <c r="P16" s="114" t="str">
        <f t="shared" si="3"/>
        <v>DB36-2-42-O-M</v>
      </c>
      <c r="Q16" s="114" t="str">
        <f t="shared" si="3"/>
        <v>EUR-MDB36O2MC</v>
      </c>
    </row>
    <row r="17" spans="8:17" x14ac:dyDescent="0.4">
      <c r="H17" s="114" t="s">
        <v>947</v>
      </c>
      <c r="I17" s="114">
        <f>D2</f>
        <v>250</v>
      </c>
      <c r="J17" s="114">
        <f>E9</f>
        <v>48</v>
      </c>
      <c r="K17" s="415" t="str">
        <f>K15</f>
        <v>Non-Auto</v>
      </c>
      <c r="L17" s="114" t="s">
        <v>961</v>
      </c>
      <c r="M17" s="114" t="str">
        <f t="shared" si="4"/>
        <v>DB48-2-42-O</v>
      </c>
      <c r="N17" s="114" t="str">
        <f t="shared" si="5"/>
        <v>EUR-MDB48OR</v>
      </c>
      <c r="P17" s="114" t="str">
        <f t="shared" si="3"/>
        <v>DB48-2-42-O</v>
      </c>
      <c r="Q17" s="114" t="str">
        <f t="shared" si="3"/>
        <v>EUR-MDB48OR</v>
      </c>
    </row>
    <row r="18" spans="8:17" x14ac:dyDescent="0.4">
      <c r="H18" s="114" t="s">
        <v>947</v>
      </c>
      <c r="I18" s="114">
        <f>D2</f>
        <v>250</v>
      </c>
      <c r="J18" s="114">
        <f>E9</f>
        <v>48</v>
      </c>
      <c r="K18" s="415" t="str">
        <f>K16</f>
        <v>MCCB</v>
      </c>
      <c r="L18" s="114" t="s">
        <v>961</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947</v>
      </c>
      <c r="I23" s="114">
        <v>250</v>
      </c>
      <c r="J23" s="114">
        <v>24</v>
      </c>
      <c r="K23" s="415" t="s">
        <v>951</v>
      </c>
      <c r="L23" s="114" t="s">
        <v>946</v>
      </c>
      <c r="M23" s="114" t="str">
        <f t="shared" si="4"/>
        <v>DB24-2-56-O</v>
      </c>
      <c r="N23" s="114" t="str">
        <f t="shared" si="5"/>
        <v>EUR-MDB24OR/WP</v>
      </c>
      <c r="P23" s="114" t="str">
        <f t="shared" si="3"/>
        <v>DB24-2-56-O</v>
      </c>
      <c r="Q23" s="114" t="str">
        <f t="shared" si="3"/>
        <v>EUR-MDB24OR/WP</v>
      </c>
    </row>
    <row r="24" spans="8:17" x14ac:dyDescent="0.4">
      <c r="H24" s="114" t="s">
        <v>947</v>
      </c>
      <c r="I24" s="114">
        <v>250</v>
      </c>
      <c r="J24" s="114">
        <v>24</v>
      </c>
      <c r="K24" s="415" t="s">
        <v>949</v>
      </c>
      <c r="L24" s="114" t="s">
        <v>946</v>
      </c>
      <c r="M24" s="114" t="str">
        <f t="shared" si="4"/>
        <v>DB24-2-56-O-M</v>
      </c>
      <c r="N24" s="114" t="str">
        <f t="shared" si="5"/>
        <v>EUR-MDB24O2MCWP</v>
      </c>
      <c r="P24" s="114" t="str">
        <f t="shared" si="3"/>
        <v>DB24-2-56-O-M</v>
      </c>
      <c r="Q24" s="114" t="str">
        <f t="shared" si="3"/>
        <v>EUR-MDB24O2MCWP</v>
      </c>
    </row>
    <row r="25" spans="8:17" x14ac:dyDescent="0.4">
      <c r="H25" s="114" t="s">
        <v>947</v>
      </c>
      <c r="I25" s="114">
        <v>250</v>
      </c>
      <c r="J25" s="114">
        <v>36</v>
      </c>
      <c r="K25" s="415" t="s">
        <v>951</v>
      </c>
      <c r="L25" s="114" t="s">
        <v>946</v>
      </c>
      <c r="M25" s="114" t="str">
        <f t="shared" si="4"/>
        <v>DB36-2-56-O</v>
      </c>
      <c r="N25" s="114" t="str">
        <f t="shared" si="5"/>
        <v>EUR-MDB36OR/WP</v>
      </c>
      <c r="P25" s="114" t="str">
        <f t="shared" si="3"/>
        <v>DB36-2-56-O</v>
      </c>
      <c r="Q25" s="114" t="str">
        <f t="shared" si="3"/>
        <v>EUR-MDB36OR/WP</v>
      </c>
    </row>
    <row r="26" spans="8:17" x14ac:dyDescent="0.4">
      <c r="H26" s="114" t="s">
        <v>947</v>
      </c>
      <c r="I26" s="114">
        <v>250</v>
      </c>
      <c r="J26" s="114">
        <v>36</v>
      </c>
      <c r="K26" s="415" t="s">
        <v>949</v>
      </c>
      <c r="L26" s="114" t="s">
        <v>946</v>
      </c>
      <c r="M26" s="114" t="str">
        <f t="shared" si="4"/>
        <v>DB36-2-56-O-M</v>
      </c>
      <c r="N26" s="114" t="str">
        <f t="shared" si="5"/>
        <v>EUR-MDB36O2MCWP</v>
      </c>
      <c r="P26" s="114" t="str">
        <f t="shared" si="3"/>
        <v>DB36-2-56-O-M</v>
      </c>
      <c r="Q26" s="114" t="str">
        <f t="shared" si="3"/>
        <v>EUR-MDB36O2MCWP</v>
      </c>
    </row>
    <row r="27" spans="8:17" x14ac:dyDescent="0.4">
      <c r="H27" s="114" t="s">
        <v>947</v>
      </c>
      <c r="I27" s="114">
        <v>250</v>
      </c>
      <c r="J27" s="114">
        <v>48</v>
      </c>
      <c r="K27" s="415" t="s">
        <v>951</v>
      </c>
      <c r="L27" s="114" t="s">
        <v>946</v>
      </c>
      <c r="M27" s="114" t="str">
        <f t="shared" si="4"/>
        <v>DB48-2-56-O</v>
      </c>
      <c r="N27" s="114" t="str">
        <f t="shared" si="5"/>
        <v>EUR-MDB48OR/WP</v>
      </c>
      <c r="P27" s="114" t="str">
        <f t="shared" si="3"/>
        <v>DB48-2-56-O</v>
      </c>
      <c r="Q27" s="114" t="str">
        <f t="shared" si="3"/>
        <v>EUR-MDB48OR/WP</v>
      </c>
    </row>
    <row r="28" spans="8:17" x14ac:dyDescent="0.4">
      <c r="H28" s="114" t="s">
        <v>947</v>
      </c>
      <c r="I28" s="114">
        <v>250</v>
      </c>
      <c r="J28" s="114">
        <v>48</v>
      </c>
      <c r="K28" s="415" t="s">
        <v>949</v>
      </c>
      <c r="L28" s="114" t="s">
        <v>946</v>
      </c>
      <c r="M28" s="114" t="str">
        <f t="shared" si="4"/>
        <v>DB48-2-56-O-M</v>
      </c>
      <c r="N28" s="114" t="str">
        <f t="shared" si="5"/>
        <v>EUR-MDB48O2MCWP</v>
      </c>
      <c r="P28" s="114" t="str">
        <f t="shared" si="3"/>
        <v>DB48-2-56-O-M</v>
      </c>
      <c r="Q28" s="114" t="str">
        <f t="shared" si="3"/>
        <v>EUR-MDB48O2MCWP</v>
      </c>
    </row>
    <row r="29" spans="8:17" x14ac:dyDescent="0.4">
      <c r="H29" s="114" t="s">
        <v>947</v>
      </c>
      <c r="I29" s="114">
        <v>250</v>
      </c>
      <c r="J29" s="114">
        <v>60</v>
      </c>
      <c r="K29" s="415" t="s">
        <v>951</v>
      </c>
      <c r="L29" s="114" t="s">
        <v>946</v>
      </c>
      <c r="M29" s="114" t="str">
        <f t="shared" si="4"/>
        <v>DB60-2-56-O</v>
      </c>
      <c r="N29" s="114" t="str">
        <f t="shared" si="5"/>
        <v>EUR-MDB60OR/WP</v>
      </c>
      <c r="P29" s="114" t="str">
        <f t="shared" si="3"/>
        <v>DB60-2-56-O</v>
      </c>
      <c r="Q29" s="114" t="str">
        <f t="shared" si="3"/>
        <v>EUR-MDB60OR/WP</v>
      </c>
    </row>
    <row r="30" spans="8:17" x14ac:dyDescent="0.4">
      <c r="H30" s="114" t="s">
        <v>947</v>
      </c>
      <c r="I30" s="114">
        <v>250</v>
      </c>
      <c r="J30" s="114">
        <v>60</v>
      </c>
      <c r="K30" s="415" t="s">
        <v>949</v>
      </c>
      <c r="L30" s="114" t="s">
        <v>946</v>
      </c>
      <c r="M30" s="114" t="str">
        <f t="shared" si="4"/>
        <v>DB60-2-56-O-M</v>
      </c>
      <c r="N30" s="114" t="str">
        <f t="shared" si="5"/>
        <v>EUR-MDB60O2MCWP</v>
      </c>
      <c r="P30" s="114" t="str">
        <f t="shared" si="3"/>
        <v>DB60-2-56-O-M</v>
      </c>
      <c r="Q30" s="114" t="str">
        <f t="shared" si="3"/>
        <v>EUR-MDB60O2MCWP</v>
      </c>
    </row>
    <row r="31" spans="8:17" x14ac:dyDescent="0.4">
      <c r="H31" s="114" t="s">
        <v>947</v>
      </c>
      <c r="I31" s="114">
        <v>250</v>
      </c>
      <c r="J31" s="114">
        <v>72</v>
      </c>
      <c r="K31" s="415" t="s">
        <v>951</v>
      </c>
      <c r="L31" s="114" t="s">
        <v>946</v>
      </c>
      <c r="M31" s="114" t="str">
        <f t="shared" si="4"/>
        <v>DB72-2-56-O</v>
      </c>
      <c r="N31" s="114" t="str">
        <f t="shared" si="5"/>
        <v>EUR-MDB72OR/WP</v>
      </c>
      <c r="P31" s="114" t="str">
        <f t="shared" si="3"/>
        <v>DB72-2-56-O</v>
      </c>
      <c r="Q31" s="114" t="str">
        <f t="shared" si="3"/>
        <v>EUR-MDB72OR/WP</v>
      </c>
    </row>
    <row r="32" spans="8:17" x14ac:dyDescent="0.4">
      <c r="H32" s="114" t="s">
        <v>947</v>
      </c>
      <c r="I32" s="114">
        <v>250</v>
      </c>
      <c r="J32" s="114">
        <v>72</v>
      </c>
      <c r="K32" s="415" t="s">
        <v>949</v>
      </c>
      <c r="L32" s="114" t="s">
        <v>946</v>
      </c>
      <c r="M32" s="114" t="str">
        <f t="shared" si="4"/>
        <v>DB72-2-56-O-M</v>
      </c>
      <c r="N32" s="114" t="str">
        <f t="shared" si="5"/>
        <v>EUR-MDB72O2MCWP</v>
      </c>
      <c r="P32" s="114" t="str">
        <f t="shared" si="3"/>
        <v>DB72-2-56-O-M</v>
      </c>
      <c r="Q32" s="114" t="str">
        <f t="shared" si="3"/>
        <v>EUR-MDB72O2MCWP</v>
      </c>
    </row>
    <row r="33" spans="8:17" x14ac:dyDescent="0.4">
      <c r="H33" s="114" t="s">
        <v>947</v>
      </c>
      <c r="I33" s="114">
        <v>400</v>
      </c>
      <c r="J33" s="114">
        <v>24</v>
      </c>
      <c r="K33" s="415" t="s">
        <v>951</v>
      </c>
      <c r="L33" s="114" t="s">
        <v>961</v>
      </c>
      <c r="M33" s="114" t="str">
        <f t="shared" si="4"/>
        <v>DB24-4-42-O</v>
      </c>
      <c r="N33" s="114" t="str">
        <f t="shared" si="5"/>
        <v>EUR-MDB24O4NA</v>
      </c>
      <c r="P33" s="114" t="str">
        <f t="shared" si="3"/>
        <v>DB24-4-42-O</v>
      </c>
      <c r="Q33" s="114" t="str">
        <f t="shared" si="3"/>
        <v>EUR-MDB24O4NA</v>
      </c>
    </row>
    <row r="34" spans="8:17" x14ac:dyDescent="0.4">
      <c r="H34" s="114" t="s">
        <v>947</v>
      </c>
      <c r="I34" s="114">
        <v>400</v>
      </c>
      <c r="J34" s="114">
        <v>24</v>
      </c>
      <c r="K34" s="415" t="s">
        <v>949</v>
      </c>
      <c r="L34" s="114" t="s">
        <v>961</v>
      </c>
      <c r="M34" s="114" t="str">
        <f t="shared" si="4"/>
        <v>DB24-4-42-O-M</v>
      </c>
      <c r="N34" s="114" t="str">
        <f t="shared" si="5"/>
        <v>EUR-MDB24O4MC</v>
      </c>
      <c r="P34" s="114" t="str">
        <f t="shared" si="3"/>
        <v>DB24-4-42-O-M</v>
      </c>
      <c r="Q34" s="114" t="str">
        <f t="shared" si="3"/>
        <v>EUR-MDB24O4MC</v>
      </c>
    </row>
    <row r="35" spans="8:17" x14ac:dyDescent="0.4">
      <c r="H35" s="114" t="s">
        <v>947</v>
      </c>
      <c r="I35" s="114">
        <v>400</v>
      </c>
      <c r="J35" s="114">
        <v>36</v>
      </c>
      <c r="K35" s="415" t="s">
        <v>951</v>
      </c>
      <c r="L35" s="114" t="s">
        <v>961</v>
      </c>
      <c r="M35" s="114" t="str">
        <f t="shared" si="4"/>
        <v>DB36-4-42-O</v>
      </c>
      <c r="N35" s="114" t="str">
        <f t="shared" si="5"/>
        <v>EUR-MDB36O4NA</v>
      </c>
      <c r="P35" s="114" t="str">
        <f t="shared" si="3"/>
        <v>DB36-4-42-O</v>
      </c>
      <c r="Q35" s="114" t="str">
        <f t="shared" si="3"/>
        <v>EUR-MDB36O4NA</v>
      </c>
    </row>
    <row r="36" spans="8:17" x14ac:dyDescent="0.4">
      <c r="H36" s="114" t="s">
        <v>947</v>
      </c>
      <c r="I36" s="114">
        <v>400</v>
      </c>
      <c r="J36" s="114">
        <v>36</v>
      </c>
      <c r="K36" s="415" t="s">
        <v>949</v>
      </c>
      <c r="L36" s="114" t="s">
        <v>961</v>
      </c>
      <c r="M36" s="114" t="str">
        <f t="shared" si="4"/>
        <v>DB36-4-42-O-M</v>
      </c>
      <c r="N36" s="114" t="str">
        <f t="shared" si="5"/>
        <v>EUR-MDB36O4MC</v>
      </c>
      <c r="P36" s="114" t="str">
        <f t="shared" si="3"/>
        <v>DB36-4-42-O-M</v>
      </c>
      <c r="Q36" s="114" t="str">
        <f t="shared" si="3"/>
        <v>EUR-MDB36O4MC</v>
      </c>
    </row>
    <row r="37" spans="8:17" x14ac:dyDescent="0.4">
      <c r="H37" s="114" t="s">
        <v>947</v>
      </c>
      <c r="I37" s="114">
        <v>400</v>
      </c>
      <c r="J37" s="114">
        <v>48</v>
      </c>
      <c r="K37" s="415" t="s">
        <v>951</v>
      </c>
      <c r="L37" s="114" t="s">
        <v>961</v>
      </c>
      <c r="M37" s="114" t="str">
        <f t="shared" si="4"/>
        <v>DB48-4-42-O</v>
      </c>
      <c r="N37" s="114" t="str">
        <f t="shared" si="5"/>
        <v>EUR-MDB48O4NA</v>
      </c>
      <c r="P37" s="114" t="str">
        <f t="shared" si="3"/>
        <v>DB48-4-42-O</v>
      </c>
      <c r="Q37" s="114" t="str">
        <f t="shared" si="3"/>
        <v>EUR-MDB48O4NA</v>
      </c>
    </row>
    <row r="38" spans="8:17" x14ac:dyDescent="0.4">
      <c r="H38" s="114" t="s">
        <v>947</v>
      </c>
      <c r="I38" s="114">
        <v>400</v>
      </c>
      <c r="J38" s="114">
        <v>48</v>
      </c>
      <c r="K38" s="415" t="s">
        <v>949</v>
      </c>
      <c r="L38" s="114" t="s">
        <v>961</v>
      </c>
      <c r="M38" s="114" t="str">
        <f t="shared" si="4"/>
        <v>DB48-4-42-O-M</v>
      </c>
      <c r="N38" s="114" t="str">
        <f t="shared" si="5"/>
        <v>EUR-MDB48O4MC</v>
      </c>
      <c r="P38" s="114" t="str">
        <f t="shared" si="3"/>
        <v>DB48-4-42-O-M</v>
      </c>
      <c r="Q38" s="114" t="str">
        <f t="shared" si="3"/>
        <v>EUR-MDB48O4MC</v>
      </c>
    </row>
    <row r="39" spans="8:17" x14ac:dyDescent="0.4">
      <c r="H39" s="114" t="s">
        <v>947</v>
      </c>
      <c r="I39" s="114">
        <v>400</v>
      </c>
      <c r="J39" s="114">
        <v>60</v>
      </c>
      <c r="K39" s="415" t="s">
        <v>951</v>
      </c>
      <c r="L39" s="114" t="s">
        <v>961</v>
      </c>
      <c r="M39" s="114" t="str">
        <f t="shared" si="4"/>
        <v>DB60-4-42-O</v>
      </c>
      <c r="N39" s="114" t="str">
        <f t="shared" si="5"/>
        <v>EUR-MDB60O4NA</v>
      </c>
      <c r="P39" s="114" t="str">
        <f t="shared" si="3"/>
        <v>DB60-4-42-O</v>
      </c>
      <c r="Q39" s="114" t="str">
        <f t="shared" si="3"/>
        <v>EUR-MDB60O4NA</v>
      </c>
    </row>
    <row r="40" spans="8:17" x14ac:dyDescent="0.4">
      <c r="H40" s="114" t="s">
        <v>947</v>
      </c>
      <c r="I40" s="114">
        <v>400</v>
      </c>
      <c r="J40" s="114">
        <v>60</v>
      </c>
      <c r="K40" s="415" t="s">
        <v>949</v>
      </c>
      <c r="L40" s="114" t="s">
        <v>961</v>
      </c>
      <c r="M40" s="114" t="str">
        <f t="shared" si="4"/>
        <v>DB60-4-42-O-M</v>
      </c>
      <c r="N40" s="114" t="str">
        <f t="shared" si="5"/>
        <v>EUR-MDB60O4MC</v>
      </c>
      <c r="P40" s="114" t="str">
        <f t="shared" si="3"/>
        <v>DB60-4-42-O-M</v>
      </c>
      <c r="Q40" s="114" t="str">
        <f t="shared" si="3"/>
        <v>EUR-MDB60O4MC</v>
      </c>
    </row>
    <row r="41" spans="8:17" x14ac:dyDescent="0.4">
      <c r="H41" s="114" t="s">
        <v>947</v>
      </c>
      <c r="I41" s="114">
        <v>400</v>
      </c>
      <c r="J41" s="114">
        <v>72</v>
      </c>
      <c r="K41" s="415" t="s">
        <v>951</v>
      </c>
      <c r="L41" s="114" t="s">
        <v>961</v>
      </c>
      <c r="M41" s="114" t="str">
        <f t="shared" si="4"/>
        <v>DB72-4-42-O</v>
      </c>
      <c r="N41" s="114" t="str">
        <f t="shared" si="5"/>
        <v>EUR-MDB72O4NA</v>
      </c>
      <c r="P41" s="114" t="str">
        <f t="shared" si="3"/>
        <v>DB72-4-42-O</v>
      </c>
      <c r="Q41" s="114" t="str">
        <f t="shared" si="3"/>
        <v>EUR-MDB72O4NA</v>
      </c>
    </row>
    <row r="42" spans="8:17" x14ac:dyDescent="0.4">
      <c r="H42" s="114" t="s">
        <v>947</v>
      </c>
      <c r="I42" s="114">
        <v>400</v>
      </c>
      <c r="J42" s="114">
        <v>72</v>
      </c>
      <c r="K42" s="415" t="s">
        <v>949</v>
      </c>
      <c r="L42" s="114" t="s">
        <v>961</v>
      </c>
      <c r="M42" s="114" t="str">
        <f t="shared" si="4"/>
        <v>DB72-4-42-O-M</v>
      </c>
      <c r="N42" s="114" t="str">
        <f t="shared" si="5"/>
        <v>EUR-MDB72O4MC</v>
      </c>
      <c r="P42" s="114" t="str">
        <f t="shared" si="3"/>
        <v>DB72-4-42-O-M</v>
      </c>
      <c r="Q42" s="114" t="str">
        <f t="shared" si="3"/>
        <v>EUR-MDB72O4MC</v>
      </c>
    </row>
    <row r="43" spans="8:17" x14ac:dyDescent="0.4">
      <c r="H43" s="114" t="s">
        <v>947</v>
      </c>
      <c r="I43" s="114">
        <v>400</v>
      </c>
      <c r="J43" s="114">
        <v>24</v>
      </c>
      <c r="K43" s="415" t="s">
        <v>951</v>
      </c>
      <c r="L43" s="114" t="s">
        <v>946</v>
      </c>
      <c r="M43" s="114" t="str">
        <f t="shared" si="4"/>
        <v>DB24-4-56-O</v>
      </c>
      <c r="N43" s="114" t="str">
        <f t="shared" si="5"/>
        <v>EUR-MDB24O4NAWP</v>
      </c>
      <c r="P43" s="114" t="str">
        <f t="shared" si="3"/>
        <v>DB24-4-56-O</v>
      </c>
      <c r="Q43" s="114" t="str">
        <f t="shared" si="3"/>
        <v>EUR-MDB24O4NAWP</v>
      </c>
    </row>
    <row r="44" spans="8:17" x14ac:dyDescent="0.4">
      <c r="H44" s="114" t="s">
        <v>947</v>
      </c>
      <c r="I44" s="114">
        <v>400</v>
      </c>
      <c r="J44" s="114">
        <v>24</v>
      </c>
      <c r="K44" s="415" t="s">
        <v>949</v>
      </c>
      <c r="L44" s="114" t="s">
        <v>946</v>
      </c>
      <c r="M44" s="114" t="str">
        <f t="shared" si="4"/>
        <v>DB24-4-56-O-M</v>
      </c>
      <c r="N44" s="114" t="str">
        <f t="shared" si="5"/>
        <v>EUR-MDB24O4MCWP</v>
      </c>
      <c r="P44" s="114" t="str">
        <f t="shared" si="3"/>
        <v>DB24-4-56-O-M</v>
      </c>
      <c r="Q44" s="114" t="str">
        <f t="shared" si="3"/>
        <v>EUR-MDB24O4MCWP</v>
      </c>
    </row>
    <row r="45" spans="8:17" x14ac:dyDescent="0.4">
      <c r="H45" s="114" t="s">
        <v>947</v>
      </c>
      <c r="I45" s="114">
        <v>400</v>
      </c>
      <c r="J45" s="114">
        <v>36</v>
      </c>
      <c r="K45" s="415" t="s">
        <v>951</v>
      </c>
      <c r="L45" s="114" t="s">
        <v>946</v>
      </c>
      <c r="M45" s="114" t="str">
        <f t="shared" si="4"/>
        <v>DB36-4-56-O</v>
      </c>
      <c r="N45" s="114" t="str">
        <f t="shared" si="5"/>
        <v>EUR-MDB36O4NAWP</v>
      </c>
      <c r="P45" s="114" t="str">
        <f t="shared" si="3"/>
        <v>DB36-4-56-O</v>
      </c>
      <c r="Q45" s="114" t="str">
        <f t="shared" si="3"/>
        <v>EUR-MDB36O4NAWP</v>
      </c>
    </row>
    <row r="46" spans="8:17" x14ac:dyDescent="0.4">
      <c r="H46" s="114" t="s">
        <v>947</v>
      </c>
      <c r="I46" s="114">
        <v>400</v>
      </c>
      <c r="J46" s="114">
        <v>36</v>
      </c>
      <c r="K46" s="415" t="s">
        <v>949</v>
      </c>
      <c r="L46" s="114" t="s">
        <v>946</v>
      </c>
      <c r="M46" s="114" t="str">
        <f t="shared" si="4"/>
        <v>DB36-4-56-O-M</v>
      </c>
      <c r="N46" s="114" t="str">
        <f t="shared" si="5"/>
        <v>EUR-MDB36O4MCWP</v>
      </c>
      <c r="P46" s="114" t="str">
        <f t="shared" si="3"/>
        <v>DB36-4-56-O-M</v>
      </c>
      <c r="Q46" s="114" t="str">
        <f t="shared" si="3"/>
        <v>EUR-MDB36O4MCWP</v>
      </c>
    </row>
    <row r="47" spans="8:17" x14ac:dyDescent="0.4">
      <c r="H47" s="114" t="s">
        <v>947</v>
      </c>
      <c r="I47" s="114">
        <v>400</v>
      </c>
      <c r="J47" s="114">
        <v>48</v>
      </c>
      <c r="K47" s="415" t="s">
        <v>951</v>
      </c>
      <c r="L47" s="114" t="s">
        <v>946</v>
      </c>
      <c r="M47" s="114" t="str">
        <f t="shared" si="4"/>
        <v>DB48-4-56-O</v>
      </c>
      <c r="N47" s="114" t="str">
        <f t="shared" si="5"/>
        <v>EUR-MDB48O4NAWP</v>
      </c>
      <c r="P47" s="114" t="str">
        <f t="shared" si="3"/>
        <v>DB48-4-56-O</v>
      </c>
      <c r="Q47" s="114" t="str">
        <f t="shared" si="3"/>
        <v>EUR-MDB48O4NAWP</v>
      </c>
    </row>
    <row r="48" spans="8:17" x14ac:dyDescent="0.4">
      <c r="H48" s="114" t="s">
        <v>947</v>
      </c>
      <c r="I48" s="114">
        <v>400</v>
      </c>
      <c r="J48" s="114">
        <v>48</v>
      </c>
      <c r="K48" s="415" t="s">
        <v>949</v>
      </c>
      <c r="L48" s="114" t="s">
        <v>946</v>
      </c>
      <c r="M48" s="114" t="str">
        <f t="shared" si="4"/>
        <v>DB48-4-56-O-M</v>
      </c>
      <c r="N48" s="114" t="str">
        <f t="shared" si="5"/>
        <v>EUR-MDB48O4MCWP</v>
      </c>
      <c r="P48" s="114" t="str">
        <f t="shared" si="3"/>
        <v>DB48-4-56-O-M</v>
      </c>
      <c r="Q48" s="114" t="str">
        <f t="shared" si="3"/>
        <v>EUR-MDB48O4MCWP</v>
      </c>
    </row>
    <row r="49" spans="8:17" x14ac:dyDescent="0.4">
      <c r="H49" s="114" t="s">
        <v>947</v>
      </c>
      <c r="I49" s="114">
        <v>400</v>
      </c>
      <c r="J49" s="114">
        <v>60</v>
      </c>
      <c r="K49" s="415" t="s">
        <v>951</v>
      </c>
      <c r="L49" s="114" t="s">
        <v>946</v>
      </c>
      <c r="M49" s="114" t="str">
        <f t="shared" si="4"/>
        <v>DB60-4-56-O</v>
      </c>
      <c r="N49" s="114" t="str">
        <f t="shared" si="5"/>
        <v>EUR-MDB60O4NAWP</v>
      </c>
      <c r="P49" s="114" t="str">
        <f t="shared" si="3"/>
        <v>DB60-4-56-O</v>
      </c>
      <c r="Q49" s="114" t="str">
        <f t="shared" si="3"/>
        <v>EUR-MDB60O4NAWP</v>
      </c>
    </row>
    <row r="50" spans="8:17" x14ac:dyDescent="0.4">
      <c r="H50" s="114" t="s">
        <v>947</v>
      </c>
      <c r="I50" s="114">
        <v>400</v>
      </c>
      <c r="J50" s="114">
        <v>60</v>
      </c>
      <c r="K50" s="415" t="s">
        <v>949</v>
      </c>
      <c r="L50" s="114" t="s">
        <v>946</v>
      </c>
      <c r="M50" s="114" t="str">
        <f t="shared" si="4"/>
        <v>DB60-4-56-O-M</v>
      </c>
      <c r="N50" s="114" t="str">
        <f t="shared" si="5"/>
        <v>EUR-MDB60O4MCWP</v>
      </c>
      <c r="P50" s="114" t="str">
        <f t="shared" si="3"/>
        <v>DB60-4-56-O-M</v>
      </c>
      <c r="Q50" s="114" t="str">
        <f t="shared" si="3"/>
        <v>EUR-MDB60O4MCWP</v>
      </c>
    </row>
    <row r="51" spans="8:17" x14ac:dyDescent="0.4">
      <c r="H51" s="114" t="s">
        <v>947</v>
      </c>
      <c r="I51" s="114">
        <v>400</v>
      </c>
      <c r="J51" s="114">
        <v>72</v>
      </c>
      <c r="K51" s="415" t="s">
        <v>951</v>
      </c>
      <c r="L51" s="114" t="s">
        <v>946</v>
      </c>
      <c r="M51" s="114" t="str">
        <f t="shared" si="4"/>
        <v>DB72-4-56-O</v>
      </c>
      <c r="N51" s="114" t="str">
        <f t="shared" si="5"/>
        <v>EUR-MDB72O4NAWP</v>
      </c>
      <c r="P51" s="114" t="str">
        <f t="shared" si="3"/>
        <v>DB72-4-56-O</v>
      </c>
      <c r="Q51" s="114" t="str">
        <f t="shared" si="3"/>
        <v>EUR-MDB72O4NAWP</v>
      </c>
    </row>
    <row r="52" spans="8:17" x14ac:dyDescent="0.4">
      <c r="H52" s="114" t="s">
        <v>947</v>
      </c>
      <c r="I52" s="114">
        <v>400</v>
      </c>
      <c r="J52" s="114">
        <v>72</v>
      </c>
      <c r="K52" s="415" t="s">
        <v>949</v>
      </c>
      <c r="L52" s="114" t="s">
        <v>946</v>
      </c>
      <c r="M52" s="114" t="str">
        <f t="shared" si="4"/>
        <v>DB72-4-56-O-M</v>
      </c>
      <c r="N52" s="114" t="str">
        <f t="shared" si="5"/>
        <v>EUR-MDB72O4MCWP</v>
      </c>
      <c r="P52" s="114" t="str">
        <f t="shared" si="3"/>
        <v>DB72-4-56-O-M</v>
      </c>
      <c r="Q52" s="114" t="str">
        <f t="shared" si="3"/>
        <v>EUR-MDB72O4MCWP</v>
      </c>
    </row>
    <row r="53" spans="8:17" x14ac:dyDescent="0.4">
      <c r="H53" s="114" t="s">
        <v>950</v>
      </c>
      <c r="I53" s="114">
        <v>250</v>
      </c>
      <c r="J53" s="114">
        <v>24</v>
      </c>
      <c r="K53" s="415" t="s">
        <v>951</v>
      </c>
      <c r="L53" s="114" t="s">
        <v>961</v>
      </c>
      <c r="M53" s="114" t="str">
        <f t="shared" si="4"/>
        <v>DB24-2-42-G</v>
      </c>
      <c r="N53" s="114" t="str">
        <f t="shared" si="5"/>
        <v>EUR-MDB24G</v>
      </c>
      <c r="P53" s="114" t="str">
        <f t="shared" si="3"/>
        <v>DB24-2-42-G</v>
      </c>
      <c r="Q53" s="114" t="str">
        <f t="shared" si="3"/>
        <v>EUR-MDB24G</v>
      </c>
    </row>
    <row r="54" spans="8:17" x14ac:dyDescent="0.4">
      <c r="H54" s="114" t="s">
        <v>950</v>
      </c>
      <c r="I54" s="114">
        <v>250</v>
      </c>
      <c r="J54" s="114">
        <v>24</v>
      </c>
      <c r="K54" s="415" t="s">
        <v>949</v>
      </c>
      <c r="L54" s="114" t="s">
        <v>961</v>
      </c>
      <c r="M54" s="114" t="str">
        <f t="shared" si="4"/>
        <v>DB24-2-42-G-M</v>
      </c>
      <c r="N54" s="114" t="str">
        <f t="shared" si="5"/>
        <v>EUR-MDB24G2MC</v>
      </c>
      <c r="P54" s="114" t="str">
        <f t="shared" si="3"/>
        <v>DB24-2-42-G-M</v>
      </c>
      <c r="Q54" s="114" t="str">
        <f t="shared" si="3"/>
        <v>EUR-MDB24G2MC</v>
      </c>
    </row>
    <row r="55" spans="8:17" x14ac:dyDescent="0.4">
      <c r="H55" s="114" t="s">
        <v>950</v>
      </c>
      <c r="I55" s="114">
        <v>250</v>
      </c>
      <c r="J55" s="114">
        <v>36</v>
      </c>
      <c r="K55" s="415" t="s">
        <v>951</v>
      </c>
      <c r="L55" s="114" t="s">
        <v>961</v>
      </c>
      <c r="M55" s="114" t="str">
        <f t="shared" si="4"/>
        <v>DB36-2-42-G</v>
      </c>
      <c r="N55" s="114" t="str">
        <f t="shared" si="5"/>
        <v>EUR-MDB36G</v>
      </c>
      <c r="P55" s="114" t="str">
        <f t="shared" si="3"/>
        <v>DB36-2-42-G</v>
      </c>
      <c r="Q55" s="114" t="str">
        <f t="shared" si="3"/>
        <v>EUR-MDB36G</v>
      </c>
    </row>
    <row r="56" spans="8:17" x14ac:dyDescent="0.4">
      <c r="H56" s="114" t="s">
        <v>950</v>
      </c>
      <c r="I56" s="114">
        <v>250</v>
      </c>
      <c r="J56" s="114">
        <v>36</v>
      </c>
      <c r="K56" s="415" t="s">
        <v>949</v>
      </c>
      <c r="L56" s="114" t="s">
        <v>961</v>
      </c>
      <c r="M56" s="114" t="str">
        <f t="shared" si="4"/>
        <v>DB36-2-42-G-M</v>
      </c>
      <c r="N56" s="114" t="str">
        <f t="shared" si="5"/>
        <v>EUR-MDB36G2MC</v>
      </c>
      <c r="P56" s="114" t="str">
        <f t="shared" si="3"/>
        <v>DB36-2-42-G-M</v>
      </c>
      <c r="Q56" s="114" t="str">
        <f t="shared" si="3"/>
        <v>EUR-MDB36G2MC</v>
      </c>
    </row>
    <row r="57" spans="8:17" x14ac:dyDescent="0.4">
      <c r="H57" s="114" t="s">
        <v>950</v>
      </c>
      <c r="I57" s="114">
        <v>250</v>
      </c>
      <c r="J57" s="114">
        <v>48</v>
      </c>
      <c r="K57" s="415" t="s">
        <v>951</v>
      </c>
      <c r="L57" s="114" t="s">
        <v>961</v>
      </c>
      <c r="M57" s="114" t="str">
        <f t="shared" si="4"/>
        <v>DB48-2-42-G</v>
      </c>
      <c r="N57" s="114" t="str">
        <f t="shared" si="5"/>
        <v>EUR-MDB48G</v>
      </c>
      <c r="P57" s="114" t="str">
        <f t="shared" si="3"/>
        <v>DB48-2-42-G</v>
      </c>
      <c r="Q57" s="114" t="str">
        <f t="shared" si="3"/>
        <v>EUR-MDB48G</v>
      </c>
    </row>
    <row r="58" spans="8:17" x14ac:dyDescent="0.4">
      <c r="H58" s="114" t="s">
        <v>950</v>
      </c>
      <c r="I58" s="114">
        <v>250</v>
      </c>
      <c r="J58" s="114">
        <v>48</v>
      </c>
      <c r="K58" s="415" t="s">
        <v>949</v>
      </c>
      <c r="L58" s="114" t="s">
        <v>961</v>
      </c>
      <c r="M58" s="114" t="str">
        <f t="shared" si="4"/>
        <v>DB48-2-42-G-M</v>
      </c>
      <c r="N58" s="114" t="str">
        <f t="shared" si="5"/>
        <v>EUR-MDB48G2MC</v>
      </c>
      <c r="P58" s="114" t="str">
        <f t="shared" si="3"/>
        <v>DB48-2-42-G-M</v>
      </c>
      <c r="Q58" s="114" t="str">
        <f t="shared" si="3"/>
        <v>EUR-MDB48G2MC</v>
      </c>
    </row>
    <row r="59" spans="8:17" x14ac:dyDescent="0.4">
      <c r="H59" s="114" t="s">
        <v>950</v>
      </c>
      <c r="I59" s="114">
        <v>250</v>
      </c>
      <c r="J59" s="114">
        <v>60</v>
      </c>
      <c r="K59" s="415" t="s">
        <v>951</v>
      </c>
      <c r="L59" s="114" t="s">
        <v>961</v>
      </c>
      <c r="M59" s="114" t="str">
        <f t="shared" si="4"/>
        <v>DB60-2-42-G</v>
      </c>
      <c r="N59" s="114" t="str">
        <f t="shared" si="5"/>
        <v>EUR-MDB60G</v>
      </c>
      <c r="P59" s="114" t="str">
        <f t="shared" si="3"/>
        <v>DB60-2-42-G</v>
      </c>
      <c r="Q59" s="114" t="str">
        <f t="shared" si="3"/>
        <v>EUR-MDB60G</v>
      </c>
    </row>
    <row r="60" spans="8:17" x14ac:dyDescent="0.4">
      <c r="H60" s="114" t="s">
        <v>950</v>
      </c>
      <c r="I60" s="114">
        <v>250</v>
      </c>
      <c r="J60" s="114">
        <v>60</v>
      </c>
      <c r="K60" s="415" t="s">
        <v>949</v>
      </c>
      <c r="L60" s="114" t="s">
        <v>961</v>
      </c>
      <c r="M60" s="114" t="str">
        <f t="shared" si="4"/>
        <v>DB60-2-42-G-M</v>
      </c>
      <c r="N60" s="114" t="str">
        <f t="shared" si="5"/>
        <v>EUR-MDB60G2MC</v>
      </c>
      <c r="P60" s="114" t="str">
        <f t="shared" si="3"/>
        <v>DB60-2-42-G-M</v>
      </c>
      <c r="Q60" s="114" t="str">
        <f t="shared" si="3"/>
        <v>EUR-MDB60G2MC</v>
      </c>
    </row>
    <row r="61" spans="8:17" x14ac:dyDescent="0.4">
      <c r="H61" s="114" t="s">
        <v>950</v>
      </c>
      <c r="I61" s="114">
        <v>250</v>
      </c>
      <c r="J61" s="114">
        <v>72</v>
      </c>
      <c r="K61" s="415" t="s">
        <v>951</v>
      </c>
      <c r="L61" s="114" t="s">
        <v>961</v>
      </c>
      <c r="M61" s="114" t="str">
        <f t="shared" si="4"/>
        <v>DB72-2-42-G</v>
      </c>
      <c r="N61" s="114" t="str">
        <f t="shared" si="5"/>
        <v>EUR-MDB72G</v>
      </c>
      <c r="P61" s="114" t="str">
        <f t="shared" si="3"/>
        <v>DB72-2-42-G</v>
      </c>
      <c r="Q61" s="114" t="str">
        <f t="shared" si="3"/>
        <v>EUR-MDB72G</v>
      </c>
    </row>
    <row r="62" spans="8:17" x14ac:dyDescent="0.4">
      <c r="H62" s="114" t="s">
        <v>950</v>
      </c>
      <c r="I62" s="114">
        <v>250</v>
      </c>
      <c r="J62" s="114">
        <v>72</v>
      </c>
      <c r="K62" s="415" t="s">
        <v>949</v>
      </c>
      <c r="L62" s="114" t="s">
        <v>961</v>
      </c>
      <c r="M62" s="114" t="str">
        <f t="shared" si="4"/>
        <v>DB72-2-42-G-M</v>
      </c>
      <c r="N62" s="114" t="str">
        <f t="shared" si="5"/>
        <v>EUR-MDB72G2MC</v>
      </c>
      <c r="P62" s="114" t="str">
        <f t="shared" si="3"/>
        <v>DB72-2-42-G-M</v>
      </c>
      <c r="Q62" s="114" t="str">
        <f t="shared" si="3"/>
        <v>EUR-MDB72G2MC</v>
      </c>
    </row>
    <row r="63" spans="8:17" x14ac:dyDescent="0.4">
      <c r="H63" s="114" t="s">
        <v>950</v>
      </c>
      <c r="I63" s="114">
        <v>250</v>
      </c>
      <c r="J63" s="114">
        <v>24</v>
      </c>
      <c r="K63" s="415" t="s">
        <v>951</v>
      </c>
      <c r="L63" s="114" t="s">
        <v>946</v>
      </c>
      <c r="M63" s="114" t="str">
        <f t="shared" si="4"/>
        <v>DB24-2-56-G</v>
      </c>
      <c r="N63" s="114" t="str">
        <f t="shared" si="5"/>
        <v>EUR-MDB24G/WP</v>
      </c>
      <c r="P63" s="114" t="str">
        <f t="shared" si="3"/>
        <v>DB24-2-56-G</v>
      </c>
      <c r="Q63" s="114" t="str">
        <f t="shared" si="3"/>
        <v>EUR-MDB24G/WP</v>
      </c>
    </row>
    <row r="64" spans="8:17" x14ac:dyDescent="0.4">
      <c r="H64" s="114" t="s">
        <v>950</v>
      </c>
      <c r="I64" s="114">
        <v>250</v>
      </c>
      <c r="J64" s="114">
        <v>24</v>
      </c>
      <c r="K64" s="415" t="s">
        <v>949</v>
      </c>
      <c r="L64" s="114" t="s">
        <v>946</v>
      </c>
      <c r="M64" s="114" t="str">
        <f t="shared" si="4"/>
        <v>DB24-2-56-G-M</v>
      </c>
      <c r="N64" s="114" t="str">
        <f t="shared" si="5"/>
        <v>EUR-MDB24G2MCWP</v>
      </c>
      <c r="P64" s="114" t="str">
        <f t="shared" si="3"/>
        <v>DB24-2-56-G-M</v>
      </c>
      <c r="Q64" s="114" t="str">
        <f t="shared" si="3"/>
        <v>EUR-MDB24G2MCWP</v>
      </c>
    </row>
    <row r="65" spans="8:17" x14ac:dyDescent="0.4">
      <c r="H65" s="114" t="s">
        <v>950</v>
      </c>
      <c r="I65" s="114">
        <v>250</v>
      </c>
      <c r="J65" s="114">
        <v>36</v>
      </c>
      <c r="K65" s="415" t="s">
        <v>951</v>
      </c>
      <c r="L65" s="114" t="s">
        <v>946</v>
      </c>
      <c r="M65" s="114" t="str">
        <f t="shared" si="4"/>
        <v>DB36-2-56-G</v>
      </c>
      <c r="N65" s="114" t="str">
        <f t="shared" si="5"/>
        <v>EUR-MDB36G/WP</v>
      </c>
      <c r="P65" s="114" t="str">
        <f t="shared" si="3"/>
        <v>DB36-2-56-G</v>
      </c>
      <c r="Q65" s="114" t="str">
        <f t="shared" si="3"/>
        <v>EUR-MDB36G/WP</v>
      </c>
    </row>
    <row r="66" spans="8:17" x14ac:dyDescent="0.4">
      <c r="H66" s="114" t="s">
        <v>950</v>
      </c>
      <c r="I66" s="114">
        <v>250</v>
      </c>
      <c r="J66" s="114">
        <v>36</v>
      </c>
      <c r="K66" s="415" t="s">
        <v>949</v>
      </c>
      <c r="L66" s="114" t="s">
        <v>946</v>
      </c>
      <c r="M66" s="114" t="str">
        <f t="shared" si="4"/>
        <v>DB36-2-56-G-M</v>
      </c>
      <c r="N66" s="114" t="str">
        <f t="shared" si="5"/>
        <v>EUR-MDB36G2MCWP</v>
      </c>
      <c r="P66" s="114" t="str">
        <f t="shared" si="3"/>
        <v>DB36-2-56-G-M</v>
      </c>
      <c r="Q66" s="114" t="str">
        <f t="shared" si="3"/>
        <v>EUR-MDB36G2MCWP</v>
      </c>
    </row>
    <row r="67" spans="8:17" x14ac:dyDescent="0.4">
      <c r="H67" s="114" t="s">
        <v>950</v>
      </c>
      <c r="I67" s="114">
        <v>250</v>
      </c>
      <c r="J67" s="114">
        <v>48</v>
      </c>
      <c r="K67" s="415" t="s">
        <v>951</v>
      </c>
      <c r="L67" s="114" t="s">
        <v>946</v>
      </c>
      <c r="M67" s="114" t="str">
        <f t="shared" si="4"/>
        <v>DB48-2-56-G</v>
      </c>
      <c r="N67" s="114" t="str">
        <f t="shared" si="5"/>
        <v>EUR-MDB48G/WP</v>
      </c>
      <c r="P67" s="114" t="str">
        <f t="shared" si="3"/>
        <v>DB48-2-56-G</v>
      </c>
      <c r="Q67" s="114" t="str">
        <f t="shared" si="3"/>
        <v>EUR-MDB48G/WP</v>
      </c>
    </row>
    <row r="68" spans="8:17" x14ac:dyDescent="0.4">
      <c r="H68" s="114" t="s">
        <v>950</v>
      </c>
      <c r="I68" s="114">
        <v>250</v>
      </c>
      <c r="J68" s="114">
        <v>48</v>
      </c>
      <c r="K68" s="415" t="s">
        <v>949</v>
      </c>
      <c r="L68" s="114" t="s">
        <v>946</v>
      </c>
      <c r="M68" s="114" t="str">
        <f t="shared" si="4"/>
        <v>DB48-2-56-G-M</v>
      </c>
      <c r="N68" s="114" t="str">
        <f t="shared" si="5"/>
        <v>EUR-MDB48G2MCWP</v>
      </c>
      <c r="P68" s="114" t="str">
        <f t="shared" si="3"/>
        <v>DB48-2-56-G-M</v>
      </c>
      <c r="Q68" s="114" t="str">
        <f t="shared" si="3"/>
        <v>EUR-MDB48G2MCWP</v>
      </c>
    </row>
    <row r="69" spans="8:17" x14ac:dyDescent="0.4">
      <c r="H69" s="114" t="s">
        <v>950</v>
      </c>
      <c r="I69" s="114">
        <v>250</v>
      </c>
      <c r="J69" s="114">
        <v>60</v>
      </c>
      <c r="K69" s="415" t="s">
        <v>951</v>
      </c>
      <c r="L69" s="114" t="s">
        <v>946</v>
      </c>
      <c r="M69" s="114" t="str">
        <f t="shared" si="4"/>
        <v>DB60-2-56-G</v>
      </c>
      <c r="N69" s="114" t="str">
        <f t="shared" si="5"/>
        <v>EUR-MDB60G/WP</v>
      </c>
      <c r="P69" s="114" t="str">
        <f t="shared" si="3"/>
        <v>DB60-2-56-G</v>
      </c>
      <c r="Q69" s="114" t="str">
        <f t="shared" si="3"/>
        <v>EUR-MDB60G/WP</v>
      </c>
    </row>
    <row r="70" spans="8:17" x14ac:dyDescent="0.4">
      <c r="H70" s="114" t="s">
        <v>950</v>
      </c>
      <c r="I70" s="114">
        <v>250</v>
      </c>
      <c r="J70" s="114">
        <v>60</v>
      </c>
      <c r="K70" s="415" t="s">
        <v>949</v>
      </c>
      <c r="L70" s="114" t="s">
        <v>946</v>
      </c>
      <c r="M70" s="114" t="str">
        <f t="shared" si="4"/>
        <v>DB60-2-56-G-M</v>
      </c>
      <c r="N70" s="114" t="str">
        <f t="shared" si="5"/>
        <v>EUR-MDB60G2MCWP</v>
      </c>
      <c r="P70" s="114" t="str">
        <f t="shared" si="3"/>
        <v>DB60-2-56-G-M</v>
      </c>
      <c r="Q70" s="114" t="str">
        <f t="shared" si="3"/>
        <v>EUR-MDB60G2MCWP</v>
      </c>
    </row>
    <row r="71" spans="8:17" x14ac:dyDescent="0.4">
      <c r="H71" s="114" t="s">
        <v>950</v>
      </c>
      <c r="I71" s="114">
        <v>250</v>
      </c>
      <c r="J71" s="114">
        <v>72</v>
      </c>
      <c r="K71" s="415" t="s">
        <v>951</v>
      </c>
      <c r="L71" s="114" t="s">
        <v>946</v>
      </c>
      <c r="M71" s="114" t="str">
        <f t="shared" si="4"/>
        <v>DB72-2-56-G</v>
      </c>
      <c r="N71" s="114" t="str">
        <f t="shared" si="5"/>
        <v>EUR-MDB72G/WP</v>
      </c>
      <c r="P71" s="114" t="str">
        <f t="shared" si="3"/>
        <v>DB72-2-56-G</v>
      </c>
      <c r="Q71" s="114" t="str">
        <f t="shared" si="3"/>
        <v>EUR-MDB72G/WP</v>
      </c>
    </row>
    <row r="72" spans="8:17" x14ac:dyDescent="0.4">
      <c r="H72" s="114" t="s">
        <v>950</v>
      </c>
      <c r="I72" s="114">
        <v>250</v>
      </c>
      <c r="J72" s="114">
        <v>72</v>
      </c>
      <c r="K72" s="415" t="s">
        <v>949</v>
      </c>
      <c r="L72" s="114" t="s">
        <v>946</v>
      </c>
      <c r="M72" s="114" t="str">
        <f t="shared" si="4"/>
        <v>DB72-2-56-G-M</v>
      </c>
      <c r="N72" s="114" t="str">
        <f t="shared" si="5"/>
        <v>EUR-MDB72G2MCWP</v>
      </c>
      <c r="P72" s="114" t="str">
        <f t="shared" si="3"/>
        <v>DB72-2-56-G-M</v>
      </c>
      <c r="Q72" s="114" t="str">
        <f t="shared" si="3"/>
        <v>EUR-MDB72G2MCWP</v>
      </c>
    </row>
    <row r="73" spans="8:17" x14ac:dyDescent="0.4">
      <c r="H73" s="114" t="s">
        <v>950</v>
      </c>
      <c r="I73" s="114">
        <v>400</v>
      </c>
      <c r="J73" s="114">
        <v>24</v>
      </c>
      <c r="K73" s="415" t="s">
        <v>951</v>
      </c>
      <c r="L73" s="114" t="s">
        <v>961</v>
      </c>
      <c r="M73" s="114" t="str">
        <f t="shared" si="4"/>
        <v>DB24-4-42-G</v>
      </c>
      <c r="N73" s="114" t="str">
        <f t="shared" si="5"/>
        <v>EUR-MDB24G4NA</v>
      </c>
      <c r="P73" s="114" t="str">
        <f t="shared" si="3"/>
        <v>DB24-4-42-G</v>
      </c>
      <c r="Q73" s="114" t="str">
        <f t="shared" si="3"/>
        <v>EUR-MDB24G4NA</v>
      </c>
    </row>
    <row r="74" spans="8:17" x14ac:dyDescent="0.4">
      <c r="H74" s="114" t="s">
        <v>950</v>
      </c>
      <c r="I74" s="114">
        <v>400</v>
      </c>
      <c r="J74" s="114">
        <v>24</v>
      </c>
      <c r="K74" s="415" t="s">
        <v>949</v>
      </c>
      <c r="L74" s="114" t="s">
        <v>961</v>
      </c>
      <c r="M74" s="114" t="str">
        <f t="shared" si="4"/>
        <v>DB24-4-42-G-M</v>
      </c>
      <c r="N74" s="114" t="str">
        <f t="shared" si="5"/>
        <v>EUR-MDB24G4MC</v>
      </c>
      <c r="P74" s="114" t="str">
        <f t="shared" si="3"/>
        <v>DB24-4-42-G-M</v>
      </c>
      <c r="Q74" s="114" t="str">
        <f t="shared" si="3"/>
        <v>EUR-MDB24G4MC</v>
      </c>
    </row>
    <row r="75" spans="8:17" x14ac:dyDescent="0.4">
      <c r="H75" s="114" t="s">
        <v>950</v>
      </c>
      <c r="I75" s="114">
        <v>400</v>
      </c>
      <c r="J75" s="114">
        <v>36</v>
      </c>
      <c r="K75" s="415" t="s">
        <v>951</v>
      </c>
      <c r="L75" s="114" t="s">
        <v>961</v>
      </c>
      <c r="M75" s="114" t="str">
        <f t="shared" si="4"/>
        <v>DB36-4-42-G</v>
      </c>
      <c r="N75" s="114" t="str">
        <f t="shared" si="5"/>
        <v>EUR-MDB36G4NA</v>
      </c>
      <c r="P75" s="114" t="str">
        <f t="shared" si="3"/>
        <v>DB36-4-42-G</v>
      </c>
      <c r="Q75" s="114" t="str">
        <f t="shared" si="3"/>
        <v>EUR-MDB36G4NA</v>
      </c>
    </row>
    <row r="76" spans="8:17" x14ac:dyDescent="0.4">
      <c r="H76" s="114" t="s">
        <v>950</v>
      </c>
      <c r="I76" s="114">
        <v>400</v>
      </c>
      <c r="J76" s="114">
        <v>36</v>
      </c>
      <c r="K76" s="415" t="s">
        <v>949</v>
      </c>
      <c r="L76" s="114" t="s">
        <v>961</v>
      </c>
      <c r="M76" s="114" t="str">
        <f t="shared" si="4"/>
        <v>DB36-4-42-G-M</v>
      </c>
      <c r="N76" s="114" t="str">
        <f t="shared" si="5"/>
        <v>EUR-MDB36G4MC</v>
      </c>
      <c r="P76" s="114" t="str">
        <f t="shared" si="3"/>
        <v>DB36-4-42-G-M</v>
      </c>
      <c r="Q76" s="114" t="str">
        <f t="shared" si="3"/>
        <v>EUR-MDB36G4MC</v>
      </c>
    </row>
    <row r="77" spans="8:17" x14ac:dyDescent="0.4">
      <c r="H77" s="114" t="s">
        <v>950</v>
      </c>
      <c r="I77" s="114">
        <v>400</v>
      </c>
      <c r="J77" s="114">
        <v>48</v>
      </c>
      <c r="K77" s="415" t="s">
        <v>951</v>
      </c>
      <c r="L77" s="114" t="s">
        <v>961</v>
      </c>
      <c r="M77" s="114" t="str">
        <f t="shared" si="4"/>
        <v>DB48-4-42-G</v>
      </c>
      <c r="N77" s="114" t="str">
        <f t="shared" si="5"/>
        <v>EUR-MDB48G4NA</v>
      </c>
      <c r="P77" s="114" t="str">
        <f t="shared" ref="P77:Q92" si="9">M77</f>
        <v>DB48-4-42-G</v>
      </c>
      <c r="Q77" s="114" t="str">
        <f t="shared" si="9"/>
        <v>EUR-MDB48G4NA</v>
      </c>
    </row>
    <row r="78" spans="8:17" x14ac:dyDescent="0.4">
      <c r="H78" s="114" t="s">
        <v>950</v>
      </c>
      <c r="I78" s="114">
        <v>400</v>
      </c>
      <c r="J78" s="114">
        <v>48</v>
      </c>
      <c r="K78" s="415" t="s">
        <v>949</v>
      </c>
      <c r="L78" s="114" t="s">
        <v>961</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950</v>
      </c>
      <c r="I79" s="114">
        <v>400</v>
      </c>
      <c r="J79" s="114">
        <v>60</v>
      </c>
      <c r="K79" s="415" t="s">
        <v>951</v>
      </c>
      <c r="L79" s="114" t="s">
        <v>961</v>
      </c>
      <c r="M79" s="114" t="str">
        <f t="shared" si="10"/>
        <v>DB60-4-42-G</v>
      </c>
      <c r="N79" s="114" t="str">
        <f t="shared" si="11"/>
        <v>EUR-MDB60G4NA</v>
      </c>
      <c r="P79" s="114" t="str">
        <f t="shared" si="9"/>
        <v>DB60-4-42-G</v>
      </c>
      <c r="Q79" s="114" t="str">
        <f t="shared" si="9"/>
        <v>EUR-MDB60G4NA</v>
      </c>
    </row>
    <row r="80" spans="8:17" x14ac:dyDescent="0.4">
      <c r="H80" s="114" t="s">
        <v>950</v>
      </c>
      <c r="I80" s="114">
        <v>400</v>
      </c>
      <c r="J80" s="114">
        <v>60</v>
      </c>
      <c r="K80" s="415" t="s">
        <v>949</v>
      </c>
      <c r="L80" s="114" t="s">
        <v>961</v>
      </c>
      <c r="M80" s="114" t="str">
        <f t="shared" si="10"/>
        <v>DB60-4-42-G-M</v>
      </c>
      <c r="N80" s="114" t="str">
        <f t="shared" si="11"/>
        <v>EUR-MDB60G4MC</v>
      </c>
      <c r="P80" s="114" t="str">
        <f t="shared" si="9"/>
        <v>DB60-4-42-G-M</v>
      </c>
      <c r="Q80" s="114" t="str">
        <f t="shared" si="9"/>
        <v>EUR-MDB60G4MC</v>
      </c>
    </row>
    <row r="81" spans="8:17" x14ac:dyDescent="0.4">
      <c r="H81" s="114" t="s">
        <v>950</v>
      </c>
      <c r="I81" s="114">
        <v>400</v>
      </c>
      <c r="J81" s="114">
        <v>72</v>
      </c>
      <c r="K81" s="415" t="s">
        <v>951</v>
      </c>
      <c r="L81" s="114" t="s">
        <v>961</v>
      </c>
      <c r="M81" s="114" t="str">
        <f t="shared" si="10"/>
        <v>DB72-4-42-G</v>
      </c>
      <c r="N81" s="114" t="str">
        <f t="shared" si="11"/>
        <v>EUR-MDB72G4NA</v>
      </c>
      <c r="P81" s="114" t="str">
        <f t="shared" si="9"/>
        <v>DB72-4-42-G</v>
      </c>
      <c r="Q81" s="114" t="str">
        <f t="shared" si="9"/>
        <v>EUR-MDB72G4NA</v>
      </c>
    </row>
    <row r="82" spans="8:17" x14ac:dyDescent="0.4">
      <c r="H82" s="114" t="s">
        <v>950</v>
      </c>
      <c r="I82" s="114">
        <v>400</v>
      </c>
      <c r="J82" s="114">
        <v>72</v>
      </c>
      <c r="K82" s="415" t="s">
        <v>949</v>
      </c>
      <c r="L82" s="114" t="s">
        <v>961</v>
      </c>
      <c r="M82" s="114" t="str">
        <f t="shared" si="10"/>
        <v>DB72-4-42-G-M</v>
      </c>
      <c r="N82" s="114" t="str">
        <f t="shared" si="11"/>
        <v>EUR-MDB72G4MC</v>
      </c>
      <c r="P82" s="114" t="str">
        <f t="shared" si="9"/>
        <v>DB72-4-42-G-M</v>
      </c>
      <c r="Q82" s="114" t="str">
        <f t="shared" si="9"/>
        <v>EUR-MDB72G4MC</v>
      </c>
    </row>
    <row r="83" spans="8:17" x14ac:dyDescent="0.4">
      <c r="H83" s="114" t="s">
        <v>950</v>
      </c>
      <c r="I83" s="114">
        <v>400</v>
      </c>
      <c r="J83" s="114">
        <v>24</v>
      </c>
      <c r="K83" s="415" t="s">
        <v>951</v>
      </c>
      <c r="L83" s="114" t="s">
        <v>946</v>
      </c>
      <c r="M83" s="114" t="str">
        <f t="shared" si="10"/>
        <v>DB24-4-56-G</v>
      </c>
      <c r="N83" s="114" t="str">
        <f t="shared" si="11"/>
        <v>EUR-MDB24G4NAWP</v>
      </c>
      <c r="P83" s="114" t="str">
        <f t="shared" si="9"/>
        <v>DB24-4-56-G</v>
      </c>
      <c r="Q83" s="114" t="str">
        <f t="shared" si="9"/>
        <v>EUR-MDB24G4NAWP</v>
      </c>
    </row>
    <row r="84" spans="8:17" x14ac:dyDescent="0.4">
      <c r="H84" s="114" t="s">
        <v>950</v>
      </c>
      <c r="I84" s="114">
        <v>400</v>
      </c>
      <c r="J84" s="114">
        <v>24</v>
      </c>
      <c r="K84" s="415" t="s">
        <v>949</v>
      </c>
      <c r="L84" s="114" t="s">
        <v>946</v>
      </c>
      <c r="M84" s="114" t="str">
        <f t="shared" si="10"/>
        <v>DB24-4-56-G-M</v>
      </c>
      <c r="N84" s="114" t="str">
        <f t="shared" si="11"/>
        <v>EUR-MDB24G4MCWP</v>
      </c>
      <c r="P84" s="114" t="str">
        <f t="shared" si="9"/>
        <v>DB24-4-56-G-M</v>
      </c>
      <c r="Q84" s="114" t="str">
        <f t="shared" si="9"/>
        <v>EUR-MDB24G4MCWP</v>
      </c>
    </row>
    <row r="85" spans="8:17" x14ac:dyDescent="0.4">
      <c r="H85" s="114" t="s">
        <v>950</v>
      </c>
      <c r="I85" s="114">
        <v>400</v>
      </c>
      <c r="J85" s="114">
        <v>36</v>
      </c>
      <c r="K85" s="415" t="s">
        <v>951</v>
      </c>
      <c r="L85" s="114" t="s">
        <v>946</v>
      </c>
      <c r="M85" s="114" t="str">
        <f t="shared" si="10"/>
        <v>DB36-4-56-G</v>
      </c>
      <c r="N85" s="114" t="str">
        <f t="shared" si="11"/>
        <v>EUR-MDB36G4NAWP</v>
      </c>
      <c r="P85" s="114" t="str">
        <f t="shared" si="9"/>
        <v>DB36-4-56-G</v>
      </c>
      <c r="Q85" s="114" t="str">
        <f t="shared" si="9"/>
        <v>EUR-MDB36G4NAWP</v>
      </c>
    </row>
    <row r="86" spans="8:17" x14ac:dyDescent="0.4">
      <c r="H86" s="114" t="s">
        <v>950</v>
      </c>
      <c r="I86" s="114">
        <v>400</v>
      </c>
      <c r="J86" s="114">
        <v>36</v>
      </c>
      <c r="K86" s="415" t="s">
        <v>949</v>
      </c>
      <c r="L86" s="114" t="s">
        <v>946</v>
      </c>
      <c r="M86" s="114" t="str">
        <f t="shared" si="10"/>
        <v>DB36-4-56-G-M</v>
      </c>
      <c r="N86" s="114" t="str">
        <f t="shared" si="11"/>
        <v>EUR-MDB36G4MCWP</v>
      </c>
      <c r="P86" s="114" t="str">
        <f t="shared" si="9"/>
        <v>DB36-4-56-G-M</v>
      </c>
      <c r="Q86" s="114" t="str">
        <f t="shared" si="9"/>
        <v>EUR-MDB36G4MCWP</v>
      </c>
    </row>
    <row r="87" spans="8:17" x14ac:dyDescent="0.4">
      <c r="H87" s="114" t="s">
        <v>950</v>
      </c>
      <c r="I87" s="114">
        <v>400</v>
      </c>
      <c r="J87" s="114">
        <v>48</v>
      </c>
      <c r="K87" s="415" t="s">
        <v>951</v>
      </c>
      <c r="L87" s="114" t="s">
        <v>946</v>
      </c>
      <c r="M87" s="114" t="str">
        <f t="shared" si="10"/>
        <v>DB48-4-56-G</v>
      </c>
      <c r="N87" s="114" t="str">
        <f t="shared" si="11"/>
        <v>EUR-MDB48G4NAWP</v>
      </c>
      <c r="P87" s="114" t="str">
        <f t="shared" si="9"/>
        <v>DB48-4-56-G</v>
      </c>
      <c r="Q87" s="114" t="str">
        <f t="shared" si="9"/>
        <v>EUR-MDB48G4NAWP</v>
      </c>
    </row>
    <row r="88" spans="8:17" x14ac:dyDescent="0.4">
      <c r="H88" s="114" t="s">
        <v>950</v>
      </c>
      <c r="I88" s="114">
        <v>400</v>
      </c>
      <c r="J88" s="114">
        <v>48</v>
      </c>
      <c r="K88" s="415" t="s">
        <v>949</v>
      </c>
      <c r="L88" s="114" t="s">
        <v>946</v>
      </c>
      <c r="M88" s="114" t="str">
        <f t="shared" si="10"/>
        <v>DB48-4-56-G-M</v>
      </c>
      <c r="N88" s="114" t="str">
        <f t="shared" si="11"/>
        <v>EUR-MDB48G4MCWP</v>
      </c>
      <c r="P88" s="114" t="str">
        <f t="shared" si="9"/>
        <v>DB48-4-56-G-M</v>
      </c>
      <c r="Q88" s="114" t="str">
        <f t="shared" si="9"/>
        <v>EUR-MDB48G4MCWP</v>
      </c>
    </row>
    <row r="89" spans="8:17" x14ac:dyDescent="0.4">
      <c r="H89" s="114" t="s">
        <v>950</v>
      </c>
      <c r="I89" s="114">
        <v>400</v>
      </c>
      <c r="J89" s="114">
        <v>60</v>
      </c>
      <c r="K89" s="415" t="s">
        <v>951</v>
      </c>
      <c r="L89" s="114" t="s">
        <v>946</v>
      </c>
      <c r="M89" s="114" t="str">
        <f t="shared" si="10"/>
        <v>DB60-4-56-G</v>
      </c>
      <c r="N89" s="114" t="str">
        <f t="shared" si="11"/>
        <v>EUR-MDB60G4NAWP</v>
      </c>
      <c r="P89" s="114" t="str">
        <f t="shared" si="9"/>
        <v>DB60-4-56-G</v>
      </c>
      <c r="Q89" s="114" t="str">
        <f t="shared" si="9"/>
        <v>EUR-MDB60G4NAWP</v>
      </c>
    </row>
    <row r="90" spans="8:17" x14ac:dyDescent="0.4">
      <c r="H90" s="114" t="s">
        <v>950</v>
      </c>
      <c r="I90" s="114">
        <v>400</v>
      </c>
      <c r="J90" s="114">
        <v>60</v>
      </c>
      <c r="K90" s="415" t="s">
        <v>949</v>
      </c>
      <c r="L90" s="114" t="s">
        <v>946</v>
      </c>
      <c r="M90" s="114" t="str">
        <f t="shared" si="10"/>
        <v>DB60-4-56-G-M</v>
      </c>
      <c r="N90" s="114" t="str">
        <f t="shared" si="11"/>
        <v>EUR-MDB60G4MCWP</v>
      </c>
      <c r="P90" s="114" t="str">
        <f t="shared" si="9"/>
        <v>DB60-4-56-G-M</v>
      </c>
      <c r="Q90" s="114" t="str">
        <f t="shared" si="9"/>
        <v>EUR-MDB60G4MCWP</v>
      </c>
    </row>
    <row r="91" spans="8:17" x14ac:dyDescent="0.4">
      <c r="H91" s="114" t="s">
        <v>950</v>
      </c>
      <c r="I91" s="114">
        <v>400</v>
      </c>
      <c r="J91" s="114">
        <v>72</v>
      </c>
      <c r="K91" s="415" t="s">
        <v>951</v>
      </c>
      <c r="L91" s="114" t="s">
        <v>946</v>
      </c>
      <c r="M91" s="114" t="str">
        <f t="shared" si="10"/>
        <v>DB72-4-56-G</v>
      </c>
      <c r="N91" s="114" t="str">
        <f t="shared" si="11"/>
        <v>EUR-MDB72G4NAWP</v>
      </c>
      <c r="P91" s="114" t="str">
        <f t="shared" si="9"/>
        <v>DB72-4-56-G</v>
      </c>
      <c r="Q91" s="114" t="str">
        <f t="shared" si="9"/>
        <v>EUR-MDB72G4NAWP</v>
      </c>
    </row>
    <row r="92" spans="8:17" x14ac:dyDescent="0.4">
      <c r="H92" s="114" t="s">
        <v>950</v>
      </c>
      <c r="I92" s="114">
        <v>400</v>
      </c>
      <c r="J92" s="114">
        <v>72</v>
      </c>
      <c r="K92" s="415" t="s">
        <v>949</v>
      </c>
      <c r="L92" s="114" t="s">
        <v>946</v>
      </c>
      <c r="M92" s="114" t="str">
        <f t="shared" si="10"/>
        <v>DB72-4-56-G-M</v>
      </c>
      <c r="N92" s="114" t="str">
        <f t="shared" si="11"/>
        <v>EUR-MDB72G4MCWP</v>
      </c>
      <c r="P92" s="114" t="str">
        <f t="shared" si="9"/>
        <v>DB72-4-56-G-M</v>
      </c>
      <c r="Q92" s="114" t="str">
        <f t="shared" si="9"/>
        <v>EUR-MDB72G4MCWP</v>
      </c>
    </row>
  </sheetData>
  <conditionalFormatting sqref="K2:K11">
    <cfRule type="cellIs" dxfId="354"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30"/>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15.4609375" style="114" customWidth="1"/>
    <col min="7" max="8" width="12.07421875" style="114" customWidth="1"/>
    <col min="9" max="10" width="13.3046875" style="114" customWidth="1"/>
    <col min="11" max="12" width="13.3046875" style="114" hidden="1" customWidth="1"/>
    <col min="13" max="14" width="13.3046875" style="114" customWidth="1"/>
    <col min="15" max="15" width="17.4609375" style="114" hidden="1" customWidth="1"/>
    <col min="16" max="16" width="12.23046875" style="355" customWidth="1"/>
    <col min="17" max="17" width="9.07421875" style="318" hidden="1" customWidth="1"/>
    <col min="18" max="18" width="5.07421875" style="319" customWidth="1"/>
    <col min="19" max="19" width="12.23046875" style="355" customWidth="1"/>
    <col min="20" max="20" width="9.07421875" style="318" hidden="1" customWidth="1"/>
    <col min="21" max="21" width="5.07421875" style="319" customWidth="1"/>
    <col min="22" max="22" width="12.23046875" style="355" customWidth="1"/>
    <col min="23" max="23" width="9.07421875" style="318" hidden="1" customWidth="1"/>
    <col min="24" max="24" width="5.07421875" style="319" customWidth="1"/>
    <col min="25" max="25" width="12.23046875" style="355" customWidth="1"/>
    <col min="26" max="26" width="9.07421875" style="318" hidden="1" customWidth="1"/>
    <col min="27" max="27" width="5.07421875" style="319" customWidth="1"/>
    <col min="28" max="28" width="12.23046875" style="355" customWidth="1"/>
    <col min="29" max="29" width="9.07421875" style="318" hidden="1" customWidth="1"/>
    <col min="30" max="30" width="5.07421875" style="319" customWidth="1"/>
    <col min="31" max="31" width="12.23046875" style="355" customWidth="1"/>
    <col min="32" max="32" width="9.07421875" style="318" hidden="1" customWidth="1"/>
    <col min="33" max="33" width="5.07421875" style="319" customWidth="1"/>
    <col min="34" max="34" width="12.23046875" style="355" customWidth="1"/>
    <col min="35" max="35" width="9.07421875" style="318" hidden="1" customWidth="1"/>
    <col min="36" max="36" width="5.07421875" style="319" customWidth="1"/>
    <col min="37" max="37" width="12.23046875" style="355" customWidth="1"/>
    <col min="38" max="38" width="9.07421875" style="318" hidden="1" customWidth="1"/>
    <col min="39" max="39" width="5.07421875" style="319" customWidth="1"/>
    <col min="40" max="40" width="12.23046875" style="355" customWidth="1"/>
    <col min="41" max="41" width="9.07421875" style="318" hidden="1" customWidth="1"/>
    <col min="42" max="42" width="5.07421875" style="319" customWidth="1"/>
    <col min="43" max="43" width="12.23046875" style="355" customWidth="1"/>
    <col min="44" max="44" width="9.07421875" style="318" hidden="1" customWidth="1"/>
    <col min="45" max="45" width="5.07421875" style="319" customWidth="1"/>
    <col min="46" max="46" width="12.23046875" style="355" customWidth="1"/>
    <col min="47" max="47" width="9.07421875" style="318" hidden="1" customWidth="1"/>
    <col min="48" max="48" width="5.07421875" style="319" customWidth="1"/>
    <col min="49" max="49" width="12.23046875" style="355" customWidth="1"/>
    <col min="50" max="50" width="9.07421875" style="318" hidden="1" customWidth="1"/>
    <col min="51" max="51" width="5.07421875" style="319" customWidth="1"/>
    <col min="52" max="52" width="12.23046875" style="355" customWidth="1"/>
    <col min="53" max="53" width="9.07421875" style="318" hidden="1" customWidth="1"/>
    <col min="54" max="54" width="5.07421875" style="319" customWidth="1"/>
    <col min="55" max="55" width="12.3046875" style="319" customWidth="1"/>
    <col min="56" max="56" width="12.3046875" style="114" hidden="1" customWidth="1"/>
    <col min="57" max="57" width="16" style="114" hidden="1" customWidth="1"/>
    <col min="58" max="58" width="39" style="114" hidden="1" customWidth="1"/>
    <col min="59" max="64" width="9.23046875" style="114" hidden="1" customWidth="1"/>
    <col min="65" max="65" width="48.4609375" style="114" hidden="1" customWidth="1"/>
    <col min="66" max="66" width="55.07421875" style="114" hidden="1" customWidth="1"/>
    <col min="67" max="72" width="9.23046875" style="114" hidden="1" customWidth="1"/>
    <col min="73" max="98" width="0" style="114" hidden="1" customWidth="1"/>
    <col min="99" max="16384" width="9.23046875" style="114"/>
  </cols>
  <sheetData>
    <row r="1" spans="1:70" s="299" customFormat="1" ht="29.15" x14ac:dyDescent="0.4">
      <c r="A1" s="425" t="s">
        <v>930</v>
      </c>
      <c r="B1" s="425" t="s">
        <v>931</v>
      </c>
      <c r="C1" s="426" t="s">
        <v>932</v>
      </c>
      <c r="D1" s="425" t="s">
        <v>933</v>
      </c>
      <c r="E1" s="425" t="s">
        <v>843</v>
      </c>
      <c r="F1" s="425" t="s">
        <v>1018</v>
      </c>
      <c r="G1" s="427" t="s">
        <v>979</v>
      </c>
      <c r="H1" s="427" t="s">
        <v>980</v>
      </c>
      <c r="I1" s="425" t="s">
        <v>935</v>
      </c>
      <c r="J1" s="425" t="s">
        <v>936</v>
      </c>
      <c r="K1" s="425" t="s">
        <v>1384</v>
      </c>
      <c r="L1" s="425" t="s">
        <v>1382</v>
      </c>
      <c r="M1" s="425" t="s">
        <v>1383</v>
      </c>
      <c r="N1" s="427" t="s">
        <v>1381</v>
      </c>
      <c r="O1" s="427" t="s">
        <v>981</v>
      </c>
      <c r="P1" s="433" t="s">
        <v>676</v>
      </c>
      <c r="Q1" s="434" t="s">
        <v>995</v>
      </c>
      <c r="R1" s="434" t="s">
        <v>996</v>
      </c>
      <c r="S1" s="433" t="s">
        <v>982</v>
      </c>
      <c r="T1" s="434" t="s">
        <v>995</v>
      </c>
      <c r="U1" s="434" t="str">
        <f>R1</f>
        <v>t</v>
      </c>
      <c r="V1" s="433" t="s">
        <v>983</v>
      </c>
      <c r="W1" s="437" t="str">
        <f>T1</f>
        <v>$</v>
      </c>
      <c r="X1" s="434" t="str">
        <f>R1</f>
        <v>t</v>
      </c>
      <c r="Y1" s="433" t="s">
        <v>984</v>
      </c>
      <c r="Z1" s="437" t="str">
        <f>W1</f>
        <v>$</v>
      </c>
      <c r="AA1" s="434" t="str">
        <f>R1</f>
        <v>t</v>
      </c>
      <c r="AB1" s="433" t="s">
        <v>669</v>
      </c>
      <c r="AC1" s="437" t="str">
        <f>Z1</f>
        <v>$</v>
      </c>
      <c r="AD1" s="434" t="str">
        <f>AA1</f>
        <v>t</v>
      </c>
      <c r="AE1" s="433" t="str">
        <f>_Fan!F1</f>
        <v>Mechanical Thermostat</v>
      </c>
      <c r="AF1" s="437" t="str">
        <f>AC1</f>
        <v>$</v>
      </c>
      <c r="AG1" s="434" t="str">
        <f>AA1</f>
        <v>t</v>
      </c>
      <c r="AH1" s="433" t="str">
        <f>_Fan!G1</f>
        <v>Run On Timer</v>
      </c>
      <c r="AI1" s="437" t="str">
        <f>AF1</f>
        <v>$</v>
      </c>
      <c r="AJ1" s="434" t="str">
        <f>AG1</f>
        <v>t</v>
      </c>
      <c r="AK1" s="433" t="str">
        <f>_Fan!H1</f>
        <v>Time Clock</v>
      </c>
      <c r="AL1" s="437" t="str">
        <f>AI1</f>
        <v>$</v>
      </c>
      <c r="AM1" s="434" t="str">
        <f>AJ1</f>
        <v>t</v>
      </c>
      <c r="AN1" s="433" t="str">
        <f>_Fan!I1</f>
        <v>Local Switch</v>
      </c>
      <c r="AO1" s="437" t="str">
        <f>AL1</f>
        <v>$</v>
      </c>
      <c r="AP1" s="434" t="str">
        <f>AM1</f>
        <v>t</v>
      </c>
      <c r="AQ1" s="433" t="str">
        <f>_Fan!J1</f>
        <v>Run Status Light</v>
      </c>
      <c r="AR1" s="437" t="str">
        <f>AO1</f>
        <v>$</v>
      </c>
      <c r="AS1" s="434" t="str">
        <f>AP1</f>
        <v>t</v>
      </c>
      <c r="AT1" s="433" t="str">
        <f>_Fan!K1</f>
        <v>Jet Fan</v>
      </c>
      <c r="AU1" s="437" t="str">
        <f>AR1</f>
        <v>$</v>
      </c>
      <c r="AV1" s="434" t="str">
        <f>AS1</f>
        <v>t</v>
      </c>
      <c r="AW1" s="433" t="str">
        <f>_Fan!L1</f>
        <v>VSD or KEF</v>
      </c>
      <c r="AX1" s="437" t="str">
        <f>AU1</f>
        <v>$</v>
      </c>
      <c r="AY1" s="434" t="str">
        <f>AV1</f>
        <v>t</v>
      </c>
      <c r="AZ1" s="433" t="str">
        <f>_Fan!M1</f>
        <v>Run &amp; Fault LEDs</v>
      </c>
      <c r="BA1" s="437" t="str">
        <f>AX1</f>
        <v>$</v>
      </c>
      <c r="BB1" s="434" t="str">
        <f>AY1</f>
        <v>t</v>
      </c>
      <c r="BC1" s="524"/>
      <c r="BD1" s="299">
        <f>MAX('@MSSB'!AD:AD)</f>
        <v>0</v>
      </c>
    </row>
    <row r="2" spans="1:70" x14ac:dyDescent="0.4">
      <c r="A2" s="429" t="str">
        <f t="shared" ref="A2:A22" si="0">IF(NOT(O2="N/A"),IF(COUNTBLANK(P2:AQ2)=0,"VALID","INVALID"),"INVALID")</f>
        <v>INVALID</v>
      </c>
      <c r="B2" s="430" t="str">
        <f>_xlfn.CONCAT("Fan ",(ROW()-1))</f>
        <v>Fan 1</v>
      </c>
      <c r="C2" s="431">
        <f>IFERROR(E2*I2,0)</f>
        <v>0</v>
      </c>
      <c r="D2" s="430">
        <f>IFERROR(IF(ISBLANK(G2),J2*E2,G2*E2),0)</f>
        <v>0</v>
      </c>
      <c r="E2" s="430"/>
      <c r="F2" s="430">
        <f t="shared" ref="F2:F22" si="1">IF(A2="VALID",IF(COUNTBLANK(H2)=0,H2,IF(P2="Local",5,20)),0)</f>
        <v>0</v>
      </c>
      <c r="G2" s="430"/>
      <c r="H2" s="430"/>
      <c r="I2" s="430">
        <f>L2+Q2+T2+Z2+W2+AC2+AF2+AI2+AL2+AO2+AR2+AU2+AX2+BA2</f>
        <v>0</v>
      </c>
      <c r="J2" s="430">
        <f>N2+R2+U2+AA2+X2+AD2+AG2+AJ2+AM2+AP2+AS2+AV2+AY2+BB2</f>
        <v>0</v>
      </c>
      <c r="K2" s="430">
        <f>IF(AW2="VSD",(VLOOKUP("Switchboard Cable 1mm",'Part List'!$A:$G,3,FALSE)+VLOOKUP("2.5mm Twin and Earth",'Part List'!$A:$G,3,FALSE)*2),IF(AW2="KEF",(VLOOKUP("7030 2 pair TCAS7302P",'Part List'!$A:$G,3,FALSE) + VLOOKUP("4mm Cable 3 core and Earth",'Part List'!$A:$G,3,FALSE)),VLOOKUP("2.5mm Twin and Earth",'Part List'!$A:$G,3,FALSE)))</f>
        <v>0.85</v>
      </c>
      <c r="L2" s="430">
        <f>K2*H2</f>
        <v>0</v>
      </c>
      <c r="M2" s="430">
        <f>IF(AW2="VSD",(VLOOKUP("Switchboard Cable 1mm",'Part List'!$A:$G,5,FALSE)+VLOOKUP("2.5mm Twin and Earth",'Part List'!$A:$G,5,FALSE)*2),IF(AW2="KEF",(VLOOKUP("7030 2 pair TCAS7302P",'Part List'!$A:$G,5,FALSE) + VLOOKUP("4mm Cable 3 core and Earth",'Part List'!$A:$G,5,FALSE)),VLOOKUP("2.5mm Twin and Earth",'Part List'!$A:$G,5,FALSE)))</f>
        <v>0.1</v>
      </c>
      <c r="N2" s="430">
        <f t="shared" ref="N2:N22" si="2">M2*F2</f>
        <v>0</v>
      </c>
      <c r="O2" s="430"/>
      <c r="P2" s="438"/>
      <c r="Q2" s="439">
        <f>IFERROR(VLOOKUP(P2,_Fan!$N:$Q,2,FALSE),0)</f>
        <v>0</v>
      </c>
      <c r="R2" s="439">
        <f>IFERROR(VLOOKUP(P2,_Fan!$N:$Q,3,FALSE),0)</f>
        <v>0</v>
      </c>
      <c r="S2" s="430"/>
      <c r="T2" s="439">
        <f>IF(S2="YES", VLOOKUP(S$1,_Fan!$N:$Q,2,FALSE), 0)</f>
        <v>0</v>
      </c>
      <c r="U2" s="439">
        <f>IF(S2="YES", VLOOKUP(S$1,_Fan!$N:$Q,3,FALSE), 0)</f>
        <v>0</v>
      </c>
      <c r="V2" s="430"/>
      <c r="W2" s="439">
        <f>IF(V2="YES", VLOOKUP(V$1,_Fan!$N:$Q,2,FALSE), 0)</f>
        <v>0</v>
      </c>
      <c r="X2" s="439">
        <f>IF(V2="YES", VLOOKUP(V$1,_Fan!$N:$Q,3,FALSE), 0)</f>
        <v>0</v>
      </c>
      <c r="Y2" s="430"/>
      <c r="Z2" s="439">
        <f>IFERROR(VLOOKUP(Y2,_Fan!$N:$Q,2,FALSE),0)</f>
        <v>0</v>
      </c>
      <c r="AA2" s="439">
        <f>IFERROR(VLOOKUP(Y2,_Fan!$N:$Q,3,FALSE),0)</f>
        <v>0</v>
      </c>
      <c r="AB2" s="430" t="s">
        <v>886</v>
      </c>
      <c r="AC2" s="439">
        <f>IF(AB2="YES", VLOOKUP(AB$1,_Fan!$N:$Q,2,FALSE), 0)</f>
        <v>0</v>
      </c>
      <c r="AD2" s="439">
        <f>IF(AB2="YES", VLOOKUP(AB$1,_Fan!$N:$Q,3,FALSE), 0)</f>
        <v>0</v>
      </c>
      <c r="AE2" s="430" t="s">
        <v>886</v>
      </c>
      <c r="AF2" s="439">
        <f>IF(AE2="YES", VLOOKUP(AE$1,_Fan!$N:$Q,2,FALSE), 0)</f>
        <v>0</v>
      </c>
      <c r="AG2" s="439">
        <f>IF(AE2="YES", VLOOKUP(AE$1,_Fan!$N:$Q,3,FALSE), 0)</f>
        <v>0</v>
      </c>
      <c r="AH2" s="430" t="s">
        <v>886</v>
      </c>
      <c r="AI2" s="439">
        <f>IF(AH2="YES", VLOOKUP(AH$1,_Fan!$N:$Q,2,FALSE), 0)</f>
        <v>0</v>
      </c>
      <c r="AJ2" s="439">
        <f>IF(AH2="YES", VLOOKUP(AH$1,_Fan!$N:$Q,3,FALSE), 0)</f>
        <v>0</v>
      </c>
      <c r="AK2" s="430"/>
      <c r="AL2" s="439">
        <f>IF(AK2="YES", VLOOKUP(AK$1,_Fan!$N:$Q,2,FALSE), 0)</f>
        <v>0</v>
      </c>
      <c r="AM2" s="439">
        <f>IF(AK2="YES", VLOOKUP(AK$1,_Fan!$N:$Q,3,FALSE), 0)</f>
        <v>0</v>
      </c>
      <c r="AN2" s="430"/>
      <c r="AO2" s="439">
        <f>IF(AN2="YES", VLOOKUP(AN$1,_Fan!$N:$Q,2,FALSE), 0)</f>
        <v>0</v>
      </c>
      <c r="AP2" s="439">
        <f>IF(AN2="YES", VLOOKUP(AN$1,_Fan!$N:$Q,3,FALSE), 0)</f>
        <v>0</v>
      </c>
      <c r="AQ2" s="430"/>
      <c r="AR2" s="439">
        <f>IF(AQ2="YES", VLOOKUP(AQ$1,_Fan!$N:$Q,2,FALSE), 0)</f>
        <v>0</v>
      </c>
      <c r="AS2" s="439">
        <f>IF(AQ2="YES", VLOOKUP(AQ$1,_Fan!$N:$Q,3,FALSE), 0)</f>
        <v>0</v>
      </c>
      <c r="AT2" s="430"/>
      <c r="AU2" s="439">
        <f>IF(AT2="YES", VLOOKUP(AT$1,_Fan!$N:$Q,2,FALSE), 0)</f>
        <v>0</v>
      </c>
      <c r="AV2" s="439">
        <f>IF(AT2="YES", VLOOKUP(AT$1,_Fan!$N:$Q,3,FALSE), 0)</f>
        <v>0</v>
      </c>
      <c r="AW2" s="430"/>
      <c r="AX2" s="439">
        <f>IFERROR(VLOOKUP(AW2,_Fan!$N:$Q,2,FALSE),0)</f>
        <v>0</v>
      </c>
      <c r="AY2" s="439">
        <f>IFERROR(VLOOKUP(AW2,_Fan!$N:$Q,3,FALSE),0)</f>
        <v>0</v>
      </c>
      <c r="AZ2" s="430"/>
      <c r="BA2" s="439">
        <f>IF(AZ2="YES", VLOOKUP(AZ$1,_Fan!$N:$Q,2,FALSE), 0)</f>
        <v>0</v>
      </c>
      <c r="BB2" s="439">
        <f>IF(AZ2="YES", VLOOKUP(AZ$1,_Fan!$N:$Q,3,FALSE), 0)</f>
        <v>0</v>
      </c>
      <c r="BC2" s="430"/>
      <c r="BD2" s="430"/>
      <c r="BE2" s="430"/>
      <c r="BF2" s="430"/>
      <c r="BG2" s="430"/>
      <c r="BH2" s="430"/>
      <c r="BI2" s="430"/>
      <c r="BJ2" s="430"/>
      <c r="BK2" s="430"/>
      <c r="BL2" s="430"/>
      <c r="BM2" s="430"/>
      <c r="BN2" s="430"/>
      <c r="BO2" s="430"/>
      <c r="BP2" s="430"/>
      <c r="BQ2" s="430"/>
      <c r="BR2" s="430"/>
    </row>
    <row r="3" spans="1:70" x14ac:dyDescent="0.4">
      <c r="A3" s="429" t="str">
        <f t="shared" si="0"/>
        <v>INVALID</v>
      </c>
      <c r="B3" s="430" t="str">
        <f t="shared" ref="B3:B22" si="3">_xlfn.CONCAT("Fan ",(ROW()-1))</f>
        <v>Fan 2</v>
      </c>
      <c r="C3" s="431">
        <f t="shared" ref="C3:C22" si="4">IFERROR(E3*I3,0)</f>
        <v>0</v>
      </c>
      <c r="D3" s="430">
        <f t="shared" ref="D3:D22" si="5">IFERROR(IF(ISBLANK(G3),J3*E3,G3*E3),0)</f>
        <v>0</v>
      </c>
      <c r="E3" s="430"/>
      <c r="F3" s="430">
        <f t="shared" si="1"/>
        <v>0</v>
      </c>
      <c r="G3" s="430"/>
      <c r="H3" s="430"/>
      <c r="I3" s="430">
        <f t="shared" ref="I3:I22" si="6">L3+Q3+T3+Z3+W3+AC3+AF3+AI3+AL3+AO3+AR3+AU3+AX3+BA3</f>
        <v>0</v>
      </c>
      <c r="J3" s="430">
        <f t="shared" ref="J3:J22" si="7">N3+R3+U3+AA3+X3+AD3+AG3+AJ3+AM3+AP3+AS3+AV3+AY3+BB3</f>
        <v>0</v>
      </c>
      <c r="K3" s="430">
        <f>IF(AW3="VSD",(VLOOKUP("Switchboard Cable 1mm",'Part List'!$A:$G,3,FALSE)+VLOOKUP("2.5mm Twin and Earth",'Part List'!$A:$G,3,FALSE)*2),IF(AW3="KEF",(VLOOKUP("7030 2 pair TCAS7302P",'Part List'!$A:$G,3,FALSE) + VLOOKUP("4mm Cable 3 core and Earth",'Part List'!$A:$G,3,FALSE)),VLOOKUP("2.5mm Twin and Earth",'Part List'!$A:$G,3,FALSE)))</f>
        <v>0.85</v>
      </c>
      <c r="L3" s="430">
        <f t="shared" ref="L3:L22" si="8">K3*H3</f>
        <v>0</v>
      </c>
      <c r="M3" s="430">
        <f>IF(AW3="VSD",(VLOOKUP("Switchboard Cable 1mm",'Part List'!$A:$G,5,FALSE)+VLOOKUP("2.5mm Twin and Earth",'Part List'!$A:$G,5,FALSE)*2),IF(AW3="KEF",(VLOOKUP("7030 2 pair TCAS7302P",'Part List'!$A:$G,5,FALSE) + VLOOKUP("4mm Cable 3 core and Earth",'Part List'!$A:$G,5,FALSE)),VLOOKUP("2.5mm Twin and Earth",'Part List'!$A:$G,5,FALSE)))</f>
        <v>0.1</v>
      </c>
      <c r="N3" s="430">
        <f t="shared" si="2"/>
        <v>0</v>
      </c>
      <c r="O3" s="430"/>
      <c r="P3" s="438"/>
      <c r="Q3" s="439">
        <f>IFERROR(VLOOKUP(P3,_Fan!$N:$Q,2,FALSE),0)</f>
        <v>0</v>
      </c>
      <c r="R3" s="439">
        <f>IFERROR(VLOOKUP(P3,_Fan!$N:$Q,3,FALSE),0)</f>
        <v>0</v>
      </c>
      <c r="S3" s="430"/>
      <c r="T3" s="439">
        <f>IF(S3="YES", VLOOKUP(S$1,_Fan!$N:$Q,2,FALSE), 0)</f>
        <v>0</v>
      </c>
      <c r="U3" s="439">
        <f>IF(S3="YES", VLOOKUP(S$1,_Fan!$N:$Q,3,FALSE), 0)</f>
        <v>0</v>
      </c>
      <c r="V3" s="430"/>
      <c r="W3" s="439">
        <f>IF(V3="YES", VLOOKUP(V$1,_Fan!$N:$Q,2,FALSE), 0)</f>
        <v>0</v>
      </c>
      <c r="X3" s="439">
        <f>IF(V3="YES", VLOOKUP(V$1,_Fan!$N:$Q,3,FALSE), 0)</f>
        <v>0</v>
      </c>
      <c r="Y3" s="430"/>
      <c r="Z3" s="439">
        <f>IFERROR(VLOOKUP(Y3,_Fan!$N:$Q,2,FALSE),0)</f>
        <v>0</v>
      </c>
      <c r="AA3" s="439">
        <f>IFERROR(VLOOKUP(Y3,_Fan!$N:$Q,3,FALSE),0)</f>
        <v>0</v>
      </c>
      <c r="AB3" s="430" t="s">
        <v>886</v>
      </c>
      <c r="AC3" s="439">
        <f>IF(AB3="YES", VLOOKUP(AB$1,_Fan!$N:$Q,2,FALSE), 0)</f>
        <v>0</v>
      </c>
      <c r="AD3" s="439">
        <f>IF(AB3="YES", VLOOKUP(AB$1,_Fan!$N:$Q,3,FALSE), 0)</f>
        <v>0</v>
      </c>
      <c r="AE3" s="430" t="s">
        <v>886</v>
      </c>
      <c r="AF3" s="439">
        <f>IF(AE3="YES", VLOOKUP(AE$1,_Fan!$N:$Q,2,FALSE), 0)</f>
        <v>0</v>
      </c>
      <c r="AG3" s="439">
        <f>IF(AE3="YES", VLOOKUP(AE$1,_Fan!$N:$Q,3,FALSE), 0)</f>
        <v>0</v>
      </c>
      <c r="AH3" s="430" t="s">
        <v>886</v>
      </c>
      <c r="AI3" s="439">
        <f>IF(AH3="YES", VLOOKUP(AH$1,_Fan!$N:$Q,2,FALSE), 0)</f>
        <v>0</v>
      </c>
      <c r="AJ3" s="439">
        <f>IF(AH3="YES", VLOOKUP(AH$1,_Fan!$N:$Q,3,FALSE), 0)</f>
        <v>0</v>
      </c>
      <c r="AK3" s="430"/>
      <c r="AL3" s="439">
        <f>IF(AK3="YES", VLOOKUP(AK$1,_Fan!$N:$Q,2,FALSE), 0)</f>
        <v>0</v>
      </c>
      <c r="AM3" s="439">
        <f>IF(AK3="YES", VLOOKUP(AK$1,_Fan!$N:$Q,3,FALSE), 0)</f>
        <v>0</v>
      </c>
      <c r="AN3" s="430"/>
      <c r="AO3" s="439">
        <f>IF(AN3="YES", VLOOKUP(AN$1,_Fan!$N:$Q,2,FALSE), 0)</f>
        <v>0</v>
      </c>
      <c r="AP3" s="439">
        <f>IF(AN3="YES", VLOOKUP(AN$1,_Fan!$N:$Q,3,FALSE), 0)</f>
        <v>0</v>
      </c>
      <c r="AQ3" s="430"/>
      <c r="AR3" s="439">
        <f>IF(AQ3="YES", VLOOKUP(AQ$1,_Fan!$N:$Q,2,FALSE), 0)</f>
        <v>0</v>
      </c>
      <c r="AS3" s="439">
        <f>IF(AQ3="YES", VLOOKUP(AQ$1,_Fan!$N:$Q,3,FALSE), 0)</f>
        <v>0</v>
      </c>
      <c r="AT3" s="430"/>
      <c r="AU3" s="439">
        <f>IF(AT3="YES", VLOOKUP(AT$1,_Fan!$N:$Q,2,FALSE), 0)</f>
        <v>0</v>
      </c>
      <c r="AV3" s="439">
        <f>IF(AT3="YES", VLOOKUP(AT$1,_Fan!$N:$Q,3,FALSE), 0)</f>
        <v>0</v>
      </c>
      <c r="AW3" s="430"/>
      <c r="AX3" s="439">
        <f>IFERROR(VLOOKUP(AW3,_Fan!$N:$Q,2,FALSE),0)</f>
        <v>0</v>
      </c>
      <c r="AY3" s="439">
        <f>IFERROR(VLOOKUP(AW3,_Fan!$N:$Q,3,FALSE),0)</f>
        <v>0</v>
      </c>
      <c r="AZ3" s="430"/>
      <c r="BA3" s="439">
        <f>IF(AZ3="YES", VLOOKUP(AZ$1,_Fan!$N:$Q,2,FALSE), 0)</f>
        <v>0</v>
      </c>
      <c r="BB3" s="439">
        <f>IF(AZ3="YES", VLOOKUP(AZ$1,_Fan!$N:$Q,3,FALSE), 0)</f>
        <v>0</v>
      </c>
      <c r="BC3" s="430"/>
      <c r="BD3" s="430"/>
      <c r="BE3" s="430"/>
      <c r="BF3" s="430"/>
      <c r="BG3" s="430"/>
      <c r="BH3" s="430"/>
      <c r="BI3" s="430"/>
      <c r="BJ3" s="430"/>
      <c r="BK3" s="430"/>
      <c r="BL3" s="430"/>
      <c r="BM3" s="430"/>
      <c r="BN3" s="430"/>
      <c r="BO3" s="430"/>
      <c r="BP3" s="430"/>
      <c r="BQ3" s="430"/>
      <c r="BR3" s="430"/>
    </row>
    <row r="4" spans="1:70" x14ac:dyDescent="0.4">
      <c r="A4" s="429" t="str">
        <f t="shared" si="0"/>
        <v>INVALID</v>
      </c>
      <c r="B4" s="430" t="str">
        <f t="shared" si="3"/>
        <v>Fan 3</v>
      </c>
      <c r="C4" s="431">
        <f t="shared" si="4"/>
        <v>0</v>
      </c>
      <c r="D4" s="430">
        <f t="shared" si="5"/>
        <v>0</v>
      </c>
      <c r="E4" s="430"/>
      <c r="F4" s="430">
        <f t="shared" si="1"/>
        <v>0</v>
      </c>
      <c r="G4" s="430"/>
      <c r="H4" s="430"/>
      <c r="I4" s="430">
        <f t="shared" si="6"/>
        <v>0</v>
      </c>
      <c r="J4" s="430">
        <f t="shared" si="7"/>
        <v>0</v>
      </c>
      <c r="K4" s="430">
        <f>IF(AW4="VSD",(VLOOKUP("Switchboard Cable 1mm",'Part List'!$A:$G,3,FALSE)+VLOOKUP("2.5mm Twin and Earth",'Part List'!$A:$G,3,FALSE)*2),IF(AW4="KEF",(VLOOKUP("7030 2 pair TCAS7302P",'Part List'!$A:$G,3,FALSE) + VLOOKUP("4mm Cable 3 core and Earth",'Part List'!$A:$G,3,FALSE)),VLOOKUP("2.5mm Twin and Earth",'Part List'!$A:$G,3,FALSE)))</f>
        <v>0.85</v>
      </c>
      <c r="L4" s="430">
        <f t="shared" si="8"/>
        <v>0</v>
      </c>
      <c r="M4" s="430">
        <f>IF(AW4="VSD",(VLOOKUP("Switchboard Cable 1mm",'Part List'!$A:$G,5,FALSE)+VLOOKUP("2.5mm Twin and Earth",'Part List'!$A:$G,5,FALSE)*2),IF(AW4="KEF",(VLOOKUP("7030 2 pair TCAS7302P",'Part List'!$A:$G,5,FALSE) + VLOOKUP("4mm Cable 3 core and Earth",'Part List'!$A:$G,5,FALSE)),VLOOKUP("2.5mm Twin and Earth",'Part List'!$A:$G,5,FALSE)))</f>
        <v>0.1</v>
      </c>
      <c r="N4" s="430">
        <f t="shared" si="2"/>
        <v>0</v>
      </c>
      <c r="O4" s="430"/>
      <c r="P4" s="438"/>
      <c r="Q4" s="439">
        <f>IFERROR(VLOOKUP(P4,_Fan!$N:$Q,2,FALSE),0)</f>
        <v>0</v>
      </c>
      <c r="R4" s="439">
        <f>IFERROR(VLOOKUP(P4,_Fan!$N:$Q,3,FALSE),0)</f>
        <v>0</v>
      </c>
      <c r="S4" s="430"/>
      <c r="T4" s="439">
        <f>IF(S4="YES", VLOOKUP(S$1,_Fan!$N:$Q,2,FALSE), 0)</f>
        <v>0</v>
      </c>
      <c r="U4" s="439">
        <f>IF(S4="YES", VLOOKUP(S$1,_Fan!$N:$Q,3,FALSE), 0)</f>
        <v>0</v>
      </c>
      <c r="V4" s="430"/>
      <c r="W4" s="439">
        <f>IF(V4="YES", VLOOKUP(V$1,_Fan!$N:$Q,2,FALSE), 0)</f>
        <v>0</v>
      </c>
      <c r="X4" s="439">
        <f>IF(V4="YES", VLOOKUP(V$1,_Fan!$N:$Q,3,FALSE), 0)</f>
        <v>0</v>
      </c>
      <c r="Y4" s="430"/>
      <c r="Z4" s="439">
        <f>IFERROR(VLOOKUP(Y4,_Fan!$N:$Q,2,FALSE),0)</f>
        <v>0</v>
      </c>
      <c r="AA4" s="439">
        <f>IFERROR(VLOOKUP(Y4,_Fan!$N:$Q,3,FALSE),0)</f>
        <v>0</v>
      </c>
      <c r="AB4" s="430" t="s">
        <v>886</v>
      </c>
      <c r="AC4" s="439">
        <f>IF(AB4="YES", VLOOKUP(AB$1,_Fan!$N:$Q,2,FALSE), 0)</f>
        <v>0</v>
      </c>
      <c r="AD4" s="439">
        <f>IF(AB4="YES", VLOOKUP(AB$1,_Fan!$N:$Q,3,FALSE), 0)</f>
        <v>0</v>
      </c>
      <c r="AE4" s="430" t="s">
        <v>886</v>
      </c>
      <c r="AF4" s="439">
        <f>IF(AE4="YES", VLOOKUP(AE$1,_Fan!$N:$Q,2,FALSE), 0)</f>
        <v>0</v>
      </c>
      <c r="AG4" s="439">
        <f>IF(AE4="YES", VLOOKUP(AE$1,_Fan!$N:$Q,3,FALSE), 0)</f>
        <v>0</v>
      </c>
      <c r="AH4" s="430" t="s">
        <v>886</v>
      </c>
      <c r="AI4" s="439">
        <f>IF(AH4="YES", VLOOKUP(AH$1,_Fan!$N:$Q,2,FALSE), 0)</f>
        <v>0</v>
      </c>
      <c r="AJ4" s="439">
        <f>IF(AH4="YES", VLOOKUP(AH$1,_Fan!$N:$Q,3,FALSE), 0)</f>
        <v>0</v>
      </c>
      <c r="AK4" s="430"/>
      <c r="AL4" s="439">
        <f>IF(AK4="YES", VLOOKUP(AK$1,_Fan!$N:$Q,2,FALSE), 0)</f>
        <v>0</v>
      </c>
      <c r="AM4" s="439">
        <f>IF(AK4="YES", VLOOKUP(AK$1,_Fan!$N:$Q,3,FALSE), 0)</f>
        <v>0</v>
      </c>
      <c r="AN4" s="430"/>
      <c r="AO4" s="439">
        <f>IF(AN4="YES", VLOOKUP(AN$1,_Fan!$N:$Q,2,FALSE), 0)</f>
        <v>0</v>
      </c>
      <c r="AP4" s="439">
        <f>IF(AN4="YES", VLOOKUP(AN$1,_Fan!$N:$Q,3,FALSE), 0)</f>
        <v>0</v>
      </c>
      <c r="AQ4" s="430"/>
      <c r="AR4" s="439">
        <f>IF(AQ4="YES", VLOOKUP(AQ$1,_Fan!$N:$Q,2,FALSE), 0)</f>
        <v>0</v>
      </c>
      <c r="AS4" s="439">
        <f>IF(AQ4="YES", VLOOKUP(AQ$1,_Fan!$N:$Q,3,FALSE), 0)</f>
        <v>0</v>
      </c>
      <c r="AT4" s="430"/>
      <c r="AU4" s="439">
        <f>IF(AT4="YES", VLOOKUP(AT$1,_Fan!$N:$Q,2,FALSE), 0)</f>
        <v>0</v>
      </c>
      <c r="AV4" s="439">
        <f>IF(AT4="YES", VLOOKUP(AT$1,_Fan!$N:$Q,3,FALSE), 0)</f>
        <v>0</v>
      </c>
      <c r="AW4" s="430"/>
      <c r="AX4" s="439">
        <f>IFERROR(VLOOKUP(AW4,_Fan!$N:$Q,2,FALSE),0)</f>
        <v>0</v>
      </c>
      <c r="AY4" s="439">
        <f>IFERROR(VLOOKUP(AW4,_Fan!$N:$Q,3,FALSE),0)</f>
        <v>0</v>
      </c>
      <c r="AZ4" s="430"/>
      <c r="BA4" s="439">
        <f>IF(AZ4="YES", VLOOKUP(AZ$1,_Fan!$N:$Q,2,FALSE), 0)</f>
        <v>0</v>
      </c>
      <c r="BB4" s="439">
        <f>IF(AZ4="YES", VLOOKUP(AZ$1,_Fan!$N:$Q,3,FALSE), 0)</f>
        <v>0</v>
      </c>
      <c r="BC4" s="430"/>
      <c r="BD4" s="430"/>
      <c r="BE4" s="430"/>
      <c r="BF4" s="430"/>
      <c r="BG4" s="430"/>
      <c r="BH4" s="430"/>
      <c r="BI4" s="430"/>
      <c r="BJ4" s="430"/>
      <c r="BK4" s="430"/>
      <c r="BL4" s="430"/>
      <c r="BM4" s="430"/>
      <c r="BN4" s="430"/>
      <c r="BO4" s="430"/>
      <c r="BP4" s="430"/>
      <c r="BQ4" s="430"/>
      <c r="BR4" s="430"/>
    </row>
    <row r="5" spans="1:70" x14ac:dyDescent="0.4">
      <c r="A5" s="429" t="str">
        <f t="shared" si="0"/>
        <v>INVALID</v>
      </c>
      <c r="B5" s="430" t="str">
        <f t="shared" si="3"/>
        <v>Fan 4</v>
      </c>
      <c r="C5" s="431">
        <f t="shared" si="4"/>
        <v>0</v>
      </c>
      <c r="D5" s="430">
        <f t="shared" si="5"/>
        <v>0</v>
      </c>
      <c r="E5" s="430"/>
      <c r="F5" s="430">
        <f t="shared" si="1"/>
        <v>0</v>
      </c>
      <c r="G5" s="430"/>
      <c r="H5" s="430"/>
      <c r="I5" s="430">
        <f t="shared" si="6"/>
        <v>0</v>
      </c>
      <c r="J5" s="430">
        <f t="shared" si="7"/>
        <v>0</v>
      </c>
      <c r="K5" s="430">
        <f>IF(AW5="VSD",(VLOOKUP("Switchboard Cable 1mm",'Part List'!$A:$G,3,FALSE)+VLOOKUP("2.5mm Twin and Earth",'Part List'!$A:$G,3,FALSE)*2),IF(AW5="KEF",(VLOOKUP("7030 2 pair TCAS7302P",'Part List'!$A:$G,3,FALSE) + VLOOKUP("4mm Cable 3 core and Earth",'Part List'!$A:$G,3,FALSE)),VLOOKUP("2.5mm Twin and Earth",'Part List'!$A:$G,3,FALSE)))</f>
        <v>0.85</v>
      </c>
      <c r="L5" s="430">
        <f t="shared" si="8"/>
        <v>0</v>
      </c>
      <c r="M5" s="430">
        <f>IF(AW5="VSD",(VLOOKUP("Switchboard Cable 1mm",'Part List'!$A:$G,5,FALSE)+VLOOKUP("2.5mm Twin and Earth",'Part List'!$A:$G,5,FALSE)*2),IF(AW5="KEF",(VLOOKUP("7030 2 pair TCAS7302P",'Part List'!$A:$G,5,FALSE) + VLOOKUP("4mm Cable 3 core and Earth",'Part List'!$A:$G,5,FALSE)),VLOOKUP("2.5mm Twin and Earth",'Part List'!$A:$G,5,FALSE)))</f>
        <v>0.1</v>
      </c>
      <c r="N5" s="430">
        <f t="shared" si="2"/>
        <v>0</v>
      </c>
      <c r="O5" s="430"/>
      <c r="P5" s="438"/>
      <c r="Q5" s="439">
        <f>IFERROR(VLOOKUP(P5,_Fan!$N:$Q,2,FALSE),0)</f>
        <v>0</v>
      </c>
      <c r="R5" s="439">
        <f>IFERROR(VLOOKUP(P5,_Fan!$N:$Q,3,FALSE),0)</f>
        <v>0</v>
      </c>
      <c r="S5" s="430"/>
      <c r="T5" s="439">
        <f>IF(S5="YES", VLOOKUP(S$1,_Fan!$N:$Q,2,FALSE), 0)</f>
        <v>0</v>
      </c>
      <c r="U5" s="439">
        <f>IF(S5="YES", VLOOKUP(S$1,_Fan!$N:$Q,3,FALSE), 0)</f>
        <v>0</v>
      </c>
      <c r="V5" s="430"/>
      <c r="W5" s="439">
        <f>IF(V5="YES", VLOOKUP(V$1,_Fan!$N:$Q,2,FALSE), 0)</f>
        <v>0</v>
      </c>
      <c r="X5" s="439">
        <f>IF(V5="YES", VLOOKUP(V$1,_Fan!$N:$Q,3,FALSE), 0)</f>
        <v>0</v>
      </c>
      <c r="Y5" s="430"/>
      <c r="Z5" s="439">
        <f>IFERROR(VLOOKUP(Y5,_Fan!$N:$Q,2,FALSE),0)</f>
        <v>0</v>
      </c>
      <c r="AA5" s="439">
        <f>IFERROR(VLOOKUP(Y5,_Fan!$N:$Q,3,FALSE),0)</f>
        <v>0</v>
      </c>
      <c r="AB5" s="430" t="s">
        <v>886</v>
      </c>
      <c r="AC5" s="439">
        <f>IF(AB5="YES", VLOOKUP(AB$1,_Fan!$N:$Q,2,FALSE), 0)</f>
        <v>0</v>
      </c>
      <c r="AD5" s="439">
        <f>IF(AB5="YES", VLOOKUP(AB$1,_Fan!$N:$Q,3,FALSE), 0)</f>
        <v>0</v>
      </c>
      <c r="AE5" s="430" t="s">
        <v>886</v>
      </c>
      <c r="AF5" s="439">
        <f>IF(AE5="YES", VLOOKUP(AE$1,_Fan!$N:$Q,2,FALSE), 0)</f>
        <v>0</v>
      </c>
      <c r="AG5" s="439">
        <f>IF(AE5="YES", VLOOKUP(AE$1,_Fan!$N:$Q,3,FALSE), 0)</f>
        <v>0</v>
      </c>
      <c r="AH5" s="430" t="s">
        <v>886</v>
      </c>
      <c r="AI5" s="439">
        <f>IF(AH5="YES", VLOOKUP(AH$1,_Fan!$N:$Q,2,FALSE), 0)</f>
        <v>0</v>
      </c>
      <c r="AJ5" s="439">
        <f>IF(AH5="YES", VLOOKUP(AH$1,_Fan!$N:$Q,3,FALSE), 0)</f>
        <v>0</v>
      </c>
      <c r="AK5" s="430"/>
      <c r="AL5" s="439">
        <f>IF(AK5="YES", VLOOKUP(AK$1,_Fan!$N:$Q,2,FALSE), 0)</f>
        <v>0</v>
      </c>
      <c r="AM5" s="439">
        <f>IF(AK5="YES", VLOOKUP(AK$1,_Fan!$N:$Q,3,FALSE), 0)</f>
        <v>0</v>
      </c>
      <c r="AN5" s="430"/>
      <c r="AO5" s="439">
        <f>IF(AN5="YES", VLOOKUP(AN$1,_Fan!$N:$Q,2,FALSE), 0)</f>
        <v>0</v>
      </c>
      <c r="AP5" s="439">
        <f>IF(AN5="YES", VLOOKUP(AN$1,_Fan!$N:$Q,3,FALSE), 0)</f>
        <v>0</v>
      </c>
      <c r="AQ5" s="430"/>
      <c r="AR5" s="439">
        <f>IF(AQ5="YES", VLOOKUP(AQ$1,_Fan!$N:$Q,2,FALSE), 0)</f>
        <v>0</v>
      </c>
      <c r="AS5" s="439">
        <f>IF(AQ5="YES", VLOOKUP(AQ$1,_Fan!$N:$Q,3,FALSE), 0)</f>
        <v>0</v>
      </c>
      <c r="AT5" s="430"/>
      <c r="AU5" s="439">
        <f>IF(AT5="YES", VLOOKUP(AT$1,_Fan!$N:$Q,2,FALSE), 0)</f>
        <v>0</v>
      </c>
      <c r="AV5" s="439">
        <f>IF(AT5="YES", VLOOKUP(AT$1,_Fan!$N:$Q,3,FALSE), 0)</f>
        <v>0</v>
      </c>
      <c r="AW5" s="430"/>
      <c r="AX5" s="439">
        <f>IFERROR(VLOOKUP(AW5,_Fan!$N:$Q,2,FALSE),0)</f>
        <v>0</v>
      </c>
      <c r="AY5" s="439">
        <f>IFERROR(VLOOKUP(AW5,_Fan!$N:$Q,3,FALSE),0)</f>
        <v>0</v>
      </c>
      <c r="AZ5" s="430"/>
      <c r="BA5" s="439">
        <f>IF(AZ5="YES", VLOOKUP(AZ$1,_Fan!$N:$Q,2,FALSE), 0)</f>
        <v>0</v>
      </c>
      <c r="BB5" s="439">
        <f>IF(AZ5="YES", VLOOKUP(AZ$1,_Fan!$N:$Q,3,FALSE), 0)</f>
        <v>0</v>
      </c>
      <c r="BC5" s="430"/>
      <c r="BD5" s="430"/>
      <c r="BE5" s="430"/>
      <c r="BF5" s="430"/>
      <c r="BG5" s="430"/>
      <c r="BH5" s="430"/>
      <c r="BI5" s="430"/>
      <c r="BJ5" s="430"/>
      <c r="BK5" s="430"/>
      <c r="BL5" s="430"/>
      <c r="BM5" s="430"/>
      <c r="BN5" s="430"/>
      <c r="BO5" s="430"/>
      <c r="BP5" s="430"/>
      <c r="BQ5" s="430"/>
      <c r="BR5" s="430"/>
    </row>
    <row r="6" spans="1:70" x14ac:dyDescent="0.4">
      <c r="A6" s="429" t="str">
        <f t="shared" si="0"/>
        <v>INVALID</v>
      </c>
      <c r="B6" s="430" t="str">
        <f t="shared" si="3"/>
        <v>Fan 5</v>
      </c>
      <c r="C6" s="431">
        <f t="shared" si="4"/>
        <v>0</v>
      </c>
      <c r="D6" s="430">
        <f t="shared" si="5"/>
        <v>0</v>
      </c>
      <c r="E6" s="430"/>
      <c r="F6" s="430">
        <f t="shared" si="1"/>
        <v>0</v>
      </c>
      <c r="G6" s="430"/>
      <c r="H6" s="430"/>
      <c r="I6" s="430">
        <f t="shared" si="6"/>
        <v>0</v>
      </c>
      <c r="J6" s="430">
        <f t="shared" si="7"/>
        <v>0</v>
      </c>
      <c r="K6" s="430">
        <f>IF(AW6="VSD",(VLOOKUP("Switchboard Cable 1mm",'Part List'!$A:$G,3,FALSE)+VLOOKUP("2.5mm Twin and Earth",'Part List'!$A:$G,3,FALSE)*2),IF(AW6="KEF",(VLOOKUP("7030 2 pair TCAS7302P",'Part List'!$A:$G,3,FALSE) + VLOOKUP("4mm Cable 3 core and Earth",'Part List'!$A:$G,3,FALSE)),VLOOKUP("2.5mm Twin and Earth",'Part List'!$A:$G,3,FALSE)))</f>
        <v>0.85</v>
      </c>
      <c r="L6" s="430">
        <f t="shared" si="8"/>
        <v>0</v>
      </c>
      <c r="M6" s="430">
        <f>IF(AW6="VSD",(VLOOKUP("Switchboard Cable 1mm",'Part List'!$A:$G,5,FALSE)+VLOOKUP("2.5mm Twin and Earth",'Part List'!$A:$G,5,FALSE)*2),IF(AW6="KEF",(VLOOKUP("7030 2 pair TCAS7302P",'Part List'!$A:$G,5,FALSE) + VLOOKUP("4mm Cable 3 core and Earth",'Part List'!$A:$G,5,FALSE)),VLOOKUP("2.5mm Twin and Earth",'Part List'!$A:$G,5,FALSE)))</f>
        <v>0.1</v>
      </c>
      <c r="N6" s="430">
        <f t="shared" si="2"/>
        <v>0</v>
      </c>
      <c r="O6" s="430"/>
      <c r="P6" s="438"/>
      <c r="Q6" s="439">
        <f>IFERROR(VLOOKUP(P6,_Fan!$N:$Q,2,FALSE),0)</f>
        <v>0</v>
      </c>
      <c r="R6" s="439">
        <f>IFERROR(VLOOKUP(P6,_Fan!$N:$Q,3,FALSE),0)</f>
        <v>0</v>
      </c>
      <c r="S6" s="430"/>
      <c r="T6" s="439">
        <f>IF(S6="YES", VLOOKUP(S$1,_Fan!$N:$Q,2,FALSE), 0)</f>
        <v>0</v>
      </c>
      <c r="U6" s="439">
        <f>IF(S6="YES", VLOOKUP(S$1,_Fan!$N:$Q,3,FALSE), 0)</f>
        <v>0</v>
      </c>
      <c r="V6" s="430"/>
      <c r="W6" s="439">
        <f>IF(V6="YES", VLOOKUP(V$1,_Fan!$N:$Q,2,FALSE), 0)</f>
        <v>0</v>
      </c>
      <c r="X6" s="439">
        <f>IF(V6="YES", VLOOKUP(V$1,_Fan!$N:$Q,3,FALSE), 0)</f>
        <v>0</v>
      </c>
      <c r="Y6" s="430"/>
      <c r="Z6" s="439">
        <f>IFERROR(VLOOKUP(Y6,_Fan!$N:$Q,2,FALSE),0)</f>
        <v>0</v>
      </c>
      <c r="AA6" s="439">
        <f>IFERROR(VLOOKUP(Y6,_Fan!$N:$Q,3,FALSE),0)</f>
        <v>0</v>
      </c>
      <c r="AB6" s="430" t="s">
        <v>886</v>
      </c>
      <c r="AC6" s="439">
        <f>IF(AB6="YES", VLOOKUP(AB$1,_Fan!$N:$Q,2,FALSE), 0)</f>
        <v>0</v>
      </c>
      <c r="AD6" s="439">
        <f>IF(AB6="YES", VLOOKUP(AB$1,_Fan!$N:$Q,3,FALSE), 0)</f>
        <v>0</v>
      </c>
      <c r="AE6" s="430" t="s">
        <v>886</v>
      </c>
      <c r="AF6" s="439">
        <f>IF(AE6="YES", VLOOKUP(AE$1,_Fan!$N:$Q,2,FALSE), 0)</f>
        <v>0</v>
      </c>
      <c r="AG6" s="439">
        <f>IF(AE6="YES", VLOOKUP(AE$1,_Fan!$N:$Q,3,FALSE), 0)</f>
        <v>0</v>
      </c>
      <c r="AH6" s="430" t="s">
        <v>886</v>
      </c>
      <c r="AI6" s="439">
        <f>IF(AH6="YES", VLOOKUP(AH$1,_Fan!$N:$Q,2,FALSE), 0)</f>
        <v>0</v>
      </c>
      <c r="AJ6" s="439">
        <f>IF(AH6="YES", VLOOKUP(AH$1,_Fan!$N:$Q,3,FALSE), 0)</f>
        <v>0</v>
      </c>
      <c r="AK6" s="430"/>
      <c r="AL6" s="439">
        <f>IF(AK6="YES", VLOOKUP(AK$1,_Fan!$N:$Q,2,FALSE), 0)</f>
        <v>0</v>
      </c>
      <c r="AM6" s="439">
        <f>IF(AK6="YES", VLOOKUP(AK$1,_Fan!$N:$Q,3,FALSE), 0)</f>
        <v>0</v>
      </c>
      <c r="AN6" s="430"/>
      <c r="AO6" s="439">
        <f>IF(AN6="YES", VLOOKUP(AN$1,_Fan!$N:$Q,2,FALSE), 0)</f>
        <v>0</v>
      </c>
      <c r="AP6" s="439">
        <f>IF(AN6="YES", VLOOKUP(AN$1,_Fan!$N:$Q,3,FALSE), 0)</f>
        <v>0</v>
      </c>
      <c r="AQ6" s="430"/>
      <c r="AR6" s="439">
        <f>IF(AQ6="YES", VLOOKUP(AQ$1,_Fan!$N:$Q,2,FALSE), 0)</f>
        <v>0</v>
      </c>
      <c r="AS6" s="439">
        <f>IF(AQ6="YES", VLOOKUP(AQ$1,_Fan!$N:$Q,3,FALSE), 0)</f>
        <v>0</v>
      </c>
      <c r="AT6" s="430"/>
      <c r="AU6" s="439">
        <f>IF(AT6="YES", VLOOKUP(AT$1,_Fan!$N:$Q,2,FALSE), 0)</f>
        <v>0</v>
      </c>
      <c r="AV6" s="439">
        <f>IF(AT6="YES", VLOOKUP(AT$1,_Fan!$N:$Q,3,FALSE), 0)</f>
        <v>0</v>
      </c>
      <c r="AW6" s="430"/>
      <c r="AX6" s="439">
        <f>IFERROR(VLOOKUP(AW6,_Fan!$N:$Q,2,FALSE),0)</f>
        <v>0</v>
      </c>
      <c r="AY6" s="439">
        <f>IFERROR(VLOOKUP(AW6,_Fan!$N:$Q,3,FALSE),0)</f>
        <v>0</v>
      </c>
      <c r="AZ6" s="430"/>
      <c r="BA6" s="439">
        <f>IF(AZ6="YES", VLOOKUP(AZ$1,_Fan!$N:$Q,2,FALSE), 0)</f>
        <v>0</v>
      </c>
      <c r="BB6" s="439">
        <f>IF(AZ6="YES", VLOOKUP(AZ$1,_Fan!$N:$Q,3,FALSE), 0)</f>
        <v>0</v>
      </c>
      <c r="BC6" s="430"/>
      <c r="BD6" s="430"/>
      <c r="BE6" s="430"/>
      <c r="BF6" s="430"/>
      <c r="BG6" s="430"/>
      <c r="BH6" s="430"/>
      <c r="BI6" s="430"/>
      <c r="BJ6" s="430"/>
      <c r="BK6" s="430"/>
      <c r="BL6" s="430"/>
      <c r="BM6" s="430"/>
      <c r="BN6" s="430"/>
      <c r="BO6" s="430"/>
      <c r="BP6" s="430"/>
      <c r="BQ6" s="430"/>
      <c r="BR6" s="430"/>
    </row>
    <row r="7" spans="1:70" x14ac:dyDescent="0.4">
      <c r="A7" s="429" t="str">
        <f t="shared" si="0"/>
        <v>INVALID</v>
      </c>
      <c r="B7" s="430" t="str">
        <f t="shared" si="3"/>
        <v>Fan 6</v>
      </c>
      <c r="C7" s="431">
        <f t="shared" si="4"/>
        <v>0</v>
      </c>
      <c r="D7" s="430">
        <f t="shared" si="5"/>
        <v>0</v>
      </c>
      <c r="E7" s="430"/>
      <c r="F7" s="430">
        <f t="shared" si="1"/>
        <v>0</v>
      </c>
      <c r="G7" s="430"/>
      <c r="H7" s="430"/>
      <c r="I7" s="430">
        <f t="shared" si="6"/>
        <v>0</v>
      </c>
      <c r="J7" s="430">
        <f t="shared" si="7"/>
        <v>0</v>
      </c>
      <c r="K7" s="430">
        <f>IF(AW7="VSD",(VLOOKUP("Switchboard Cable 1mm",'Part List'!$A:$G,3,FALSE)+VLOOKUP("2.5mm Twin and Earth",'Part List'!$A:$G,3,FALSE)*2),IF(AW7="KEF",(VLOOKUP("7030 2 pair TCAS7302P",'Part List'!$A:$G,3,FALSE) + VLOOKUP("4mm Cable 3 core and Earth",'Part List'!$A:$G,3,FALSE)),VLOOKUP("2.5mm Twin and Earth",'Part List'!$A:$G,3,FALSE)))</f>
        <v>0.85</v>
      </c>
      <c r="L7" s="430">
        <f t="shared" si="8"/>
        <v>0</v>
      </c>
      <c r="M7" s="430">
        <f>IF(AW7="VSD",(VLOOKUP("Switchboard Cable 1mm",'Part List'!$A:$G,5,FALSE)+VLOOKUP("2.5mm Twin and Earth",'Part List'!$A:$G,5,FALSE)*2),IF(AW7="KEF",(VLOOKUP("7030 2 pair TCAS7302P",'Part List'!$A:$G,5,FALSE) + VLOOKUP("4mm Cable 3 core and Earth",'Part List'!$A:$G,5,FALSE)),VLOOKUP("2.5mm Twin and Earth",'Part List'!$A:$G,5,FALSE)))</f>
        <v>0.1</v>
      </c>
      <c r="N7" s="430">
        <f t="shared" si="2"/>
        <v>0</v>
      </c>
      <c r="O7" s="430"/>
      <c r="P7" s="438"/>
      <c r="Q7" s="439">
        <f>IFERROR(VLOOKUP(P7,_Fan!$N:$Q,2,FALSE),0)</f>
        <v>0</v>
      </c>
      <c r="R7" s="439">
        <f>IFERROR(VLOOKUP(P7,_Fan!$N:$Q,3,FALSE),0)</f>
        <v>0</v>
      </c>
      <c r="S7" s="438"/>
      <c r="T7" s="439">
        <f>IF(S7="YES", VLOOKUP(S$1,_Fan!$N:$Q,2,FALSE), 0)</f>
        <v>0</v>
      </c>
      <c r="U7" s="439">
        <f>IF(S7="YES", VLOOKUP(S$1,_Fan!$N:$Q,3,FALSE), 0)</f>
        <v>0</v>
      </c>
      <c r="V7" s="438"/>
      <c r="W7" s="439">
        <f>IF(V7="YES", VLOOKUP(V$1,_Fan!$N:$Q,2,FALSE), 0)</f>
        <v>0</v>
      </c>
      <c r="X7" s="439">
        <f>IF(V7="YES", VLOOKUP(V$1,_Fan!$N:$Q,3,FALSE), 0)</f>
        <v>0</v>
      </c>
      <c r="Y7" s="438"/>
      <c r="Z7" s="439">
        <f>IFERROR(VLOOKUP(Y7,_Fan!$N:$Q,2,FALSE),0)</f>
        <v>0</v>
      </c>
      <c r="AA7" s="439">
        <f>IFERROR(VLOOKUP(Y7,_Fan!$N:$Q,3,FALSE),0)</f>
        <v>0</v>
      </c>
      <c r="AB7" s="438"/>
      <c r="AC7" s="439">
        <f>IF(AB7="YES", VLOOKUP(AB$1,_Fan!$N:$Q,2,FALSE), 0)</f>
        <v>0</v>
      </c>
      <c r="AD7" s="439">
        <f>IF(AB7="YES", VLOOKUP(AB$1,_Fan!$N:$Q,3,FALSE), 0)</f>
        <v>0</v>
      </c>
      <c r="AE7" s="438"/>
      <c r="AF7" s="439">
        <f>IF(AE7="YES", VLOOKUP(AE$1,_Fan!$N:$Q,2,FALSE), 0)</f>
        <v>0</v>
      </c>
      <c r="AG7" s="439">
        <f>IF(AE7="YES", VLOOKUP(AE$1,_Fan!$N:$Q,3,FALSE), 0)</f>
        <v>0</v>
      </c>
      <c r="AH7" s="438"/>
      <c r="AI7" s="439">
        <f>IF(AH7="YES", VLOOKUP(AH$1,_Fan!$N:$Q,2,FALSE), 0)</f>
        <v>0</v>
      </c>
      <c r="AJ7" s="439">
        <f>IF(AH7="YES", VLOOKUP(AH$1,_Fan!$N:$Q,3,FALSE), 0)</f>
        <v>0</v>
      </c>
      <c r="AK7" s="438"/>
      <c r="AL7" s="439">
        <f>IF(AK7="YES", VLOOKUP(AK$1,_Fan!$N:$Q,2,FALSE), 0)</f>
        <v>0</v>
      </c>
      <c r="AM7" s="439">
        <f>IF(AK7="YES", VLOOKUP(AK$1,_Fan!$N:$Q,3,FALSE), 0)</f>
        <v>0</v>
      </c>
      <c r="AN7" s="438"/>
      <c r="AO7" s="439">
        <f>IF(AN7="YES", VLOOKUP(AN$1,_Fan!$N:$Q,2,FALSE), 0)</f>
        <v>0</v>
      </c>
      <c r="AP7" s="439">
        <f>IF(AN7="YES", VLOOKUP(AN$1,_Fan!$N:$Q,3,FALSE), 0)</f>
        <v>0</v>
      </c>
      <c r="AQ7" s="438"/>
      <c r="AR7" s="439">
        <f>IF(AQ7="YES", VLOOKUP(AQ$1,_Fan!$N:$Q,2,FALSE), 0)</f>
        <v>0</v>
      </c>
      <c r="AS7" s="439">
        <f>IF(AQ7="YES", VLOOKUP(AQ$1,_Fan!$N:$Q,3,FALSE), 0)</f>
        <v>0</v>
      </c>
      <c r="AT7" s="438"/>
      <c r="AU7" s="439">
        <f>IF(AT7="YES", VLOOKUP(AT$1,_Fan!$N:$Q,2,FALSE), 0)</f>
        <v>0</v>
      </c>
      <c r="AV7" s="439">
        <f>IF(AT7="YES", VLOOKUP(AT$1,_Fan!$N:$Q,3,FALSE), 0)</f>
        <v>0</v>
      </c>
      <c r="AW7" s="438"/>
      <c r="AX7" s="439">
        <f>IFERROR(VLOOKUP(AW7,_Fan!$N:$Q,2,FALSE),0)</f>
        <v>0</v>
      </c>
      <c r="AY7" s="439">
        <f>IFERROR(VLOOKUP(AW7,_Fan!$N:$Q,3,FALSE),0)</f>
        <v>0</v>
      </c>
      <c r="AZ7" s="438"/>
      <c r="BA7" s="439">
        <f>IF(AZ7="YES", VLOOKUP(AZ$1,_Fan!$N:$Q,2,FALSE), 0)</f>
        <v>0</v>
      </c>
      <c r="BB7" s="439">
        <f>IF(AZ7="YES", VLOOKUP(AZ$1,_Fan!$N:$Q,3,FALSE), 0)</f>
        <v>0</v>
      </c>
      <c r="BC7" s="430"/>
      <c r="BD7" s="430"/>
      <c r="BE7" s="430"/>
      <c r="BF7" s="430"/>
      <c r="BG7" s="430"/>
      <c r="BH7" s="430"/>
      <c r="BI7" s="430"/>
      <c r="BJ7" s="430"/>
      <c r="BK7" s="430"/>
      <c r="BL7" s="430"/>
      <c r="BM7" s="430"/>
      <c r="BN7" s="430"/>
      <c r="BO7" s="430"/>
      <c r="BP7" s="430"/>
      <c r="BQ7" s="430"/>
      <c r="BR7" s="430"/>
    </row>
    <row r="8" spans="1:70" x14ac:dyDescent="0.4">
      <c r="A8" s="429" t="str">
        <f t="shared" si="0"/>
        <v>INVALID</v>
      </c>
      <c r="B8" s="430" t="str">
        <f t="shared" si="3"/>
        <v>Fan 7</v>
      </c>
      <c r="C8" s="431">
        <f t="shared" si="4"/>
        <v>0</v>
      </c>
      <c r="D8" s="430">
        <f t="shared" si="5"/>
        <v>0</v>
      </c>
      <c r="E8" s="430"/>
      <c r="F8" s="430">
        <f t="shared" si="1"/>
        <v>0</v>
      </c>
      <c r="G8" s="430"/>
      <c r="H8" s="430"/>
      <c r="I8" s="430">
        <f t="shared" si="6"/>
        <v>0</v>
      </c>
      <c r="J8" s="430">
        <f t="shared" si="7"/>
        <v>0</v>
      </c>
      <c r="K8" s="430">
        <f>IF(AW8="VSD",(VLOOKUP("Switchboard Cable 1mm",'Part List'!$A:$G,3,FALSE)+VLOOKUP("2.5mm Twin and Earth",'Part List'!$A:$G,3,FALSE)*2),IF(AW8="KEF",(VLOOKUP("7030 2 pair TCAS7302P",'Part List'!$A:$G,3,FALSE) + VLOOKUP("4mm Cable 3 core and Earth",'Part List'!$A:$G,3,FALSE)),VLOOKUP("2.5mm Twin and Earth",'Part List'!$A:$G,3,FALSE)))</f>
        <v>0.85</v>
      </c>
      <c r="L8" s="430">
        <f t="shared" si="8"/>
        <v>0</v>
      </c>
      <c r="M8" s="430">
        <f>IF(AW8="VSD",(VLOOKUP("Switchboard Cable 1mm",'Part List'!$A:$G,5,FALSE)+VLOOKUP("2.5mm Twin and Earth",'Part List'!$A:$G,5,FALSE)*2),IF(AW8="KEF",(VLOOKUP("7030 2 pair TCAS7302P",'Part List'!$A:$G,5,FALSE) + VLOOKUP("4mm Cable 3 core and Earth",'Part List'!$A:$G,5,FALSE)),VLOOKUP("2.5mm Twin and Earth",'Part List'!$A:$G,5,FALSE)))</f>
        <v>0.1</v>
      </c>
      <c r="N8" s="430">
        <f t="shared" si="2"/>
        <v>0</v>
      </c>
      <c r="O8" s="430"/>
      <c r="P8" s="438"/>
      <c r="Q8" s="439">
        <f>IFERROR(VLOOKUP(P8,_Fan!$N:$Q,2,FALSE),0)</f>
        <v>0</v>
      </c>
      <c r="R8" s="439">
        <f>IFERROR(VLOOKUP(P8,_Fan!$N:$Q,3,FALSE),0)</f>
        <v>0</v>
      </c>
      <c r="S8" s="438"/>
      <c r="T8" s="439">
        <f>IF(S8="YES", VLOOKUP(S$1,_Fan!$N:$Q,2,FALSE), 0)</f>
        <v>0</v>
      </c>
      <c r="U8" s="439">
        <f>IF(S8="YES", VLOOKUP(S$1,_Fan!$N:$Q,3,FALSE), 0)</f>
        <v>0</v>
      </c>
      <c r="V8" s="438"/>
      <c r="W8" s="439">
        <f>IF(V8="YES", VLOOKUP(V$1,_Fan!$N:$Q,2,FALSE), 0)</f>
        <v>0</v>
      </c>
      <c r="X8" s="439">
        <f>IF(V8="YES", VLOOKUP(V$1,_Fan!$N:$Q,3,FALSE), 0)</f>
        <v>0</v>
      </c>
      <c r="Y8" s="438"/>
      <c r="Z8" s="439">
        <f>IFERROR(VLOOKUP(Y8,_Fan!$N:$Q,2,FALSE),0)</f>
        <v>0</v>
      </c>
      <c r="AA8" s="439">
        <f>IFERROR(VLOOKUP(Y8,_Fan!$N:$Q,3,FALSE),0)</f>
        <v>0</v>
      </c>
      <c r="AB8" s="438"/>
      <c r="AC8" s="439">
        <f>IF(AB8="YES", VLOOKUP(AB$1,_Fan!$N:$Q,2,FALSE), 0)</f>
        <v>0</v>
      </c>
      <c r="AD8" s="439">
        <f>IF(AB8="YES", VLOOKUP(AB$1,_Fan!$N:$Q,3,FALSE), 0)</f>
        <v>0</v>
      </c>
      <c r="AE8" s="438"/>
      <c r="AF8" s="439">
        <f>IF(AE8="YES", VLOOKUP(AE$1,_Fan!$N:$Q,2,FALSE), 0)</f>
        <v>0</v>
      </c>
      <c r="AG8" s="439">
        <f>IF(AE8="YES", VLOOKUP(AE$1,_Fan!$N:$Q,3,FALSE), 0)</f>
        <v>0</v>
      </c>
      <c r="AH8" s="438"/>
      <c r="AI8" s="439">
        <f>IF(AH8="YES", VLOOKUP(AH$1,_Fan!$N:$Q,2,FALSE), 0)</f>
        <v>0</v>
      </c>
      <c r="AJ8" s="439">
        <f>IF(AH8="YES", VLOOKUP(AH$1,_Fan!$N:$Q,3,FALSE), 0)</f>
        <v>0</v>
      </c>
      <c r="AK8" s="438"/>
      <c r="AL8" s="439">
        <f>IF(AK8="YES", VLOOKUP(AK$1,_Fan!$N:$Q,2,FALSE), 0)</f>
        <v>0</v>
      </c>
      <c r="AM8" s="439">
        <f>IF(AK8="YES", VLOOKUP(AK$1,_Fan!$N:$Q,3,FALSE), 0)</f>
        <v>0</v>
      </c>
      <c r="AN8" s="438"/>
      <c r="AO8" s="439">
        <f>IF(AN8="YES", VLOOKUP(AN$1,_Fan!$N:$Q,2,FALSE), 0)</f>
        <v>0</v>
      </c>
      <c r="AP8" s="439">
        <f>IF(AN8="YES", VLOOKUP(AN$1,_Fan!$N:$Q,3,FALSE), 0)</f>
        <v>0</v>
      </c>
      <c r="AQ8" s="438"/>
      <c r="AR8" s="439">
        <f>IF(AQ8="YES", VLOOKUP(AQ$1,_Fan!$N:$Q,2,FALSE), 0)</f>
        <v>0</v>
      </c>
      <c r="AS8" s="439">
        <f>IF(AQ8="YES", VLOOKUP(AQ$1,_Fan!$N:$Q,3,FALSE), 0)</f>
        <v>0</v>
      </c>
      <c r="AT8" s="438"/>
      <c r="AU8" s="439">
        <f>IF(AT8="YES", VLOOKUP(AT$1,_Fan!$N:$Q,2,FALSE), 0)</f>
        <v>0</v>
      </c>
      <c r="AV8" s="439">
        <f>IF(AT8="YES", VLOOKUP(AT$1,_Fan!$N:$Q,3,FALSE), 0)</f>
        <v>0</v>
      </c>
      <c r="AW8" s="438"/>
      <c r="AX8" s="439">
        <f>IFERROR(VLOOKUP(AW8,_Fan!$N:$Q,2,FALSE),0)</f>
        <v>0</v>
      </c>
      <c r="AY8" s="439">
        <f>IFERROR(VLOOKUP(AW8,_Fan!$N:$Q,3,FALSE),0)</f>
        <v>0</v>
      </c>
      <c r="AZ8" s="438"/>
      <c r="BA8" s="439">
        <f>IF(AZ8="YES", VLOOKUP(AZ$1,_Fan!$N:$Q,2,FALSE), 0)</f>
        <v>0</v>
      </c>
      <c r="BB8" s="439">
        <f>IF(AZ8="YES", VLOOKUP(AZ$1,_Fan!$N:$Q,3,FALSE), 0)</f>
        <v>0</v>
      </c>
      <c r="BC8" s="430"/>
      <c r="BD8" s="430"/>
      <c r="BE8" s="430"/>
      <c r="BF8" s="430"/>
      <c r="BG8" s="430"/>
      <c r="BH8" s="430"/>
      <c r="BI8" s="430"/>
      <c r="BJ8" s="430"/>
      <c r="BK8" s="430"/>
      <c r="BL8" s="430"/>
      <c r="BM8" s="430"/>
      <c r="BN8" s="430"/>
      <c r="BO8" s="430"/>
      <c r="BP8" s="430"/>
      <c r="BQ8" s="430"/>
      <c r="BR8" s="430"/>
    </row>
    <row r="9" spans="1:70" x14ac:dyDescent="0.4">
      <c r="A9" s="429" t="str">
        <f t="shared" si="0"/>
        <v>INVALID</v>
      </c>
      <c r="B9" s="430" t="str">
        <f t="shared" si="3"/>
        <v>Fan 8</v>
      </c>
      <c r="C9" s="431">
        <f t="shared" si="4"/>
        <v>0</v>
      </c>
      <c r="D9" s="430">
        <f t="shared" si="5"/>
        <v>0</v>
      </c>
      <c r="E9" s="430"/>
      <c r="F9" s="430">
        <f t="shared" si="1"/>
        <v>0</v>
      </c>
      <c r="G9" s="430"/>
      <c r="H9" s="430"/>
      <c r="I9" s="430">
        <f t="shared" si="6"/>
        <v>0</v>
      </c>
      <c r="J9" s="430">
        <f t="shared" si="7"/>
        <v>0</v>
      </c>
      <c r="K9" s="430">
        <f>IF(AW9="VSD",(VLOOKUP("Switchboard Cable 1mm",'Part List'!$A:$G,3,FALSE)+VLOOKUP("2.5mm Twin and Earth",'Part List'!$A:$G,3,FALSE)*2),IF(AW9="KEF",(VLOOKUP("7030 2 pair TCAS7302P",'Part List'!$A:$G,3,FALSE) + VLOOKUP("4mm Cable 3 core and Earth",'Part List'!$A:$G,3,FALSE)),VLOOKUP("2.5mm Twin and Earth",'Part List'!$A:$G,3,FALSE)))</f>
        <v>0.85</v>
      </c>
      <c r="L9" s="430">
        <f t="shared" si="8"/>
        <v>0</v>
      </c>
      <c r="M9" s="430">
        <f>IF(AW9="VSD",(VLOOKUP("Switchboard Cable 1mm",'Part List'!$A:$G,5,FALSE)+VLOOKUP("2.5mm Twin and Earth",'Part List'!$A:$G,5,FALSE)*2),IF(AW9="KEF",(VLOOKUP("7030 2 pair TCAS7302P",'Part List'!$A:$G,5,FALSE) + VLOOKUP("4mm Cable 3 core and Earth",'Part List'!$A:$G,5,FALSE)),VLOOKUP("2.5mm Twin and Earth",'Part List'!$A:$G,5,FALSE)))</f>
        <v>0.1</v>
      </c>
      <c r="N9" s="430">
        <f t="shared" si="2"/>
        <v>0</v>
      </c>
      <c r="O9" s="430"/>
      <c r="P9" s="438"/>
      <c r="Q9" s="439">
        <f>IFERROR(VLOOKUP(P9,_Fan!$N:$Q,2,FALSE),0)</f>
        <v>0</v>
      </c>
      <c r="R9" s="439">
        <f>IFERROR(VLOOKUP(P9,_Fan!$N:$Q,3,FALSE),0)</f>
        <v>0</v>
      </c>
      <c r="S9" s="438"/>
      <c r="T9" s="439">
        <f>IF(S9="YES", VLOOKUP(S$1,_Fan!$N:$Q,2,FALSE), 0)</f>
        <v>0</v>
      </c>
      <c r="U9" s="439">
        <f>IF(S9="YES", VLOOKUP(S$1,_Fan!$N:$Q,3,FALSE), 0)</f>
        <v>0</v>
      </c>
      <c r="V9" s="438"/>
      <c r="W9" s="439">
        <f>IF(V9="YES", VLOOKUP(V$1,_Fan!$N:$Q,2,FALSE), 0)</f>
        <v>0</v>
      </c>
      <c r="X9" s="439">
        <f>IF(V9="YES", VLOOKUP(V$1,_Fan!$N:$Q,3,FALSE), 0)</f>
        <v>0</v>
      </c>
      <c r="Y9" s="438"/>
      <c r="Z9" s="439">
        <f>IFERROR(VLOOKUP(Y9,_Fan!$N:$Q,2,FALSE),0)</f>
        <v>0</v>
      </c>
      <c r="AA9" s="439">
        <f>IFERROR(VLOOKUP(Y9,_Fan!$N:$Q,3,FALSE),0)</f>
        <v>0</v>
      </c>
      <c r="AB9" s="438"/>
      <c r="AC9" s="439">
        <f>IF(AB9="YES", VLOOKUP(AB$1,_Fan!$N:$Q,2,FALSE), 0)</f>
        <v>0</v>
      </c>
      <c r="AD9" s="439">
        <f>IF(AB9="YES", VLOOKUP(AB$1,_Fan!$N:$Q,3,FALSE), 0)</f>
        <v>0</v>
      </c>
      <c r="AE9" s="438"/>
      <c r="AF9" s="439">
        <f>IF(AE9="YES", VLOOKUP(AE$1,_Fan!$N:$Q,2,FALSE), 0)</f>
        <v>0</v>
      </c>
      <c r="AG9" s="439">
        <f>IF(AE9="YES", VLOOKUP(AE$1,_Fan!$N:$Q,3,FALSE), 0)</f>
        <v>0</v>
      </c>
      <c r="AH9" s="438"/>
      <c r="AI9" s="439">
        <f>IF(AH9="YES", VLOOKUP(AH$1,_Fan!$N:$Q,2,FALSE), 0)</f>
        <v>0</v>
      </c>
      <c r="AJ9" s="439">
        <f>IF(AH9="YES", VLOOKUP(AH$1,_Fan!$N:$Q,3,FALSE), 0)</f>
        <v>0</v>
      </c>
      <c r="AK9" s="438"/>
      <c r="AL9" s="439">
        <f>IF(AK9="YES", VLOOKUP(AK$1,_Fan!$N:$Q,2,FALSE), 0)</f>
        <v>0</v>
      </c>
      <c r="AM9" s="439">
        <f>IF(AK9="YES", VLOOKUP(AK$1,_Fan!$N:$Q,3,FALSE), 0)</f>
        <v>0</v>
      </c>
      <c r="AN9" s="438"/>
      <c r="AO9" s="439">
        <f>IF(AN9="YES", VLOOKUP(AN$1,_Fan!$N:$Q,2,FALSE), 0)</f>
        <v>0</v>
      </c>
      <c r="AP9" s="439">
        <f>IF(AN9="YES", VLOOKUP(AN$1,_Fan!$N:$Q,3,FALSE), 0)</f>
        <v>0</v>
      </c>
      <c r="AQ9" s="438"/>
      <c r="AR9" s="439">
        <f>IF(AQ9="YES", VLOOKUP(AQ$1,_Fan!$N:$Q,2,FALSE), 0)</f>
        <v>0</v>
      </c>
      <c r="AS9" s="439">
        <f>IF(AQ9="YES", VLOOKUP(AQ$1,_Fan!$N:$Q,3,FALSE), 0)</f>
        <v>0</v>
      </c>
      <c r="AT9" s="438"/>
      <c r="AU9" s="439">
        <f>IF(AT9="YES", VLOOKUP(AT$1,_Fan!$N:$Q,2,FALSE), 0)</f>
        <v>0</v>
      </c>
      <c r="AV9" s="439">
        <f>IF(AT9="YES", VLOOKUP(AT$1,_Fan!$N:$Q,3,FALSE), 0)</f>
        <v>0</v>
      </c>
      <c r="AW9" s="438"/>
      <c r="AX9" s="439">
        <f>IFERROR(VLOOKUP(AW9,_Fan!$N:$Q,2,FALSE),0)</f>
        <v>0</v>
      </c>
      <c r="AY9" s="439">
        <f>IFERROR(VLOOKUP(AW9,_Fan!$N:$Q,3,FALSE),0)</f>
        <v>0</v>
      </c>
      <c r="AZ9" s="438"/>
      <c r="BA9" s="439">
        <f>IF(AZ9="YES", VLOOKUP(AZ$1,_Fan!$N:$Q,2,FALSE), 0)</f>
        <v>0</v>
      </c>
      <c r="BB9" s="439">
        <f>IF(AZ9="YES", VLOOKUP(AZ$1,_Fan!$N:$Q,3,FALSE), 0)</f>
        <v>0</v>
      </c>
      <c r="BC9" s="430"/>
      <c r="BD9" s="430"/>
      <c r="BE9" s="430"/>
      <c r="BF9" s="430"/>
      <c r="BG9" s="430"/>
      <c r="BH9" s="430"/>
      <c r="BI9" s="430"/>
      <c r="BJ9" s="430"/>
      <c r="BK9" s="430"/>
      <c r="BL9" s="430"/>
      <c r="BM9" s="430"/>
      <c r="BN9" s="430"/>
      <c r="BO9" s="430"/>
      <c r="BP9" s="430"/>
      <c r="BQ9" s="430"/>
      <c r="BR9" s="430"/>
    </row>
    <row r="10" spans="1:70" x14ac:dyDescent="0.4">
      <c r="A10" s="429" t="str">
        <f t="shared" si="0"/>
        <v>INVALID</v>
      </c>
      <c r="B10" s="430" t="str">
        <f t="shared" si="3"/>
        <v>Fan 9</v>
      </c>
      <c r="C10" s="431">
        <f t="shared" si="4"/>
        <v>0</v>
      </c>
      <c r="D10" s="430">
        <f t="shared" si="5"/>
        <v>0</v>
      </c>
      <c r="E10" s="430"/>
      <c r="F10" s="430">
        <f t="shared" si="1"/>
        <v>0</v>
      </c>
      <c r="G10" s="430"/>
      <c r="H10" s="430"/>
      <c r="I10" s="430">
        <f t="shared" si="6"/>
        <v>0</v>
      </c>
      <c r="J10" s="430">
        <f t="shared" si="7"/>
        <v>0</v>
      </c>
      <c r="K10" s="430">
        <f>IF(AW10="VSD",(VLOOKUP("Switchboard Cable 1mm",'Part List'!$A:$G,3,FALSE)+VLOOKUP("2.5mm Twin and Earth",'Part List'!$A:$G,3,FALSE)*2),IF(AW10="KEF",(VLOOKUP("7030 2 pair TCAS7302P",'Part List'!$A:$G,3,FALSE) + VLOOKUP("4mm Cable 3 core and Earth",'Part List'!$A:$G,3,FALSE)),VLOOKUP("2.5mm Twin and Earth",'Part List'!$A:$G,3,FALSE)))</f>
        <v>0.85</v>
      </c>
      <c r="L10" s="430">
        <f t="shared" si="8"/>
        <v>0</v>
      </c>
      <c r="M10" s="430">
        <f>IF(AW10="VSD",(VLOOKUP("Switchboard Cable 1mm",'Part List'!$A:$G,5,FALSE)+VLOOKUP("2.5mm Twin and Earth",'Part List'!$A:$G,5,FALSE)*2),IF(AW10="KEF",(VLOOKUP("7030 2 pair TCAS7302P",'Part List'!$A:$G,5,FALSE) + VLOOKUP("4mm Cable 3 core and Earth",'Part List'!$A:$G,5,FALSE)),VLOOKUP("2.5mm Twin and Earth",'Part List'!$A:$G,5,FALSE)))</f>
        <v>0.1</v>
      </c>
      <c r="N10" s="430">
        <f t="shared" si="2"/>
        <v>0</v>
      </c>
      <c r="O10" s="430"/>
      <c r="P10" s="438"/>
      <c r="Q10" s="439">
        <f>IFERROR(VLOOKUP(P10,_Fan!$N:$Q,2,FALSE),0)</f>
        <v>0</v>
      </c>
      <c r="R10" s="439">
        <f>IFERROR(VLOOKUP(P10,_Fan!$N:$Q,3,FALSE),0)</f>
        <v>0</v>
      </c>
      <c r="S10" s="438"/>
      <c r="T10" s="439">
        <f>IF(S10="YES", VLOOKUP(S$1,_Fan!$N:$Q,2,FALSE), 0)</f>
        <v>0</v>
      </c>
      <c r="U10" s="439">
        <f>IF(S10="YES", VLOOKUP(S$1,_Fan!$N:$Q,3,FALSE), 0)</f>
        <v>0</v>
      </c>
      <c r="V10" s="438"/>
      <c r="W10" s="439">
        <f>IF(V10="YES", VLOOKUP(V$1,_Fan!$N:$Q,2,FALSE), 0)</f>
        <v>0</v>
      </c>
      <c r="X10" s="439">
        <f>IF(V10="YES", VLOOKUP(V$1,_Fan!$N:$Q,3,FALSE), 0)</f>
        <v>0</v>
      </c>
      <c r="Y10" s="438"/>
      <c r="Z10" s="439">
        <f>IFERROR(VLOOKUP(Y10,_Fan!$N:$Q,2,FALSE),0)</f>
        <v>0</v>
      </c>
      <c r="AA10" s="439">
        <f>IFERROR(VLOOKUP(Y10,_Fan!$N:$Q,3,FALSE),0)</f>
        <v>0</v>
      </c>
      <c r="AB10" s="438"/>
      <c r="AC10" s="439">
        <f>IF(AB10="YES", VLOOKUP(AB$1,_Fan!$N:$Q,2,FALSE), 0)</f>
        <v>0</v>
      </c>
      <c r="AD10" s="439">
        <f>IF(AB10="YES", VLOOKUP(AB$1,_Fan!$N:$Q,3,FALSE), 0)</f>
        <v>0</v>
      </c>
      <c r="AE10" s="438"/>
      <c r="AF10" s="439">
        <f>IF(AE10="YES", VLOOKUP(AE$1,_Fan!$N:$Q,2,FALSE), 0)</f>
        <v>0</v>
      </c>
      <c r="AG10" s="439">
        <f>IF(AE10="YES", VLOOKUP(AE$1,_Fan!$N:$Q,3,FALSE), 0)</f>
        <v>0</v>
      </c>
      <c r="AH10" s="438"/>
      <c r="AI10" s="439">
        <f>IF(AH10="YES", VLOOKUP(AH$1,_Fan!$N:$Q,2,FALSE), 0)</f>
        <v>0</v>
      </c>
      <c r="AJ10" s="439">
        <f>IF(AH10="YES", VLOOKUP(AH$1,_Fan!$N:$Q,3,FALSE), 0)</f>
        <v>0</v>
      </c>
      <c r="AK10" s="438"/>
      <c r="AL10" s="439">
        <f>IF(AK10="YES", VLOOKUP(AK$1,_Fan!$N:$Q,2,FALSE), 0)</f>
        <v>0</v>
      </c>
      <c r="AM10" s="439">
        <f>IF(AK10="YES", VLOOKUP(AK$1,_Fan!$N:$Q,3,FALSE), 0)</f>
        <v>0</v>
      </c>
      <c r="AN10" s="438"/>
      <c r="AO10" s="439">
        <f>IF(AN10="YES", VLOOKUP(AN$1,_Fan!$N:$Q,2,FALSE), 0)</f>
        <v>0</v>
      </c>
      <c r="AP10" s="439">
        <f>IF(AN10="YES", VLOOKUP(AN$1,_Fan!$N:$Q,3,FALSE), 0)</f>
        <v>0</v>
      </c>
      <c r="AQ10" s="438"/>
      <c r="AR10" s="439">
        <f>IF(AQ10="YES", VLOOKUP(AQ$1,_Fan!$N:$Q,2,FALSE), 0)</f>
        <v>0</v>
      </c>
      <c r="AS10" s="439">
        <f>IF(AQ10="YES", VLOOKUP(AQ$1,_Fan!$N:$Q,3,FALSE), 0)</f>
        <v>0</v>
      </c>
      <c r="AT10" s="438"/>
      <c r="AU10" s="439">
        <f>IF(AT10="YES", VLOOKUP(AT$1,_Fan!$N:$Q,2,FALSE), 0)</f>
        <v>0</v>
      </c>
      <c r="AV10" s="439">
        <f>IF(AT10="YES", VLOOKUP(AT$1,_Fan!$N:$Q,3,FALSE), 0)</f>
        <v>0</v>
      </c>
      <c r="AW10" s="438"/>
      <c r="AX10" s="439">
        <f>IFERROR(VLOOKUP(AW10,_Fan!$N:$Q,2,FALSE),0)</f>
        <v>0</v>
      </c>
      <c r="AY10" s="439">
        <f>IFERROR(VLOOKUP(AW10,_Fan!$N:$Q,3,FALSE),0)</f>
        <v>0</v>
      </c>
      <c r="AZ10" s="438"/>
      <c r="BA10" s="439">
        <f>IF(AZ10="YES", VLOOKUP(AZ$1,_Fan!$N:$Q,2,FALSE), 0)</f>
        <v>0</v>
      </c>
      <c r="BB10" s="439">
        <f>IF(AZ10="YES", VLOOKUP(AZ$1,_Fan!$N:$Q,3,FALSE), 0)</f>
        <v>0</v>
      </c>
      <c r="BC10" s="430"/>
      <c r="BD10" s="430"/>
      <c r="BE10" s="430"/>
      <c r="BF10" s="430"/>
      <c r="BG10" s="430"/>
      <c r="BH10" s="430"/>
      <c r="BI10" s="430"/>
      <c r="BJ10" s="430"/>
      <c r="BK10" s="430"/>
      <c r="BL10" s="430"/>
      <c r="BM10" s="430"/>
      <c r="BN10" s="430"/>
      <c r="BO10" s="430"/>
      <c r="BP10" s="430"/>
      <c r="BQ10" s="430"/>
      <c r="BR10" s="430"/>
    </row>
    <row r="11" spans="1:70" x14ac:dyDescent="0.4">
      <c r="A11" s="429" t="str">
        <f t="shared" si="0"/>
        <v>INVALID</v>
      </c>
      <c r="B11" s="430" t="str">
        <f t="shared" si="3"/>
        <v>Fan 10</v>
      </c>
      <c r="C11" s="431">
        <f t="shared" si="4"/>
        <v>0</v>
      </c>
      <c r="D11" s="430">
        <f t="shared" si="5"/>
        <v>0</v>
      </c>
      <c r="E11" s="430"/>
      <c r="F11" s="430">
        <f t="shared" si="1"/>
        <v>0</v>
      </c>
      <c r="G11" s="430"/>
      <c r="H11" s="430"/>
      <c r="I11" s="430">
        <f t="shared" si="6"/>
        <v>0</v>
      </c>
      <c r="J11" s="430">
        <f t="shared" si="7"/>
        <v>0</v>
      </c>
      <c r="K11" s="430">
        <f>IF(AW11="VSD",(VLOOKUP("Switchboard Cable 1mm",'Part List'!$A:$G,3,FALSE)+VLOOKUP("2.5mm Twin and Earth",'Part List'!$A:$G,3,FALSE)*2),IF(AW11="KEF",(VLOOKUP("7030 2 pair TCAS7302P",'Part List'!$A:$G,3,FALSE) + VLOOKUP("4mm Cable 3 core and Earth",'Part List'!$A:$G,3,FALSE)),VLOOKUP("2.5mm Twin and Earth",'Part List'!$A:$G,3,FALSE)))</f>
        <v>0.85</v>
      </c>
      <c r="L11" s="430">
        <f t="shared" si="8"/>
        <v>0</v>
      </c>
      <c r="M11" s="430">
        <f>IF(AW11="VSD",(VLOOKUP("Switchboard Cable 1mm",'Part List'!$A:$G,5,FALSE)+VLOOKUP("2.5mm Twin and Earth",'Part List'!$A:$G,5,FALSE)*2),IF(AW11="KEF",(VLOOKUP("7030 2 pair TCAS7302P",'Part List'!$A:$G,5,FALSE) + VLOOKUP("4mm Cable 3 core and Earth",'Part List'!$A:$G,5,FALSE)),VLOOKUP("2.5mm Twin and Earth",'Part List'!$A:$G,5,FALSE)))</f>
        <v>0.1</v>
      </c>
      <c r="N11" s="430">
        <f t="shared" si="2"/>
        <v>0</v>
      </c>
      <c r="O11" s="430"/>
      <c r="P11" s="438"/>
      <c r="Q11" s="439">
        <f>IFERROR(VLOOKUP(P11,_Fan!$N:$Q,2,FALSE),0)</f>
        <v>0</v>
      </c>
      <c r="R11" s="439">
        <f>IFERROR(VLOOKUP(P11,_Fan!$N:$Q,3,FALSE),0)</f>
        <v>0</v>
      </c>
      <c r="S11" s="438"/>
      <c r="T11" s="439">
        <f>IF(S11="YES", VLOOKUP(S$1,_Fan!$N:$Q,2,FALSE), 0)</f>
        <v>0</v>
      </c>
      <c r="U11" s="439">
        <f>IF(S11="YES", VLOOKUP(S$1,_Fan!$N:$Q,3,FALSE), 0)</f>
        <v>0</v>
      </c>
      <c r="V11" s="438"/>
      <c r="W11" s="439">
        <f>IF(V11="YES", VLOOKUP(V$1,_Fan!$N:$Q,2,FALSE), 0)</f>
        <v>0</v>
      </c>
      <c r="X11" s="439">
        <f>IF(V11="YES", VLOOKUP(V$1,_Fan!$N:$Q,3,FALSE), 0)</f>
        <v>0</v>
      </c>
      <c r="Y11" s="438"/>
      <c r="Z11" s="439">
        <f>IFERROR(VLOOKUP(Y11,_Fan!$N:$Q,2,FALSE),0)</f>
        <v>0</v>
      </c>
      <c r="AA11" s="439">
        <f>IFERROR(VLOOKUP(Y11,_Fan!$N:$Q,3,FALSE),0)</f>
        <v>0</v>
      </c>
      <c r="AB11" s="438"/>
      <c r="AC11" s="439">
        <f>IF(AB11="YES", VLOOKUP(AB$1,_Fan!$N:$Q,2,FALSE), 0)</f>
        <v>0</v>
      </c>
      <c r="AD11" s="439">
        <f>IF(AB11="YES", VLOOKUP(AB$1,_Fan!$N:$Q,3,FALSE), 0)</f>
        <v>0</v>
      </c>
      <c r="AE11" s="438"/>
      <c r="AF11" s="439">
        <f>IF(AE11="YES", VLOOKUP(AE$1,_Fan!$N:$Q,2,FALSE), 0)</f>
        <v>0</v>
      </c>
      <c r="AG11" s="439">
        <f>IF(AE11="YES", VLOOKUP(AE$1,_Fan!$N:$Q,3,FALSE), 0)</f>
        <v>0</v>
      </c>
      <c r="AH11" s="438"/>
      <c r="AI11" s="439">
        <f>IF(AH11="YES", VLOOKUP(AH$1,_Fan!$N:$Q,2,FALSE), 0)</f>
        <v>0</v>
      </c>
      <c r="AJ11" s="439">
        <f>IF(AH11="YES", VLOOKUP(AH$1,_Fan!$N:$Q,3,FALSE), 0)</f>
        <v>0</v>
      </c>
      <c r="AK11" s="438"/>
      <c r="AL11" s="439">
        <f>IF(AK11="YES", VLOOKUP(AK$1,_Fan!$N:$Q,2,FALSE), 0)</f>
        <v>0</v>
      </c>
      <c r="AM11" s="439">
        <f>IF(AK11="YES", VLOOKUP(AK$1,_Fan!$N:$Q,3,FALSE), 0)</f>
        <v>0</v>
      </c>
      <c r="AN11" s="438"/>
      <c r="AO11" s="439">
        <f>IF(AN11="YES", VLOOKUP(AN$1,_Fan!$N:$Q,2,FALSE), 0)</f>
        <v>0</v>
      </c>
      <c r="AP11" s="439">
        <f>IF(AN11="YES", VLOOKUP(AN$1,_Fan!$N:$Q,3,FALSE), 0)</f>
        <v>0</v>
      </c>
      <c r="AQ11" s="438"/>
      <c r="AR11" s="439">
        <f>IF(AQ11="YES", VLOOKUP(AQ$1,_Fan!$N:$Q,2,FALSE), 0)</f>
        <v>0</v>
      </c>
      <c r="AS11" s="439">
        <f>IF(AQ11="YES", VLOOKUP(AQ$1,_Fan!$N:$Q,3,FALSE), 0)</f>
        <v>0</v>
      </c>
      <c r="AT11" s="438"/>
      <c r="AU11" s="439">
        <f>IF(AT11="YES", VLOOKUP(AT$1,_Fan!$N:$Q,2,FALSE), 0)</f>
        <v>0</v>
      </c>
      <c r="AV11" s="439">
        <f>IF(AT11="YES", VLOOKUP(AT$1,_Fan!$N:$Q,3,FALSE), 0)</f>
        <v>0</v>
      </c>
      <c r="AW11" s="438"/>
      <c r="AX11" s="439">
        <f>IFERROR(VLOOKUP(AW11,_Fan!$N:$Q,2,FALSE),0)</f>
        <v>0</v>
      </c>
      <c r="AY11" s="439">
        <f>IFERROR(VLOOKUP(AW11,_Fan!$N:$Q,3,FALSE),0)</f>
        <v>0</v>
      </c>
      <c r="AZ11" s="438"/>
      <c r="BA11" s="439">
        <f>IF(AZ11="YES", VLOOKUP(AZ$1,_Fan!$N:$Q,2,FALSE), 0)</f>
        <v>0</v>
      </c>
      <c r="BB11" s="439">
        <f>IF(AZ11="YES", VLOOKUP(AZ$1,_Fan!$N:$Q,3,FALSE), 0)</f>
        <v>0</v>
      </c>
      <c r="BC11" s="430"/>
      <c r="BD11" s="430"/>
      <c r="BE11" s="430"/>
      <c r="BF11" s="430"/>
      <c r="BG11" s="430"/>
      <c r="BH11" s="430"/>
      <c r="BI11" s="430"/>
      <c r="BJ11" s="430"/>
      <c r="BK11" s="430"/>
      <c r="BL11" s="430"/>
      <c r="BM11" s="430"/>
      <c r="BN11" s="430"/>
      <c r="BO11" s="430"/>
      <c r="BP11" s="430"/>
      <c r="BQ11" s="430"/>
      <c r="BR11" s="430"/>
    </row>
    <row r="12" spans="1:70" x14ac:dyDescent="0.4">
      <c r="A12" s="429" t="str">
        <f t="shared" si="0"/>
        <v>INVALID</v>
      </c>
      <c r="B12" s="430" t="str">
        <f t="shared" si="3"/>
        <v>Fan 11</v>
      </c>
      <c r="C12" s="431">
        <f t="shared" si="4"/>
        <v>0</v>
      </c>
      <c r="D12" s="430">
        <f t="shared" si="5"/>
        <v>0</v>
      </c>
      <c r="E12" s="430"/>
      <c r="F12" s="430">
        <f t="shared" si="1"/>
        <v>0</v>
      </c>
      <c r="G12" s="430"/>
      <c r="H12" s="430"/>
      <c r="I12" s="430">
        <f t="shared" si="6"/>
        <v>0</v>
      </c>
      <c r="J12" s="430">
        <f t="shared" si="7"/>
        <v>0</v>
      </c>
      <c r="K12" s="430">
        <f>IF(AW12="VSD",(VLOOKUP("Switchboard Cable 1mm",'Part List'!$A:$G,3,FALSE)+VLOOKUP("2.5mm Twin and Earth",'Part List'!$A:$G,3,FALSE)*2),IF(AW12="KEF",(VLOOKUP("7030 2 pair TCAS7302P",'Part List'!$A:$G,3,FALSE) + VLOOKUP("4mm Cable 3 core and Earth",'Part List'!$A:$G,3,FALSE)),VLOOKUP("2.5mm Twin and Earth",'Part List'!$A:$G,3,FALSE)))</f>
        <v>0.85</v>
      </c>
      <c r="L12" s="430">
        <f t="shared" si="8"/>
        <v>0</v>
      </c>
      <c r="M12" s="430">
        <f>IF(AW12="VSD",(VLOOKUP("Switchboard Cable 1mm",'Part List'!$A:$G,5,FALSE)+VLOOKUP("2.5mm Twin and Earth",'Part List'!$A:$G,5,FALSE)*2),IF(AW12="KEF",(VLOOKUP("7030 2 pair TCAS7302P",'Part List'!$A:$G,5,FALSE) + VLOOKUP("4mm Cable 3 core and Earth",'Part List'!$A:$G,5,FALSE)),VLOOKUP("2.5mm Twin and Earth",'Part List'!$A:$G,5,FALSE)))</f>
        <v>0.1</v>
      </c>
      <c r="N12" s="430">
        <f t="shared" si="2"/>
        <v>0</v>
      </c>
      <c r="O12" s="430"/>
      <c r="P12" s="438"/>
      <c r="Q12" s="439">
        <f>IFERROR(VLOOKUP(P12,_Fan!$N:$Q,2,FALSE),0)</f>
        <v>0</v>
      </c>
      <c r="R12" s="439">
        <f>IFERROR(VLOOKUP(P12,_Fan!$N:$Q,3,FALSE),0)</f>
        <v>0</v>
      </c>
      <c r="S12" s="438"/>
      <c r="T12" s="439">
        <f>IF(S12="YES", VLOOKUP(S$1,_Fan!$N:$Q,2,FALSE), 0)</f>
        <v>0</v>
      </c>
      <c r="U12" s="439">
        <f>IF(S12="YES", VLOOKUP(S$1,_Fan!$N:$Q,3,FALSE), 0)</f>
        <v>0</v>
      </c>
      <c r="V12" s="438"/>
      <c r="W12" s="439">
        <f>IF(V12="YES", VLOOKUP(V$1,_Fan!$N:$Q,2,FALSE), 0)</f>
        <v>0</v>
      </c>
      <c r="X12" s="439">
        <f>IF(V12="YES", VLOOKUP(V$1,_Fan!$N:$Q,3,FALSE), 0)</f>
        <v>0</v>
      </c>
      <c r="Y12" s="438"/>
      <c r="Z12" s="439">
        <f>IFERROR(VLOOKUP(Y12,_Fan!$N:$Q,2,FALSE),0)</f>
        <v>0</v>
      </c>
      <c r="AA12" s="439">
        <f>IFERROR(VLOOKUP(Y12,_Fan!$N:$Q,3,FALSE),0)</f>
        <v>0</v>
      </c>
      <c r="AB12" s="438"/>
      <c r="AC12" s="439">
        <f>IF(AB12="YES", VLOOKUP(AB$1,_Fan!$N:$Q,2,FALSE), 0)</f>
        <v>0</v>
      </c>
      <c r="AD12" s="439">
        <f>IF(AB12="YES", VLOOKUP(AB$1,_Fan!$N:$Q,3,FALSE), 0)</f>
        <v>0</v>
      </c>
      <c r="AE12" s="438"/>
      <c r="AF12" s="439">
        <f>IF(AE12="YES", VLOOKUP(AE$1,_Fan!$N:$Q,2,FALSE), 0)</f>
        <v>0</v>
      </c>
      <c r="AG12" s="439">
        <f>IF(AE12="YES", VLOOKUP(AE$1,_Fan!$N:$Q,3,FALSE), 0)</f>
        <v>0</v>
      </c>
      <c r="AH12" s="438"/>
      <c r="AI12" s="439">
        <f>IF(AH12="YES", VLOOKUP(AH$1,_Fan!$N:$Q,2,FALSE), 0)</f>
        <v>0</v>
      </c>
      <c r="AJ12" s="439">
        <f>IF(AH12="YES", VLOOKUP(AH$1,_Fan!$N:$Q,3,FALSE), 0)</f>
        <v>0</v>
      </c>
      <c r="AK12" s="438"/>
      <c r="AL12" s="439">
        <f>IF(AK12="YES", VLOOKUP(AK$1,_Fan!$N:$Q,2,FALSE), 0)</f>
        <v>0</v>
      </c>
      <c r="AM12" s="439">
        <f>IF(AK12="YES", VLOOKUP(AK$1,_Fan!$N:$Q,3,FALSE), 0)</f>
        <v>0</v>
      </c>
      <c r="AN12" s="438"/>
      <c r="AO12" s="439">
        <f>IF(AN12="YES", VLOOKUP(AN$1,_Fan!$N:$Q,2,FALSE), 0)</f>
        <v>0</v>
      </c>
      <c r="AP12" s="439">
        <f>IF(AN12="YES", VLOOKUP(AN$1,_Fan!$N:$Q,3,FALSE), 0)</f>
        <v>0</v>
      </c>
      <c r="AQ12" s="438"/>
      <c r="AR12" s="439">
        <f>IF(AQ12="YES", VLOOKUP(AQ$1,_Fan!$N:$Q,2,FALSE), 0)</f>
        <v>0</v>
      </c>
      <c r="AS12" s="439">
        <f>IF(AQ12="YES", VLOOKUP(AQ$1,_Fan!$N:$Q,3,FALSE), 0)</f>
        <v>0</v>
      </c>
      <c r="AT12" s="438"/>
      <c r="AU12" s="439">
        <f>IF(AT12="YES", VLOOKUP(AT$1,_Fan!$N:$Q,2,FALSE), 0)</f>
        <v>0</v>
      </c>
      <c r="AV12" s="439">
        <f>IF(AT12="YES", VLOOKUP(AT$1,_Fan!$N:$Q,3,FALSE), 0)</f>
        <v>0</v>
      </c>
      <c r="AW12" s="438"/>
      <c r="AX12" s="439">
        <f>IFERROR(VLOOKUP(AW12,_Fan!$N:$Q,2,FALSE),0)</f>
        <v>0</v>
      </c>
      <c r="AY12" s="439">
        <f>IFERROR(VLOOKUP(AW12,_Fan!$N:$Q,3,FALSE),0)</f>
        <v>0</v>
      </c>
      <c r="AZ12" s="438"/>
      <c r="BA12" s="439">
        <f>IF(AZ12="YES", VLOOKUP(AZ$1,_Fan!$N:$Q,2,FALSE), 0)</f>
        <v>0</v>
      </c>
      <c r="BB12" s="439">
        <f>IF(AZ12="YES", VLOOKUP(AZ$1,_Fan!$N:$Q,3,FALSE), 0)</f>
        <v>0</v>
      </c>
      <c r="BC12" s="430"/>
      <c r="BD12" s="430"/>
      <c r="BE12" s="430"/>
      <c r="BF12" s="430"/>
      <c r="BG12" s="430"/>
      <c r="BH12" s="430"/>
      <c r="BI12" s="430"/>
      <c r="BJ12" s="430"/>
      <c r="BK12" s="430"/>
      <c r="BL12" s="430"/>
      <c r="BM12" s="430"/>
      <c r="BN12" s="430"/>
      <c r="BO12" s="430"/>
      <c r="BP12" s="430"/>
      <c r="BQ12" s="430"/>
      <c r="BR12" s="430"/>
    </row>
    <row r="13" spans="1:70" x14ac:dyDescent="0.4">
      <c r="A13" s="429" t="str">
        <f t="shared" si="0"/>
        <v>INVALID</v>
      </c>
      <c r="B13" s="430" t="str">
        <f t="shared" si="3"/>
        <v>Fan 12</v>
      </c>
      <c r="C13" s="431">
        <f t="shared" si="4"/>
        <v>0</v>
      </c>
      <c r="D13" s="430">
        <f t="shared" si="5"/>
        <v>0</v>
      </c>
      <c r="E13" s="430"/>
      <c r="F13" s="430">
        <f t="shared" si="1"/>
        <v>0</v>
      </c>
      <c r="G13" s="430"/>
      <c r="H13" s="430"/>
      <c r="I13" s="430">
        <f t="shared" si="6"/>
        <v>0</v>
      </c>
      <c r="J13" s="430">
        <f t="shared" si="7"/>
        <v>0</v>
      </c>
      <c r="K13" s="430">
        <f>IF(AW13="VSD",(VLOOKUP("Switchboard Cable 1mm",'Part List'!$A:$G,3,FALSE)+VLOOKUP("2.5mm Twin and Earth",'Part List'!$A:$G,3,FALSE)*2),IF(AW13="KEF",(VLOOKUP("7030 2 pair TCAS7302P",'Part List'!$A:$G,3,FALSE) + VLOOKUP("4mm Cable 3 core and Earth",'Part List'!$A:$G,3,FALSE)),VLOOKUP("2.5mm Twin and Earth",'Part List'!$A:$G,3,FALSE)))</f>
        <v>0.85</v>
      </c>
      <c r="L13" s="430">
        <f t="shared" si="8"/>
        <v>0</v>
      </c>
      <c r="M13" s="430">
        <f>IF(AW13="VSD",(VLOOKUP("Switchboard Cable 1mm",'Part List'!$A:$G,5,FALSE)+VLOOKUP("2.5mm Twin and Earth",'Part List'!$A:$G,5,FALSE)*2),IF(AW13="KEF",(VLOOKUP("7030 2 pair TCAS7302P",'Part List'!$A:$G,5,FALSE) + VLOOKUP("4mm Cable 3 core and Earth",'Part List'!$A:$G,5,FALSE)),VLOOKUP("2.5mm Twin and Earth",'Part List'!$A:$G,5,FALSE)))</f>
        <v>0.1</v>
      </c>
      <c r="N13" s="430">
        <f t="shared" si="2"/>
        <v>0</v>
      </c>
      <c r="O13" s="430"/>
      <c r="P13" s="438"/>
      <c r="Q13" s="439">
        <f>IFERROR(VLOOKUP(P13,_Fan!$N:$Q,2,FALSE),0)</f>
        <v>0</v>
      </c>
      <c r="R13" s="439">
        <f>IFERROR(VLOOKUP(P13,_Fan!$N:$Q,3,FALSE),0)</f>
        <v>0</v>
      </c>
      <c r="S13" s="438"/>
      <c r="T13" s="439">
        <f>IF(S13="YES", VLOOKUP(S$1,_Fan!$N:$Q,2,FALSE), 0)</f>
        <v>0</v>
      </c>
      <c r="U13" s="439">
        <f>IF(S13="YES", VLOOKUP(S$1,_Fan!$N:$Q,3,FALSE), 0)</f>
        <v>0</v>
      </c>
      <c r="V13" s="438"/>
      <c r="W13" s="439">
        <f>IF(V13="YES", VLOOKUP(V$1,_Fan!$N:$Q,2,FALSE), 0)</f>
        <v>0</v>
      </c>
      <c r="X13" s="439">
        <f>IF(V13="YES", VLOOKUP(V$1,_Fan!$N:$Q,3,FALSE), 0)</f>
        <v>0</v>
      </c>
      <c r="Y13" s="438"/>
      <c r="Z13" s="439">
        <f>IFERROR(VLOOKUP(Y13,_Fan!$N:$Q,2,FALSE),0)</f>
        <v>0</v>
      </c>
      <c r="AA13" s="439">
        <f>IFERROR(VLOOKUP(Y13,_Fan!$N:$Q,3,FALSE),0)</f>
        <v>0</v>
      </c>
      <c r="AB13" s="438"/>
      <c r="AC13" s="439">
        <f>IF(AB13="YES", VLOOKUP(AB$1,_Fan!$N:$Q,2,FALSE), 0)</f>
        <v>0</v>
      </c>
      <c r="AD13" s="439">
        <f>IF(AB13="YES", VLOOKUP(AB$1,_Fan!$N:$Q,3,FALSE), 0)</f>
        <v>0</v>
      </c>
      <c r="AE13" s="438"/>
      <c r="AF13" s="439">
        <f>IF(AE13="YES", VLOOKUP(AE$1,_Fan!$N:$Q,2,FALSE), 0)</f>
        <v>0</v>
      </c>
      <c r="AG13" s="439">
        <f>IF(AE13="YES", VLOOKUP(AE$1,_Fan!$N:$Q,3,FALSE), 0)</f>
        <v>0</v>
      </c>
      <c r="AH13" s="438"/>
      <c r="AI13" s="439">
        <f>IF(AH13="YES", VLOOKUP(AH$1,_Fan!$N:$Q,2,FALSE), 0)</f>
        <v>0</v>
      </c>
      <c r="AJ13" s="439">
        <f>IF(AH13="YES", VLOOKUP(AH$1,_Fan!$N:$Q,3,FALSE), 0)</f>
        <v>0</v>
      </c>
      <c r="AK13" s="438"/>
      <c r="AL13" s="439">
        <f>IF(AK13="YES", VLOOKUP(AK$1,_Fan!$N:$Q,2,FALSE), 0)</f>
        <v>0</v>
      </c>
      <c r="AM13" s="439">
        <f>IF(AK13="YES", VLOOKUP(AK$1,_Fan!$N:$Q,3,FALSE), 0)</f>
        <v>0</v>
      </c>
      <c r="AN13" s="438"/>
      <c r="AO13" s="439">
        <f>IF(AN13="YES", VLOOKUP(AN$1,_Fan!$N:$Q,2,FALSE), 0)</f>
        <v>0</v>
      </c>
      <c r="AP13" s="439">
        <f>IF(AN13="YES", VLOOKUP(AN$1,_Fan!$N:$Q,3,FALSE), 0)</f>
        <v>0</v>
      </c>
      <c r="AQ13" s="438"/>
      <c r="AR13" s="439">
        <f>IF(AQ13="YES", VLOOKUP(AQ$1,_Fan!$N:$Q,2,FALSE), 0)</f>
        <v>0</v>
      </c>
      <c r="AS13" s="439">
        <f>IF(AQ13="YES", VLOOKUP(AQ$1,_Fan!$N:$Q,3,FALSE), 0)</f>
        <v>0</v>
      </c>
      <c r="AT13" s="438"/>
      <c r="AU13" s="439">
        <f>IF(AT13="YES", VLOOKUP(AT$1,_Fan!$N:$Q,2,FALSE), 0)</f>
        <v>0</v>
      </c>
      <c r="AV13" s="439">
        <f>IF(AT13="YES", VLOOKUP(AT$1,_Fan!$N:$Q,3,FALSE), 0)</f>
        <v>0</v>
      </c>
      <c r="AW13" s="438"/>
      <c r="AX13" s="439">
        <f>IFERROR(VLOOKUP(AW13,_Fan!$N:$Q,2,FALSE),0)</f>
        <v>0</v>
      </c>
      <c r="AY13" s="439">
        <f>IFERROR(VLOOKUP(AW13,_Fan!$N:$Q,3,FALSE),0)</f>
        <v>0</v>
      </c>
      <c r="AZ13" s="438"/>
      <c r="BA13" s="439">
        <f>IF(AZ13="YES", VLOOKUP(AZ$1,_Fan!$N:$Q,2,FALSE), 0)</f>
        <v>0</v>
      </c>
      <c r="BB13" s="439">
        <f>IF(AZ13="YES", VLOOKUP(AZ$1,_Fan!$N:$Q,3,FALSE), 0)</f>
        <v>0</v>
      </c>
      <c r="BC13" s="430"/>
      <c r="BD13" s="430"/>
      <c r="BE13" s="430"/>
      <c r="BF13" s="430"/>
      <c r="BG13" s="430"/>
      <c r="BH13" s="430"/>
      <c r="BI13" s="430"/>
      <c r="BJ13" s="430"/>
      <c r="BK13" s="430"/>
      <c r="BL13" s="430"/>
      <c r="BM13" s="430"/>
      <c r="BN13" s="430"/>
      <c r="BO13" s="430"/>
      <c r="BP13" s="430"/>
      <c r="BQ13" s="430"/>
      <c r="BR13" s="430"/>
    </row>
    <row r="14" spans="1:70" x14ac:dyDescent="0.4">
      <c r="A14" s="429" t="str">
        <f t="shared" si="0"/>
        <v>INVALID</v>
      </c>
      <c r="B14" s="430" t="str">
        <f t="shared" si="3"/>
        <v>Fan 13</v>
      </c>
      <c r="C14" s="431">
        <f t="shared" si="4"/>
        <v>0</v>
      </c>
      <c r="D14" s="430">
        <f t="shared" si="5"/>
        <v>0</v>
      </c>
      <c r="E14" s="430"/>
      <c r="F14" s="430">
        <f t="shared" si="1"/>
        <v>0</v>
      </c>
      <c r="G14" s="430"/>
      <c r="H14" s="430"/>
      <c r="I14" s="430">
        <f t="shared" si="6"/>
        <v>0</v>
      </c>
      <c r="J14" s="430">
        <f t="shared" si="7"/>
        <v>0</v>
      </c>
      <c r="K14" s="430">
        <f>IF(AW14="VSD",(VLOOKUP("Switchboard Cable 1mm",'Part List'!$A:$G,3,FALSE)+VLOOKUP("2.5mm Twin and Earth",'Part List'!$A:$G,3,FALSE)*2),IF(AW14="KEF",(VLOOKUP("7030 2 pair TCAS7302P",'Part List'!$A:$G,3,FALSE) + VLOOKUP("4mm Cable 3 core and Earth",'Part List'!$A:$G,3,FALSE)),VLOOKUP("2.5mm Twin and Earth",'Part List'!$A:$G,3,FALSE)))</f>
        <v>0.85</v>
      </c>
      <c r="L14" s="430">
        <f t="shared" si="8"/>
        <v>0</v>
      </c>
      <c r="M14" s="430">
        <f>IF(AW14="VSD",(VLOOKUP("Switchboard Cable 1mm",'Part List'!$A:$G,5,FALSE)+VLOOKUP("2.5mm Twin and Earth",'Part List'!$A:$G,5,FALSE)*2),IF(AW14="KEF",(VLOOKUP("7030 2 pair TCAS7302P",'Part List'!$A:$G,5,FALSE) + VLOOKUP("4mm Cable 3 core and Earth",'Part List'!$A:$G,5,FALSE)),VLOOKUP("2.5mm Twin and Earth",'Part List'!$A:$G,5,FALSE)))</f>
        <v>0.1</v>
      </c>
      <c r="N14" s="430">
        <f t="shared" si="2"/>
        <v>0</v>
      </c>
      <c r="O14" s="430"/>
      <c r="P14" s="438"/>
      <c r="Q14" s="439">
        <f>IFERROR(VLOOKUP(P14,_Fan!$N:$Q,2,FALSE),0)</f>
        <v>0</v>
      </c>
      <c r="R14" s="439">
        <f>IFERROR(VLOOKUP(P14,_Fan!$N:$Q,3,FALSE),0)</f>
        <v>0</v>
      </c>
      <c r="S14" s="438"/>
      <c r="T14" s="439">
        <f>IF(S14="YES", VLOOKUP(S$1,_Fan!$N:$Q,2,FALSE), 0)</f>
        <v>0</v>
      </c>
      <c r="U14" s="439">
        <f>IF(S14="YES", VLOOKUP(S$1,_Fan!$N:$Q,3,FALSE), 0)</f>
        <v>0</v>
      </c>
      <c r="V14" s="438"/>
      <c r="W14" s="439">
        <f>IF(V14="YES", VLOOKUP(V$1,_Fan!$N:$Q,2,FALSE), 0)</f>
        <v>0</v>
      </c>
      <c r="X14" s="439">
        <f>IF(V14="YES", VLOOKUP(V$1,_Fan!$N:$Q,3,FALSE), 0)</f>
        <v>0</v>
      </c>
      <c r="Y14" s="438"/>
      <c r="Z14" s="439">
        <f>IFERROR(VLOOKUP(Y14,_Fan!$N:$Q,2,FALSE),0)</f>
        <v>0</v>
      </c>
      <c r="AA14" s="439">
        <f>IFERROR(VLOOKUP(Y14,_Fan!$N:$Q,3,FALSE),0)</f>
        <v>0</v>
      </c>
      <c r="AB14" s="438"/>
      <c r="AC14" s="439">
        <f>IF(AB14="YES", VLOOKUP(AB$1,_Fan!$N:$Q,2,FALSE), 0)</f>
        <v>0</v>
      </c>
      <c r="AD14" s="439">
        <f>IF(AB14="YES", VLOOKUP(AB$1,_Fan!$N:$Q,3,FALSE), 0)</f>
        <v>0</v>
      </c>
      <c r="AE14" s="438"/>
      <c r="AF14" s="439">
        <f>IF(AE14="YES", VLOOKUP(AE$1,_Fan!$N:$Q,2,FALSE), 0)</f>
        <v>0</v>
      </c>
      <c r="AG14" s="439">
        <f>IF(AE14="YES", VLOOKUP(AE$1,_Fan!$N:$Q,3,FALSE), 0)</f>
        <v>0</v>
      </c>
      <c r="AH14" s="438"/>
      <c r="AI14" s="439">
        <f>IF(AH14="YES", VLOOKUP(AH$1,_Fan!$N:$Q,2,FALSE), 0)</f>
        <v>0</v>
      </c>
      <c r="AJ14" s="439">
        <f>IF(AH14="YES", VLOOKUP(AH$1,_Fan!$N:$Q,3,FALSE), 0)</f>
        <v>0</v>
      </c>
      <c r="AK14" s="438"/>
      <c r="AL14" s="439">
        <f>IF(AK14="YES", VLOOKUP(AK$1,_Fan!$N:$Q,2,FALSE), 0)</f>
        <v>0</v>
      </c>
      <c r="AM14" s="439">
        <f>IF(AK14="YES", VLOOKUP(AK$1,_Fan!$N:$Q,3,FALSE), 0)</f>
        <v>0</v>
      </c>
      <c r="AN14" s="438"/>
      <c r="AO14" s="439">
        <f>IF(AN14="YES", VLOOKUP(AN$1,_Fan!$N:$Q,2,FALSE), 0)</f>
        <v>0</v>
      </c>
      <c r="AP14" s="439">
        <f>IF(AN14="YES", VLOOKUP(AN$1,_Fan!$N:$Q,3,FALSE), 0)</f>
        <v>0</v>
      </c>
      <c r="AQ14" s="438"/>
      <c r="AR14" s="439">
        <f>IF(AQ14="YES", VLOOKUP(AQ$1,_Fan!$N:$Q,2,FALSE), 0)</f>
        <v>0</v>
      </c>
      <c r="AS14" s="439">
        <f>IF(AQ14="YES", VLOOKUP(AQ$1,_Fan!$N:$Q,3,FALSE), 0)</f>
        <v>0</v>
      </c>
      <c r="AT14" s="438"/>
      <c r="AU14" s="439">
        <f>IF(AT14="YES", VLOOKUP(AT$1,_Fan!$N:$Q,2,FALSE), 0)</f>
        <v>0</v>
      </c>
      <c r="AV14" s="439">
        <f>IF(AT14="YES", VLOOKUP(AT$1,_Fan!$N:$Q,3,FALSE), 0)</f>
        <v>0</v>
      </c>
      <c r="AW14" s="438"/>
      <c r="AX14" s="439">
        <f>IFERROR(VLOOKUP(AW14,_Fan!$N:$Q,2,FALSE),0)</f>
        <v>0</v>
      </c>
      <c r="AY14" s="439">
        <f>IFERROR(VLOOKUP(AW14,_Fan!$N:$Q,3,FALSE),0)</f>
        <v>0</v>
      </c>
      <c r="AZ14" s="438"/>
      <c r="BA14" s="439">
        <f>IF(AZ14="YES", VLOOKUP(AZ$1,_Fan!$N:$Q,2,FALSE), 0)</f>
        <v>0</v>
      </c>
      <c r="BB14" s="439">
        <f>IF(AZ14="YES", VLOOKUP(AZ$1,_Fan!$N:$Q,3,FALSE), 0)</f>
        <v>0</v>
      </c>
      <c r="BC14" s="430"/>
      <c r="BD14" s="430"/>
      <c r="BE14" s="430"/>
      <c r="BF14" s="430"/>
      <c r="BG14" s="430"/>
      <c r="BH14" s="430"/>
      <c r="BI14" s="430"/>
      <c r="BJ14" s="430"/>
      <c r="BK14" s="430"/>
      <c r="BL14" s="430"/>
      <c r="BM14" s="430"/>
      <c r="BN14" s="430"/>
      <c r="BO14" s="430"/>
      <c r="BP14" s="430"/>
      <c r="BQ14" s="430"/>
      <c r="BR14" s="430"/>
    </row>
    <row r="15" spans="1:70" x14ac:dyDescent="0.4">
      <c r="A15" s="429" t="str">
        <f t="shared" si="0"/>
        <v>INVALID</v>
      </c>
      <c r="B15" s="430" t="str">
        <f t="shared" si="3"/>
        <v>Fan 14</v>
      </c>
      <c r="C15" s="431">
        <f t="shared" si="4"/>
        <v>0</v>
      </c>
      <c r="D15" s="430">
        <f t="shared" si="5"/>
        <v>0</v>
      </c>
      <c r="E15" s="430"/>
      <c r="F15" s="430">
        <f t="shared" si="1"/>
        <v>0</v>
      </c>
      <c r="G15" s="430"/>
      <c r="H15" s="430"/>
      <c r="I15" s="430">
        <f t="shared" si="6"/>
        <v>0</v>
      </c>
      <c r="J15" s="430">
        <f t="shared" si="7"/>
        <v>0</v>
      </c>
      <c r="K15" s="430">
        <f>IF(AW15="VSD",(VLOOKUP("Switchboard Cable 1mm",'Part List'!$A:$G,3,FALSE)+VLOOKUP("2.5mm Twin and Earth",'Part List'!$A:$G,3,FALSE)*2),IF(AW15="KEF",(VLOOKUP("7030 2 pair TCAS7302P",'Part List'!$A:$G,3,FALSE) + VLOOKUP("4mm Cable 3 core and Earth",'Part List'!$A:$G,3,FALSE)),VLOOKUP("2.5mm Twin and Earth",'Part List'!$A:$G,3,FALSE)))</f>
        <v>0.85</v>
      </c>
      <c r="L15" s="430">
        <f t="shared" si="8"/>
        <v>0</v>
      </c>
      <c r="M15" s="430">
        <f>IF(AW15="VSD",(VLOOKUP("Switchboard Cable 1mm",'Part List'!$A:$G,5,FALSE)+VLOOKUP("2.5mm Twin and Earth",'Part List'!$A:$G,5,FALSE)*2),IF(AW15="KEF",(VLOOKUP("7030 2 pair TCAS7302P",'Part List'!$A:$G,5,FALSE) + VLOOKUP("4mm Cable 3 core and Earth",'Part List'!$A:$G,5,FALSE)),VLOOKUP("2.5mm Twin and Earth",'Part List'!$A:$G,5,FALSE)))</f>
        <v>0.1</v>
      </c>
      <c r="N15" s="430">
        <f t="shared" si="2"/>
        <v>0</v>
      </c>
      <c r="O15" s="430"/>
      <c r="P15" s="438"/>
      <c r="Q15" s="439">
        <f>IFERROR(VLOOKUP(P15,_Fan!$N:$Q,2,FALSE),0)</f>
        <v>0</v>
      </c>
      <c r="R15" s="439">
        <f>IFERROR(VLOOKUP(P15,_Fan!$N:$Q,3,FALSE),0)</f>
        <v>0</v>
      </c>
      <c r="S15" s="438"/>
      <c r="T15" s="439">
        <f>IF(S15="YES", VLOOKUP(S$1,_Fan!$N:$Q,2,FALSE), 0)</f>
        <v>0</v>
      </c>
      <c r="U15" s="439">
        <f>IF(S15="YES", VLOOKUP(S$1,_Fan!$N:$Q,3,FALSE), 0)</f>
        <v>0</v>
      </c>
      <c r="V15" s="438"/>
      <c r="W15" s="439">
        <f>IF(V15="YES", VLOOKUP(V$1,_Fan!$N:$Q,2,FALSE), 0)</f>
        <v>0</v>
      </c>
      <c r="X15" s="439">
        <f>IF(V15="YES", VLOOKUP(V$1,_Fan!$N:$Q,3,FALSE), 0)</f>
        <v>0</v>
      </c>
      <c r="Y15" s="438"/>
      <c r="Z15" s="439">
        <f>IFERROR(VLOOKUP(Y15,_Fan!$N:$Q,2,FALSE),0)</f>
        <v>0</v>
      </c>
      <c r="AA15" s="439">
        <f>IFERROR(VLOOKUP(Y15,_Fan!$N:$Q,3,FALSE),0)</f>
        <v>0</v>
      </c>
      <c r="AB15" s="438"/>
      <c r="AC15" s="439">
        <f>IF(AB15="YES", VLOOKUP(AB$1,_Fan!$N:$Q,2,FALSE), 0)</f>
        <v>0</v>
      </c>
      <c r="AD15" s="439">
        <f>IF(AB15="YES", VLOOKUP(AB$1,_Fan!$N:$Q,3,FALSE), 0)</f>
        <v>0</v>
      </c>
      <c r="AE15" s="438"/>
      <c r="AF15" s="439">
        <f>IF(AE15="YES", VLOOKUP(AE$1,_Fan!$N:$Q,2,FALSE), 0)</f>
        <v>0</v>
      </c>
      <c r="AG15" s="439">
        <f>IF(AE15="YES", VLOOKUP(AE$1,_Fan!$N:$Q,3,FALSE), 0)</f>
        <v>0</v>
      </c>
      <c r="AH15" s="438"/>
      <c r="AI15" s="439">
        <f>IF(AH15="YES", VLOOKUP(AH$1,_Fan!$N:$Q,2,FALSE), 0)</f>
        <v>0</v>
      </c>
      <c r="AJ15" s="439">
        <f>IF(AH15="YES", VLOOKUP(AH$1,_Fan!$N:$Q,3,FALSE), 0)</f>
        <v>0</v>
      </c>
      <c r="AK15" s="438"/>
      <c r="AL15" s="439">
        <f>IF(AK15="YES", VLOOKUP(AK$1,_Fan!$N:$Q,2,FALSE), 0)</f>
        <v>0</v>
      </c>
      <c r="AM15" s="439">
        <f>IF(AK15="YES", VLOOKUP(AK$1,_Fan!$N:$Q,3,FALSE), 0)</f>
        <v>0</v>
      </c>
      <c r="AN15" s="438"/>
      <c r="AO15" s="439">
        <f>IF(AN15="YES", VLOOKUP(AN$1,_Fan!$N:$Q,2,FALSE), 0)</f>
        <v>0</v>
      </c>
      <c r="AP15" s="439">
        <f>IF(AN15="YES", VLOOKUP(AN$1,_Fan!$N:$Q,3,FALSE), 0)</f>
        <v>0</v>
      </c>
      <c r="AQ15" s="438"/>
      <c r="AR15" s="439">
        <f>IF(AQ15="YES", VLOOKUP(AQ$1,_Fan!$N:$Q,2,FALSE), 0)</f>
        <v>0</v>
      </c>
      <c r="AS15" s="439">
        <f>IF(AQ15="YES", VLOOKUP(AQ$1,_Fan!$N:$Q,3,FALSE), 0)</f>
        <v>0</v>
      </c>
      <c r="AT15" s="438"/>
      <c r="AU15" s="439">
        <f>IF(AT15="YES", VLOOKUP(AT$1,_Fan!$N:$Q,2,FALSE), 0)</f>
        <v>0</v>
      </c>
      <c r="AV15" s="439">
        <f>IF(AT15="YES", VLOOKUP(AT$1,_Fan!$N:$Q,3,FALSE), 0)</f>
        <v>0</v>
      </c>
      <c r="AW15" s="438"/>
      <c r="AX15" s="439">
        <f>IFERROR(VLOOKUP(AW15,_Fan!$N:$Q,2,FALSE),0)</f>
        <v>0</v>
      </c>
      <c r="AY15" s="439">
        <f>IFERROR(VLOOKUP(AW15,_Fan!$N:$Q,3,FALSE),0)</f>
        <v>0</v>
      </c>
      <c r="AZ15" s="438"/>
      <c r="BA15" s="439">
        <f>IF(AZ15="YES", VLOOKUP(AZ$1,_Fan!$N:$Q,2,FALSE), 0)</f>
        <v>0</v>
      </c>
      <c r="BB15" s="439">
        <f>IF(AZ15="YES", VLOOKUP(AZ$1,_Fan!$N:$Q,3,FALSE), 0)</f>
        <v>0</v>
      </c>
      <c r="BC15" s="430"/>
      <c r="BD15" s="430"/>
      <c r="BE15" s="430"/>
      <c r="BF15" s="430"/>
      <c r="BG15" s="430"/>
      <c r="BH15" s="430"/>
      <c r="BI15" s="430"/>
      <c r="BJ15" s="430"/>
      <c r="BK15" s="430"/>
      <c r="BL15" s="430"/>
      <c r="BM15" s="430"/>
      <c r="BN15" s="430"/>
      <c r="BO15" s="430"/>
      <c r="BP15" s="430"/>
      <c r="BQ15" s="430"/>
      <c r="BR15" s="430"/>
    </row>
    <row r="16" spans="1:70" x14ac:dyDescent="0.4">
      <c r="A16" s="429" t="str">
        <f t="shared" si="0"/>
        <v>INVALID</v>
      </c>
      <c r="B16" s="430" t="str">
        <f t="shared" si="3"/>
        <v>Fan 15</v>
      </c>
      <c r="C16" s="431">
        <f t="shared" si="4"/>
        <v>0</v>
      </c>
      <c r="D16" s="430">
        <f t="shared" si="5"/>
        <v>0</v>
      </c>
      <c r="E16" s="430"/>
      <c r="F16" s="430">
        <f t="shared" si="1"/>
        <v>0</v>
      </c>
      <c r="G16" s="430"/>
      <c r="H16" s="430"/>
      <c r="I16" s="430">
        <f t="shared" si="6"/>
        <v>0</v>
      </c>
      <c r="J16" s="430">
        <f t="shared" si="7"/>
        <v>0</v>
      </c>
      <c r="K16" s="430">
        <f>IF(AW16="VSD",(VLOOKUP("Switchboard Cable 1mm",'Part List'!$A:$G,3,FALSE)+VLOOKUP("2.5mm Twin and Earth",'Part List'!$A:$G,3,FALSE)*2),IF(AW16="KEF",(VLOOKUP("7030 2 pair TCAS7302P",'Part List'!$A:$G,3,FALSE) + VLOOKUP("4mm Cable 3 core and Earth",'Part List'!$A:$G,3,FALSE)),VLOOKUP("2.5mm Twin and Earth",'Part List'!$A:$G,3,FALSE)))</f>
        <v>0.85</v>
      </c>
      <c r="L16" s="430">
        <f t="shared" si="8"/>
        <v>0</v>
      </c>
      <c r="M16" s="430">
        <f>IF(AW16="VSD",(VLOOKUP("Switchboard Cable 1mm",'Part List'!$A:$G,5,FALSE)+VLOOKUP("2.5mm Twin and Earth",'Part List'!$A:$G,5,FALSE)*2),IF(AW16="KEF",(VLOOKUP("7030 2 pair TCAS7302P",'Part List'!$A:$G,5,FALSE) + VLOOKUP("4mm Cable 3 core and Earth",'Part List'!$A:$G,5,FALSE)),VLOOKUP("2.5mm Twin and Earth",'Part List'!$A:$G,5,FALSE)))</f>
        <v>0.1</v>
      </c>
      <c r="N16" s="430">
        <f t="shared" si="2"/>
        <v>0</v>
      </c>
      <c r="O16" s="430"/>
      <c r="P16" s="438"/>
      <c r="Q16" s="439">
        <f>IFERROR(VLOOKUP(P16,_Fan!$N:$Q,2,FALSE),0)</f>
        <v>0</v>
      </c>
      <c r="R16" s="439">
        <f>IFERROR(VLOOKUP(P16,_Fan!$N:$Q,3,FALSE),0)</f>
        <v>0</v>
      </c>
      <c r="S16" s="438"/>
      <c r="T16" s="439">
        <f>IF(S16="YES", VLOOKUP(S$1,_Fan!$N:$Q,2,FALSE), 0)</f>
        <v>0</v>
      </c>
      <c r="U16" s="439">
        <f>IF(S16="YES", VLOOKUP(S$1,_Fan!$N:$Q,3,FALSE), 0)</f>
        <v>0</v>
      </c>
      <c r="V16" s="438"/>
      <c r="W16" s="439">
        <f>IF(V16="YES", VLOOKUP(V$1,_Fan!$N:$Q,2,FALSE), 0)</f>
        <v>0</v>
      </c>
      <c r="X16" s="439">
        <f>IF(V16="YES", VLOOKUP(V$1,_Fan!$N:$Q,3,FALSE), 0)</f>
        <v>0</v>
      </c>
      <c r="Y16" s="438"/>
      <c r="Z16" s="439">
        <f>IFERROR(VLOOKUP(Y16,_Fan!$N:$Q,2,FALSE),0)</f>
        <v>0</v>
      </c>
      <c r="AA16" s="439">
        <f>IFERROR(VLOOKUP(Y16,_Fan!$N:$Q,3,FALSE),0)</f>
        <v>0</v>
      </c>
      <c r="AB16" s="438"/>
      <c r="AC16" s="439">
        <f>IF(AB16="YES", VLOOKUP(AB$1,_Fan!$N:$Q,2,FALSE), 0)</f>
        <v>0</v>
      </c>
      <c r="AD16" s="439">
        <f>IF(AB16="YES", VLOOKUP(AB$1,_Fan!$N:$Q,3,FALSE), 0)</f>
        <v>0</v>
      </c>
      <c r="AE16" s="438"/>
      <c r="AF16" s="439">
        <f>IF(AE16="YES", VLOOKUP(AE$1,_Fan!$N:$Q,2,FALSE), 0)</f>
        <v>0</v>
      </c>
      <c r="AG16" s="439">
        <f>IF(AE16="YES", VLOOKUP(AE$1,_Fan!$N:$Q,3,FALSE), 0)</f>
        <v>0</v>
      </c>
      <c r="AH16" s="438"/>
      <c r="AI16" s="439">
        <f>IF(AH16="YES", VLOOKUP(AH$1,_Fan!$N:$Q,2,FALSE), 0)</f>
        <v>0</v>
      </c>
      <c r="AJ16" s="439">
        <f>IF(AH16="YES", VLOOKUP(AH$1,_Fan!$N:$Q,3,FALSE), 0)</f>
        <v>0</v>
      </c>
      <c r="AK16" s="438"/>
      <c r="AL16" s="439">
        <f>IF(AK16="YES", VLOOKUP(AK$1,_Fan!$N:$Q,2,FALSE), 0)</f>
        <v>0</v>
      </c>
      <c r="AM16" s="439">
        <f>IF(AK16="YES", VLOOKUP(AK$1,_Fan!$N:$Q,3,FALSE), 0)</f>
        <v>0</v>
      </c>
      <c r="AN16" s="438"/>
      <c r="AO16" s="439">
        <f>IF(AN16="YES", VLOOKUP(AN$1,_Fan!$N:$Q,2,FALSE), 0)</f>
        <v>0</v>
      </c>
      <c r="AP16" s="439">
        <f>IF(AN16="YES", VLOOKUP(AN$1,_Fan!$N:$Q,3,FALSE), 0)</f>
        <v>0</v>
      </c>
      <c r="AQ16" s="438"/>
      <c r="AR16" s="439">
        <f>IF(AQ16="YES", VLOOKUP(AQ$1,_Fan!$N:$Q,2,FALSE), 0)</f>
        <v>0</v>
      </c>
      <c r="AS16" s="439">
        <f>IF(AQ16="YES", VLOOKUP(AQ$1,_Fan!$N:$Q,3,FALSE), 0)</f>
        <v>0</v>
      </c>
      <c r="AT16" s="438"/>
      <c r="AU16" s="439">
        <f>IF(AT16="YES", VLOOKUP(AT$1,_Fan!$N:$Q,2,FALSE), 0)</f>
        <v>0</v>
      </c>
      <c r="AV16" s="439">
        <f>IF(AT16="YES", VLOOKUP(AT$1,_Fan!$N:$Q,3,FALSE), 0)</f>
        <v>0</v>
      </c>
      <c r="AW16" s="438"/>
      <c r="AX16" s="439">
        <f>IFERROR(VLOOKUP(AW16,_Fan!$N:$Q,2,FALSE),0)</f>
        <v>0</v>
      </c>
      <c r="AY16" s="439">
        <f>IFERROR(VLOOKUP(AW16,_Fan!$N:$Q,3,FALSE),0)</f>
        <v>0</v>
      </c>
      <c r="AZ16" s="438"/>
      <c r="BA16" s="439">
        <f>IF(AZ16="YES", VLOOKUP(AZ$1,_Fan!$N:$Q,2,FALSE), 0)</f>
        <v>0</v>
      </c>
      <c r="BB16" s="439">
        <f>IF(AZ16="YES", VLOOKUP(AZ$1,_Fan!$N:$Q,3,FALSE), 0)</f>
        <v>0</v>
      </c>
      <c r="BC16" s="430"/>
      <c r="BD16" s="430"/>
      <c r="BE16" s="430"/>
      <c r="BF16" s="430"/>
      <c r="BG16" s="430"/>
      <c r="BH16" s="430"/>
      <c r="BI16" s="430"/>
      <c r="BJ16" s="430"/>
      <c r="BK16" s="430"/>
      <c r="BL16" s="430"/>
      <c r="BM16" s="430"/>
      <c r="BN16" s="430"/>
      <c r="BO16" s="430"/>
      <c r="BP16" s="430"/>
      <c r="BQ16" s="430"/>
      <c r="BR16" s="430"/>
    </row>
    <row r="17" spans="1:70" x14ac:dyDescent="0.4">
      <c r="A17" s="429" t="str">
        <f t="shared" si="0"/>
        <v>INVALID</v>
      </c>
      <c r="B17" s="430" t="str">
        <f t="shared" si="3"/>
        <v>Fan 16</v>
      </c>
      <c r="C17" s="431">
        <f t="shared" si="4"/>
        <v>0</v>
      </c>
      <c r="D17" s="430">
        <f t="shared" si="5"/>
        <v>0</v>
      </c>
      <c r="E17" s="430"/>
      <c r="F17" s="430">
        <f t="shared" si="1"/>
        <v>0</v>
      </c>
      <c r="G17" s="430"/>
      <c r="H17" s="430"/>
      <c r="I17" s="430">
        <f t="shared" si="6"/>
        <v>0</v>
      </c>
      <c r="J17" s="430">
        <f t="shared" si="7"/>
        <v>0</v>
      </c>
      <c r="K17" s="430">
        <f>IF(AW17="VSD",(VLOOKUP("Switchboard Cable 1mm",'Part List'!$A:$G,3,FALSE)+VLOOKUP("2.5mm Twin and Earth",'Part List'!$A:$G,3,FALSE)*2),IF(AW17="KEF",(VLOOKUP("7030 2 pair TCAS7302P",'Part List'!$A:$G,3,FALSE) + VLOOKUP("4mm Cable 3 core and Earth",'Part List'!$A:$G,3,FALSE)),VLOOKUP("2.5mm Twin and Earth",'Part List'!$A:$G,3,FALSE)))</f>
        <v>0.85</v>
      </c>
      <c r="L17" s="430">
        <f t="shared" si="8"/>
        <v>0</v>
      </c>
      <c r="M17" s="430">
        <f>IF(AW17="VSD",(VLOOKUP("Switchboard Cable 1mm",'Part List'!$A:$G,5,FALSE)+VLOOKUP("2.5mm Twin and Earth",'Part List'!$A:$G,5,FALSE)*2),IF(AW17="KEF",(VLOOKUP("7030 2 pair TCAS7302P",'Part List'!$A:$G,5,FALSE) + VLOOKUP("4mm Cable 3 core and Earth",'Part List'!$A:$G,5,FALSE)),VLOOKUP("2.5mm Twin and Earth",'Part List'!$A:$G,5,FALSE)))</f>
        <v>0.1</v>
      </c>
      <c r="N17" s="430">
        <f t="shared" si="2"/>
        <v>0</v>
      </c>
      <c r="O17" s="430"/>
      <c r="P17" s="438"/>
      <c r="Q17" s="439">
        <f>IFERROR(VLOOKUP(P17,_Fan!$N:$Q,2,FALSE),0)</f>
        <v>0</v>
      </c>
      <c r="R17" s="439">
        <f>IFERROR(VLOOKUP(P17,_Fan!$N:$Q,3,FALSE),0)</f>
        <v>0</v>
      </c>
      <c r="S17" s="438"/>
      <c r="T17" s="439">
        <f>IF(S17="YES", VLOOKUP(S$1,_Fan!$N:$Q,2,FALSE), 0)</f>
        <v>0</v>
      </c>
      <c r="U17" s="439">
        <f>IF(S17="YES", VLOOKUP(S$1,_Fan!$N:$Q,3,FALSE), 0)</f>
        <v>0</v>
      </c>
      <c r="V17" s="438"/>
      <c r="W17" s="439">
        <f>IF(V17="YES", VLOOKUP(V$1,_Fan!$N:$Q,2,FALSE), 0)</f>
        <v>0</v>
      </c>
      <c r="X17" s="439">
        <f>IF(V17="YES", VLOOKUP(V$1,_Fan!$N:$Q,3,FALSE), 0)</f>
        <v>0</v>
      </c>
      <c r="Y17" s="438"/>
      <c r="Z17" s="439">
        <f>IFERROR(VLOOKUP(Y17,_Fan!$N:$Q,2,FALSE),0)</f>
        <v>0</v>
      </c>
      <c r="AA17" s="439">
        <f>IFERROR(VLOOKUP(Y17,_Fan!$N:$Q,3,FALSE),0)</f>
        <v>0</v>
      </c>
      <c r="AB17" s="438"/>
      <c r="AC17" s="439">
        <f>IF(AB17="YES", VLOOKUP(AB$1,_Fan!$N:$Q,2,FALSE), 0)</f>
        <v>0</v>
      </c>
      <c r="AD17" s="439">
        <f>IF(AB17="YES", VLOOKUP(AB$1,_Fan!$N:$Q,3,FALSE), 0)</f>
        <v>0</v>
      </c>
      <c r="AE17" s="438"/>
      <c r="AF17" s="439">
        <f>IF(AE17="YES", VLOOKUP(AE$1,_Fan!$N:$Q,2,FALSE), 0)</f>
        <v>0</v>
      </c>
      <c r="AG17" s="439">
        <f>IF(AE17="YES", VLOOKUP(AE$1,_Fan!$N:$Q,3,FALSE), 0)</f>
        <v>0</v>
      </c>
      <c r="AH17" s="438"/>
      <c r="AI17" s="439">
        <f>IF(AH17="YES", VLOOKUP(AH$1,_Fan!$N:$Q,2,FALSE), 0)</f>
        <v>0</v>
      </c>
      <c r="AJ17" s="439">
        <f>IF(AH17="YES", VLOOKUP(AH$1,_Fan!$N:$Q,3,FALSE), 0)</f>
        <v>0</v>
      </c>
      <c r="AK17" s="438"/>
      <c r="AL17" s="439">
        <f>IF(AK17="YES", VLOOKUP(AK$1,_Fan!$N:$Q,2,FALSE), 0)</f>
        <v>0</v>
      </c>
      <c r="AM17" s="439">
        <f>IF(AK17="YES", VLOOKUP(AK$1,_Fan!$N:$Q,3,FALSE), 0)</f>
        <v>0</v>
      </c>
      <c r="AN17" s="438"/>
      <c r="AO17" s="439">
        <f>IF(AN17="YES", VLOOKUP(AN$1,_Fan!$N:$Q,2,FALSE), 0)</f>
        <v>0</v>
      </c>
      <c r="AP17" s="439">
        <f>IF(AN17="YES", VLOOKUP(AN$1,_Fan!$N:$Q,3,FALSE), 0)</f>
        <v>0</v>
      </c>
      <c r="AQ17" s="438"/>
      <c r="AR17" s="439">
        <f>IF(AQ17="YES", VLOOKUP(AQ$1,_Fan!$N:$Q,2,FALSE), 0)</f>
        <v>0</v>
      </c>
      <c r="AS17" s="439">
        <f>IF(AQ17="YES", VLOOKUP(AQ$1,_Fan!$N:$Q,3,FALSE), 0)</f>
        <v>0</v>
      </c>
      <c r="AT17" s="438"/>
      <c r="AU17" s="439">
        <f>IF(AT17="YES", VLOOKUP(AT$1,_Fan!$N:$Q,2,FALSE), 0)</f>
        <v>0</v>
      </c>
      <c r="AV17" s="439">
        <f>IF(AT17="YES", VLOOKUP(AT$1,_Fan!$N:$Q,3,FALSE), 0)</f>
        <v>0</v>
      </c>
      <c r="AW17" s="438"/>
      <c r="AX17" s="439">
        <f>IFERROR(VLOOKUP(AW17,_Fan!$N:$Q,2,FALSE),0)</f>
        <v>0</v>
      </c>
      <c r="AY17" s="439">
        <f>IFERROR(VLOOKUP(AW17,_Fan!$N:$Q,3,FALSE),0)</f>
        <v>0</v>
      </c>
      <c r="AZ17" s="438"/>
      <c r="BA17" s="439">
        <f>IF(AZ17="YES", VLOOKUP(AZ$1,_Fan!$N:$Q,2,FALSE), 0)</f>
        <v>0</v>
      </c>
      <c r="BB17" s="439">
        <f>IF(AZ17="YES", VLOOKUP(AZ$1,_Fan!$N:$Q,3,FALSE), 0)</f>
        <v>0</v>
      </c>
      <c r="BC17" s="430"/>
      <c r="BD17" s="430"/>
      <c r="BE17" s="430"/>
      <c r="BF17" s="430"/>
      <c r="BG17" s="430"/>
      <c r="BH17" s="430"/>
      <c r="BI17" s="430"/>
      <c r="BJ17" s="430"/>
      <c r="BK17" s="430"/>
      <c r="BL17" s="430"/>
      <c r="BM17" s="430"/>
      <c r="BN17" s="430"/>
      <c r="BO17" s="430"/>
      <c r="BP17" s="430"/>
      <c r="BQ17" s="430"/>
      <c r="BR17" s="430"/>
    </row>
    <row r="18" spans="1:70" x14ac:dyDescent="0.4">
      <c r="A18" s="429" t="str">
        <f t="shared" si="0"/>
        <v>INVALID</v>
      </c>
      <c r="B18" s="430" t="str">
        <f t="shared" si="3"/>
        <v>Fan 17</v>
      </c>
      <c r="C18" s="431">
        <f t="shared" si="4"/>
        <v>0</v>
      </c>
      <c r="D18" s="430">
        <f t="shared" si="5"/>
        <v>0</v>
      </c>
      <c r="E18" s="430"/>
      <c r="F18" s="430">
        <f t="shared" si="1"/>
        <v>0</v>
      </c>
      <c r="G18" s="430"/>
      <c r="H18" s="430"/>
      <c r="I18" s="430">
        <f t="shared" si="6"/>
        <v>0</v>
      </c>
      <c r="J18" s="430">
        <f t="shared" si="7"/>
        <v>0</v>
      </c>
      <c r="K18" s="430">
        <f>IF(AW18="VSD",(VLOOKUP("Switchboard Cable 1mm",'Part List'!$A:$G,3,FALSE)+VLOOKUP("2.5mm Twin and Earth",'Part List'!$A:$G,3,FALSE)*2),IF(AW18="KEF",(VLOOKUP("7030 2 pair TCAS7302P",'Part List'!$A:$G,3,FALSE) + VLOOKUP("4mm Cable 3 core and Earth",'Part List'!$A:$G,3,FALSE)),VLOOKUP("2.5mm Twin and Earth",'Part List'!$A:$G,3,FALSE)))</f>
        <v>0.85</v>
      </c>
      <c r="L18" s="430">
        <f t="shared" si="8"/>
        <v>0</v>
      </c>
      <c r="M18" s="430">
        <f>IF(AW18="VSD",(VLOOKUP("Switchboard Cable 1mm",'Part List'!$A:$G,5,FALSE)+VLOOKUP("2.5mm Twin and Earth",'Part List'!$A:$G,5,FALSE)*2),IF(AW18="KEF",(VLOOKUP("7030 2 pair TCAS7302P",'Part List'!$A:$G,5,FALSE) + VLOOKUP("4mm Cable 3 core and Earth",'Part List'!$A:$G,5,FALSE)),VLOOKUP("2.5mm Twin and Earth",'Part List'!$A:$G,5,FALSE)))</f>
        <v>0.1</v>
      </c>
      <c r="N18" s="430">
        <f t="shared" si="2"/>
        <v>0</v>
      </c>
      <c r="O18" s="430"/>
      <c r="P18" s="438"/>
      <c r="Q18" s="439">
        <f>IFERROR(VLOOKUP(P18,_Fan!$N:$Q,2,FALSE),0)</f>
        <v>0</v>
      </c>
      <c r="R18" s="439">
        <f>IFERROR(VLOOKUP(P18,_Fan!$N:$Q,3,FALSE),0)</f>
        <v>0</v>
      </c>
      <c r="S18" s="438"/>
      <c r="T18" s="439">
        <f>IF(S18="YES", VLOOKUP(S$1,_Fan!$N:$Q,2,FALSE), 0)</f>
        <v>0</v>
      </c>
      <c r="U18" s="439">
        <f>IF(S18="YES", VLOOKUP(S$1,_Fan!$N:$Q,3,FALSE), 0)</f>
        <v>0</v>
      </c>
      <c r="V18" s="438"/>
      <c r="W18" s="439">
        <f>IF(V18="YES", VLOOKUP(V$1,_Fan!$N:$Q,2,FALSE), 0)</f>
        <v>0</v>
      </c>
      <c r="X18" s="439">
        <f>IF(V18="YES", VLOOKUP(V$1,_Fan!$N:$Q,3,FALSE), 0)</f>
        <v>0</v>
      </c>
      <c r="Y18" s="438"/>
      <c r="Z18" s="439">
        <f>IFERROR(VLOOKUP(Y18,_Fan!$N:$Q,2,FALSE),0)</f>
        <v>0</v>
      </c>
      <c r="AA18" s="439">
        <f>IFERROR(VLOOKUP(Y18,_Fan!$N:$Q,3,FALSE),0)</f>
        <v>0</v>
      </c>
      <c r="AB18" s="438"/>
      <c r="AC18" s="439">
        <f>IF(AB18="YES", VLOOKUP(AB$1,_Fan!$N:$Q,2,FALSE), 0)</f>
        <v>0</v>
      </c>
      <c r="AD18" s="439">
        <f>IF(AB18="YES", VLOOKUP(AB$1,_Fan!$N:$Q,3,FALSE), 0)</f>
        <v>0</v>
      </c>
      <c r="AE18" s="438"/>
      <c r="AF18" s="439">
        <f>IF(AE18="YES", VLOOKUP(AE$1,_Fan!$N:$Q,2,FALSE), 0)</f>
        <v>0</v>
      </c>
      <c r="AG18" s="439">
        <f>IF(AE18="YES", VLOOKUP(AE$1,_Fan!$N:$Q,3,FALSE), 0)</f>
        <v>0</v>
      </c>
      <c r="AH18" s="438"/>
      <c r="AI18" s="439">
        <f>IF(AH18="YES", VLOOKUP(AH$1,_Fan!$N:$Q,2,FALSE), 0)</f>
        <v>0</v>
      </c>
      <c r="AJ18" s="439">
        <f>IF(AH18="YES", VLOOKUP(AH$1,_Fan!$N:$Q,3,FALSE), 0)</f>
        <v>0</v>
      </c>
      <c r="AK18" s="438"/>
      <c r="AL18" s="439">
        <f>IF(AK18="YES", VLOOKUP(AK$1,_Fan!$N:$Q,2,FALSE), 0)</f>
        <v>0</v>
      </c>
      <c r="AM18" s="439">
        <f>IF(AK18="YES", VLOOKUP(AK$1,_Fan!$N:$Q,3,FALSE), 0)</f>
        <v>0</v>
      </c>
      <c r="AN18" s="438"/>
      <c r="AO18" s="439">
        <f>IF(AN18="YES", VLOOKUP(AN$1,_Fan!$N:$Q,2,FALSE), 0)</f>
        <v>0</v>
      </c>
      <c r="AP18" s="439">
        <f>IF(AN18="YES", VLOOKUP(AN$1,_Fan!$N:$Q,3,FALSE), 0)</f>
        <v>0</v>
      </c>
      <c r="AQ18" s="438"/>
      <c r="AR18" s="439">
        <f>IF(AQ18="YES", VLOOKUP(AQ$1,_Fan!$N:$Q,2,FALSE), 0)</f>
        <v>0</v>
      </c>
      <c r="AS18" s="439">
        <f>IF(AQ18="YES", VLOOKUP(AQ$1,_Fan!$N:$Q,3,FALSE), 0)</f>
        <v>0</v>
      </c>
      <c r="AT18" s="438"/>
      <c r="AU18" s="439">
        <f>IF(AT18="YES", VLOOKUP(AT$1,_Fan!$N:$Q,2,FALSE), 0)</f>
        <v>0</v>
      </c>
      <c r="AV18" s="439">
        <f>IF(AT18="YES", VLOOKUP(AT$1,_Fan!$N:$Q,3,FALSE), 0)</f>
        <v>0</v>
      </c>
      <c r="AW18" s="438"/>
      <c r="AX18" s="439">
        <f>IFERROR(VLOOKUP(AW18,_Fan!$N:$Q,2,FALSE),0)</f>
        <v>0</v>
      </c>
      <c r="AY18" s="439">
        <f>IFERROR(VLOOKUP(AW18,_Fan!$N:$Q,3,FALSE),0)</f>
        <v>0</v>
      </c>
      <c r="AZ18" s="438"/>
      <c r="BA18" s="439">
        <f>IF(AZ18="YES", VLOOKUP(AZ$1,_Fan!$N:$Q,2,FALSE), 0)</f>
        <v>0</v>
      </c>
      <c r="BB18" s="439">
        <f>IF(AZ18="YES", VLOOKUP(AZ$1,_Fan!$N:$Q,3,FALSE), 0)</f>
        <v>0</v>
      </c>
      <c r="BC18" s="430"/>
      <c r="BD18" s="430"/>
      <c r="BE18" s="430"/>
      <c r="BF18" s="430"/>
      <c r="BG18" s="430"/>
      <c r="BH18" s="430"/>
      <c r="BI18" s="430"/>
      <c r="BJ18" s="430"/>
      <c r="BK18" s="430"/>
      <c r="BL18" s="430"/>
      <c r="BM18" s="430"/>
      <c r="BN18" s="430"/>
      <c r="BO18" s="430"/>
      <c r="BP18" s="430"/>
      <c r="BQ18" s="430"/>
      <c r="BR18" s="430"/>
    </row>
    <row r="19" spans="1:70" x14ac:dyDescent="0.4">
      <c r="A19" s="429" t="str">
        <f t="shared" si="0"/>
        <v>INVALID</v>
      </c>
      <c r="B19" s="430" t="str">
        <f t="shared" si="3"/>
        <v>Fan 18</v>
      </c>
      <c r="C19" s="431">
        <f t="shared" si="4"/>
        <v>0</v>
      </c>
      <c r="D19" s="430">
        <f t="shared" si="5"/>
        <v>0</v>
      </c>
      <c r="E19" s="430"/>
      <c r="F19" s="430">
        <f t="shared" si="1"/>
        <v>0</v>
      </c>
      <c r="G19" s="430"/>
      <c r="H19" s="430"/>
      <c r="I19" s="430">
        <f t="shared" si="6"/>
        <v>0</v>
      </c>
      <c r="J19" s="430">
        <f t="shared" si="7"/>
        <v>0</v>
      </c>
      <c r="K19" s="430">
        <f>IF(AW19="VSD",(VLOOKUP("Switchboard Cable 1mm",'Part List'!$A:$G,3,FALSE)+VLOOKUP("2.5mm Twin and Earth",'Part List'!$A:$G,3,FALSE)*2),IF(AW19="KEF",(VLOOKUP("7030 2 pair TCAS7302P",'Part List'!$A:$G,3,FALSE) + VLOOKUP("4mm Cable 3 core and Earth",'Part List'!$A:$G,3,FALSE)),VLOOKUP("2.5mm Twin and Earth",'Part List'!$A:$G,3,FALSE)))</f>
        <v>0.85</v>
      </c>
      <c r="L19" s="430">
        <f t="shared" si="8"/>
        <v>0</v>
      </c>
      <c r="M19" s="430">
        <f>IF(AW19="VSD",(VLOOKUP("Switchboard Cable 1mm",'Part List'!$A:$G,5,FALSE)+VLOOKUP("2.5mm Twin and Earth",'Part List'!$A:$G,5,FALSE)*2),IF(AW19="KEF",(VLOOKUP("7030 2 pair TCAS7302P",'Part List'!$A:$G,5,FALSE) + VLOOKUP("4mm Cable 3 core and Earth",'Part List'!$A:$G,5,FALSE)),VLOOKUP("2.5mm Twin and Earth",'Part List'!$A:$G,5,FALSE)))</f>
        <v>0.1</v>
      </c>
      <c r="N19" s="430">
        <f t="shared" si="2"/>
        <v>0</v>
      </c>
      <c r="O19" s="430"/>
      <c r="P19" s="438"/>
      <c r="Q19" s="439">
        <f>IFERROR(VLOOKUP(P19,_Fan!$N:$Q,2,FALSE),0)</f>
        <v>0</v>
      </c>
      <c r="R19" s="439">
        <f>IFERROR(VLOOKUP(P19,_Fan!$N:$Q,3,FALSE),0)</f>
        <v>0</v>
      </c>
      <c r="S19" s="438"/>
      <c r="T19" s="439">
        <f>IF(S19="YES", VLOOKUP(S$1,_Fan!$N:$Q,2,FALSE), 0)</f>
        <v>0</v>
      </c>
      <c r="U19" s="439">
        <f>IF(S19="YES", VLOOKUP(S$1,_Fan!$N:$Q,3,FALSE), 0)</f>
        <v>0</v>
      </c>
      <c r="V19" s="438"/>
      <c r="W19" s="439">
        <f>IF(V19="YES", VLOOKUP(V$1,_Fan!$N:$Q,2,FALSE), 0)</f>
        <v>0</v>
      </c>
      <c r="X19" s="439">
        <f>IF(V19="YES", VLOOKUP(V$1,_Fan!$N:$Q,3,FALSE), 0)</f>
        <v>0</v>
      </c>
      <c r="Y19" s="438"/>
      <c r="Z19" s="439">
        <f>IFERROR(VLOOKUP(Y19,_Fan!$N:$Q,2,FALSE),0)</f>
        <v>0</v>
      </c>
      <c r="AA19" s="439">
        <f>IFERROR(VLOOKUP(Y19,_Fan!$N:$Q,3,FALSE),0)</f>
        <v>0</v>
      </c>
      <c r="AB19" s="438"/>
      <c r="AC19" s="439">
        <f>IF(AB19="YES", VLOOKUP(AB$1,_Fan!$N:$Q,2,FALSE), 0)</f>
        <v>0</v>
      </c>
      <c r="AD19" s="439">
        <f>IF(AB19="YES", VLOOKUP(AB$1,_Fan!$N:$Q,3,FALSE), 0)</f>
        <v>0</v>
      </c>
      <c r="AE19" s="438"/>
      <c r="AF19" s="439">
        <f>IF(AE19="YES", VLOOKUP(AE$1,_Fan!$N:$Q,2,FALSE), 0)</f>
        <v>0</v>
      </c>
      <c r="AG19" s="439">
        <f>IF(AE19="YES", VLOOKUP(AE$1,_Fan!$N:$Q,3,FALSE), 0)</f>
        <v>0</v>
      </c>
      <c r="AH19" s="438"/>
      <c r="AI19" s="439">
        <f>IF(AH19="YES", VLOOKUP(AH$1,_Fan!$N:$Q,2,FALSE), 0)</f>
        <v>0</v>
      </c>
      <c r="AJ19" s="439">
        <f>IF(AH19="YES", VLOOKUP(AH$1,_Fan!$N:$Q,3,FALSE), 0)</f>
        <v>0</v>
      </c>
      <c r="AK19" s="438"/>
      <c r="AL19" s="439">
        <f>IF(AK19="YES", VLOOKUP(AK$1,_Fan!$N:$Q,2,FALSE), 0)</f>
        <v>0</v>
      </c>
      <c r="AM19" s="439">
        <f>IF(AK19="YES", VLOOKUP(AK$1,_Fan!$N:$Q,3,FALSE), 0)</f>
        <v>0</v>
      </c>
      <c r="AN19" s="438"/>
      <c r="AO19" s="439">
        <f>IF(AN19="YES", VLOOKUP(AN$1,_Fan!$N:$Q,2,FALSE), 0)</f>
        <v>0</v>
      </c>
      <c r="AP19" s="439">
        <f>IF(AN19="YES", VLOOKUP(AN$1,_Fan!$N:$Q,3,FALSE), 0)</f>
        <v>0</v>
      </c>
      <c r="AQ19" s="438"/>
      <c r="AR19" s="439">
        <f>IF(AQ19="YES", VLOOKUP(AQ$1,_Fan!$N:$Q,2,FALSE), 0)</f>
        <v>0</v>
      </c>
      <c r="AS19" s="439">
        <f>IF(AQ19="YES", VLOOKUP(AQ$1,_Fan!$N:$Q,3,FALSE), 0)</f>
        <v>0</v>
      </c>
      <c r="AT19" s="438"/>
      <c r="AU19" s="439">
        <f>IF(AT19="YES", VLOOKUP(AT$1,_Fan!$N:$Q,2,FALSE), 0)</f>
        <v>0</v>
      </c>
      <c r="AV19" s="439">
        <f>IF(AT19="YES", VLOOKUP(AT$1,_Fan!$N:$Q,3,FALSE), 0)</f>
        <v>0</v>
      </c>
      <c r="AW19" s="438"/>
      <c r="AX19" s="439">
        <f>IFERROR(VLOOKUP(AW19,_Fan!$N:$Q,2,FALSE),0)</f>
        <v>0</v>
      </c>
      <c r="AY19" s="439">
        <f>IFERROR(VLOOKUP(AW19,_Fan!$N:$Q,3,FALSE),0)</f>
        <v>0</v>
      </c>
      <c r="AZ19" s="438"/>
      <c r="BA19" s="439">
        <f>IF(AZ19="YES", VLOOKUP(AZ$1,_Fan!$N:$Q,2,FALSE), 0)</f>
        <v>0</v>
      </c>
      <c r="BB19" s="439">
        <f>IF(AZ19="YES", VLOOKUP(AZ$1,_Fan!$N:$Q,3,FALSE), 0)</f>
        <v>0</v>
      </c>
      <c r="BC19" s="430"/>
      <c r="BD19" s="430"/>
      <c r="BE19" s="430"/>
      <c r="BF19" s="430"/>
      <c r="BG19" s="430"/>
      <c r="BH19" s="430"/>
      <c r="BI19" s="430"/>
      <c r="BJ19" s="430"/>
      <c r="BK19" s="430"/>
      <c r="BL19" s="430"/>
      <c r="BM19" s="430"/>
      <c r="BN19" s="430"/>
      <c r="BO19" s="430"/>
      <c r="BP19" s="430"/>
      <c r="BQ19" s="430"/>
      <c r="BR19" s="430"/>
    </row>
    <row r="20" spans="1:70" x14ac:dyDescent="0.4">
      <c r="A20" s="429" t="str">
        <f t="shared" si="0"/>
        <v>INVALID</v>
      </c>
      <c r="B20" s="430" t="str">
        <f t="shared" si="3"/>
        <v>Fan 19</v>
      </c>
      <c r="C20" s="431">
        <f t="shared" si="4"/>
        <v>0</v>
      </c>
      <c r="D20" s="430">
        <f t="shared" si="5"/>
        <v>0</v>
      </c>
      <c r="E20" s="430"/>
      <c r="F20" s="430">
        <f t="shared" si="1"/>
        <v>0</v>
      </c>
      <c r="G20" s="430"/>
      <c r="H20" s="430"/>
      <c r="I20" s="430">
        <f t="shared" si="6"/>
        <v>0</v>
      </c>
      <c r="J20" s="430">
        <f t="shared" si="7"/>
        <v>0</v>
      </c>
      <c r="K20" s="430">
        <f>IF(AW20="VSD",(VLOOKUP("Switchboard Cable 1mm",'Part List'!$A:$G,3,FALSE)+VLOOKUP("2.5mm Twin and Earth",'Part List'!$A:$G,3,FALSE)*2),IF(AW20="KEF",(VLOOKUP("7030 2 pair TCAS7302P",'Part List'!$A:$G,3,FALSE) + VLOOKUP("4mm Cable 3 core and Earth",'Part List'!$A:$G,3,FALSE)),VLOOKUP("2.5mm Twin and Earth",'Part List'!$A:$G,3,FALSE)))</f>
        <v>0.85</v>
      </c>
      <c r="L20" s="430">
        <f t="shared" si="8"/>
        <v>0</v>
      </c>
      <c r="M20" s="430">
        <f>IF(AW20="VSD",(VLOOKUP("Switchboard Cable 1mm",'Part List'!$A:$G,5,FALSE)+VLOOKUP("2.5mm Twin and Earth",'Part List'!$A:$G,5,FALSE)*2),IF(AW20="KEF",(VLOOKUP("7030 2 pair TCAS7302P",'Part List'!$A:$G,5,FALSE) + VLOOKUP("4mm Cable 3 core and Earth",'Part List'!$A:$G,5,FALSE)),VLOOKUP("2.5mm Twin and Earth",'Part List'!$A:$G,5,FALSE)))</f>
        <v>0.1</v>
      </c>
      <c r="N20" s="430">
        <f t="shared" si="2"/>
        <v>0</v>
      </c>
      <c r="O20" s="430"/>
      <c r="P20" s="438"/>
      <c r="Q20" s="439">
        <f>IFERROR(VLOOKUP(P20,_Fan!$N:$Q,2,FALSE),0)</f>
        <v>0</v>
      </c>
      <c r="R20" s="439">
        <f>IFERROR(VLOOKUP(P20,_Fan!$N:$Q,3,FALSE),0)</f>
        <v>0</v>
      </c>
      <c r="S20" s="438"/>
      <c r="T20" s="439">
        <f>IF(S20="YES", VLOOKUP(S$1,_Fan!$N:$Q,2,FALSE), 0)</f>
        <v>0</v>
      </c>
      <c r="U20" s="439">
        <f>IF(S20="YES", VLOOKUP(S$1,_Fan!$N:$Q,3,FALSE), 0)</f>
        <v>0</v>
      </c>
      <c r="V20" s="438"/>
      <c r="W20" s="439">
        <f>IF(V20="YES", VLOOKUP(V$1,_Fan!$N:$Q,2,FALSE), 0)</f>
        <v>0</v>
      </c>
      <c r="X20" s="439">
        <f>IF(V20="YES", VLOOKUP(V$1,_Fan!$N:$Q,3,FALSE), 0)</f>
        <v>0</v>
      </c>
      <c r="Y20" s="438"/>
      <c r="Z20" s="439">
        <f>IFERROR(VLOOKUP(Y20,_Fan!$N:$Q,2,FALSE),0)</f>
        <v>0</v>
      </c>
      <c r="AA20" s="439">
        <f>IFERROR(VLOOKUP(Y20,_Fan!$N:$Q,3,FALSE),0)</f>
        <v>0</v>
      </c>
      <c r="AB20" s="438"/>
      <c r="AC20" s="439">
        <f>IF(AB20="YES", VLOOKUP(AB$1,_Fan!$N:$Q,2,FALSE), 0)</f>
        <v>0</v>
      </c>
      <c r="AD20" s="439">
        <f>IF(AB20="YES", VLOOKUP(AB$1,_Fan!$N:$Q,3,FALSE), 0)</f>
        <v>0</v>
      </c>
      <c r="AE20" s="438"/>
      <c r="AF20" s="439">
        <f>IF(AE20="YES", VLOOKUP(AE$1,_Fan!$N:$Q,2,FALSE), 0)</f>
        <v>0</v>
      </c>
      <c r="AG20" s="439">
        <f>IF(AE20="YES", VLOOKUP(AE$1,_Fan!$N:$Q,3,FALSE), 0)</f>
        <v>0</v>
      </c>
      <c r="AH20" s="438"/>
      <c r="AI20" s="439">
        <f>IF(AH20="YES", VLOOKUP(AH$1,_Fan!$N:$Q,2,FALSE), 0)</f>
        <v>0</v>
      </c>
      <c r="AJ20" s="439">
        <f>IF(AH20="YES", VLOOKUP(AH$1,_Fan!$N:$Q,3,FALSE), 0)</f>
        <v>0</v>
      </c>
      <c r="AK20" s="438"/>
      <c r="AL20" s="439">
        <f>IF(AK20="YES", VLOOKUP(AK$1,_Fan!$N:$Q,2,FALSE), 0)</f>
        <v>0</v>
      </c>
      <c r="AM20" s="439">
        <f>IF(AK20="YES", VLOOKUP(AK$1,_Fan!$N:$Q,3,FALSE), 0)</f>
        <v>0</v>
      </c>
      <c r="AN20" s="438"/>
      <c r="AO20" s="439">
        <f>IF(AN20="YES", VLOOKUP(AN$1,_Fan!$N:$Q,2,FALSE), 0)</f>
        <v>0</v>
      </c>
      <c r="AP20" s="439">
        <f>IF(AN20="YES", VLOOKUP(AN$1,_Fan!$N:$Q,3,FALSE), 0)</f>
        <v>0</v>
      </c>
      <c r="AQ20" s="438"/>
      <c r="AR20" s="439">
        <f>IF(AQ20="YES", VLOOKUP(AQ$1,_Fan!$N:$Q,2,FALSE), 0)</f>
        <v>0</v>
      </c>
      <c r="AS20" s="439">
        <f>IF(AQ20="YES", VLOOKUP(AQ$1,_Fan!$N:$Q,3,FALSE), 0)</f>
        <v>0</v>
      </c>
      <c r="AT20" s="438"/>
      <c r="AU20" s="439">
        <f>IF(AT20="YES", VLOOKUP(AT$1,_Fan!$N:$Q,2,FALSE), 0)</f>
        <v>0</v>
      </c>
      <c r="AV20" s="439">
        <f>IF(AT20="YES", VLOOKUP(AT$1,_Fan!$N:$Q,3,FALSE), 0)</f>
        <v>0</v>
      </c>
      <c r="AW20" s="438"/>
      <c r="AX20" s="439">
        <f>IFERROR(VLOOKUP(AW20,_Fan!$N:$Q,2,FALSE),0)</f>
        <v>0</v>
      </c>
      <c r="AY20" s="439">
        <f>IFERROR(VLOOKUP(AW20,_Fan!$N:$Q,3,FALSE),0)</f>
        <v>0</v>
      </c>
      <c r="AZ20" s="438"/>
      <c r="BA20" s="439">
        <f>IF(AZ20="YES", VLOOKUP(AZ$1,_Fan!$N:$Q,2,FALSE), 0)</f>
        <v>0</v>
      </c>
      <c r="BB20" s="439">
        <f>IF(AZ20="YES", VLOOKUP(AZ$1,_Fan!$N:$Q,3,FALSE), 0)</f>
        <v>0</v>
      </c>
      <c r="BC20" s="430"/>
      <c r="BD20" s="430"/>
      <c r="BE20" s="430"/>
      <c r="BF20" s="430"/>
      <c r="BG20" s="430"/>
      <c r="BH20" s="430"/>
      <c r="BI20" s="430"/>
      <c r="BJ20" s="430"/>
      <c r="BK20" s="430"/>
      <c r="BL20" s="430"/>
      <c r="BM20" s="430"/>
      <c r="BN20" s="430"/>
      <c r="BO20" s="430"/>
      <c r="BP20" s="430"/>
      <c r="BQ20" s="430"/>
      <c r="BR20" s="430"/>
    </row>
    <row r="21" spans="1:70" x14ac:dyDescent="0.4">
      <c r="A21" s="429" t="str">
        <f t="shared" si="0"/>
        <v>INVALID</v>
      </c>
      <c r="B21" s="430" t="str">
        <f t="shared" si="3"/>
        <v>Fan 20</v>
      </c>
      <c r="C21" s="431">
        <f t="shared" si="4"/>
        <v>0</v>
      </c>
      <c r="D21" s="430">
        <f t="shared" si="5"/>
        <v>0</v>
      </c>
      <c r="E21" s="430"/>
      <c r="F21" s="430">
        <f t="shared" si="1"/>
        <v>0</v>
      </c>
      <c r="G21" s="430"/>
      <c r="H21" s="430"/>
      <c r="I21" s="430">
        <f t="shared" si="6"/>
        <v>0</v>
      </c>
      <c r="J21" s="430">
        <f t="shared" si="7"/>
        <v>0</v>
      </c>
      <c r="K21" s="430">
        <f>IF(AW21="VSD",(VLOOKUP("Switchboard Cable 1mm",'Part List'!$A:$G,3,FALSE)+VLOOKUP("2.5mm Twin and Earth",'Part List'!$A:$G,3,FALSE)*2),IF(AW21="KEF",(VLOOKUP("7030 2 pair TCAS7302P",'Part List'!$A:$G,3,FALSE) + VLOOKUP("4mm Cable 3 core and Earth",'Part List'!$A:$G,3,FALSE)),VLOOKUP("2.5mm Twin and Earth",'Part List'!$A:$G,3,FALSE)))</f>
        <v>0.85</v>
      </c>
      <c r="L21" s="430">
        <f t="shared" si="8"/>
        <v>0</v>
      </c>
      <c r="M21" s="430">
        <f>IF(AW21="VSD",(VLOOKUP("Switchboard Cable 1mm",'Part List'!$A:$G,5,FALSE)+VLOOKUP("2.5mm Twin and Earth",'Part List'!$A:$G,5,FALSE)*2),IF(AW21="KEF",(VLOOKUP("7030 2 pair TCAS7302P",'Part List'!$A:$G,5,FALSE) + VLOOKUP("4mm Cable 3 core and Earth",'Part List'!$A:$G,5,FALSE)),VLOOKUP("2.5mm Twin and Earth",'Part List'!$A:$G,5,FALSE)))</f>
        <v>0.1</v>
      </c>
      <c r="N21" s="430">
        <f t="shared" si="2"/>
        <v>0</v>
      </c>
      <c r="O21" s="430"/>
      <c r="P21" s="438"/>
      <c r="Q21" s="439">
        <f>IFERROR(VLOOKUP(P21,_Fan!$N:$Q,2,FALSE),0)</f>
        <v>0</v>
      </c>
      <c r="R21" s="439">
        <f>IFERROR(VLOOKUP(P21,_Fan!$N:$Q,3,FALSE),0)</f>
        <v>0</v>
      </c>
      <c r="S21" s="438"/>
      <c r="T21" s="439">
        <f>IF(S21="YES", VLOOKUP(S$1,_Fan!$N:$Q,2,FALSE), 0)</f>
        <v>0</v>
      </c>
      <c r="U21" s="439">
        <f>IF(S21="YES", VLOOKUP(S$1,_Fan!$N:$Q,3,FALSE), 0)</f>
        <v>0</v>
      </c>
      <c r="V21" s="438"/>
      <c r="W21" s="439">
        <f>IF(V21="YES", VLOOKUP(V$1,_Fan!$N:$Q,2,FALSE), 0)</f>
        <v>0</v>
      </c>
      <c r="X21" s="439">
        <f>IF(V21="YES", VLOOKUP(V$1,_Fan!$N:$Q,3,FALSE), 0)</f>
        <v>0</v>
      </c>
      <c r="Y21" s="438"/>
      <c r="Z21" s="439">
        <f>IFERROR(VLOOKUP(Y21,_Fan!$N:$Q,2,FALSE),0)</f>
        <v>0</v>
      </c>
      <c r="AA21" s="439">
        <f>IFERROR(VLOOKUP(Y21,_Fan!$N:$Q,3,FALSE),0)</f>
        <v>0</v>
      </c>
      <c r="AB21" s="438"/>
      <c r="AC21" s="439">
        <f>IF(AB21="YES", VLOOKUP(AB$1,_Fan!$N:$Q,2,FALSE), 0)</f>
        <v>0</v>
      </c>
      <c r="AD21" s="439">
        <f>IF(AB21="YES", VLOOKUP(AB$1,_Fan!$N:$Q,3,FALSE), 0)</f>
        <v>0</v>
      </c>
      <c r="AE21" s="438"/>
      <c r="AF21" s="439">
        <f>IF(AE21="YES", VLOOKUP(AE$1,_Fan!$N:$Q,2,FALSE), 0)</f>
        <v>0</v>
      </c>
      <c r="AG21" s="439">
        <f>IF(AE21="YES", VLOOKUP(AE$1,_Fan!$N:$Q,3,FALSE), 0)</f>
        <v>0</v>
      </c>
      <c r="AH21" s="438"/>
      <c r="AI21" s="439">
        <f>IF(AH21="YES", VLOOKUP(AH$1,_Fan!$N:$Q,2,FALSE), 0)</f>
        <v>0</v>
      </c>
      <c r="AJ21" s="439">
        <f>IF(AH21="YES", VLOOKUP(AH$1,_Fan!$N:$Q,3,FALSE), 0)</f>
        <v>0</v>
      </c>
      <c r="AK21" s="438"/>
      <c r="AL21" s="439">
        <f>IF(AK21="YES", VLOOKUP(AK$1,_Fan!$N:$Q,2,FALSE), 0)</f>
        <v>0</v>
      </c>
      <c r="AM21" s="439">
        <f>IF(AK21="YES", VLOOKUP(AK$1,_Fan!$N:$Q,3,FALSE), 0)</f>
        <v>0</v>
      </c>
      <c r="AN21" s="438"/>
      <c r="AO21" s="439">
        <f>IF(AN21="YES", VLOOKUP(AN$1,_Fan!$N:$Q,2,FALSE), 0)</f>
        <v>0</v>
      </c>
      <c r="AP21" s="439">
        <f>IF(AN21="YES", VLOOKUP(AN$1,_Fan!$N:$Q,3,FALSE), 0)</f>
        <v>0</v>
      </c>
      <c r="AQ21" s="438"/>
      <c r="AR21" s="439">
        <f>IF(AQ21="YES", VLOOKUP(AQ$1,_Fan!$N:$Q,2,FALSE), 0)</f>
        <v>0</v>
      </c>
      <c r="AS21" s="439">
        <f>IF(AQ21="YES", VLOOKUP(AQ$1,_Fan!$N:$Q,3,FALSE), 0)</f>
        <v>0</v>
      </c>
      <c r="AT21" s="438"/>
      <c r="AU21" s="439">
        <f>IF(AT21="YES", VLOOKUP(AT$1,_Fan!$N:$Q,2,FALSE), 0)</f>
        <v>0</v>
      </c>
      <c r="AV21" s="439">
        <f>IF(AT21="YES", VLOOKUP(AT$1,_Fan!$N:$Q,3,FALSE), 0)</f>
        <v>0</v>
      </c>
      <c r="AW21" s="438"/>
      <c r="AX21" s="439">
        <f>IFERROR(VLOOKUP(AW21,_Fan!$N:$Q,2,FALSE),0)</f>
        <v>0</v>
      </c>
      <c r="AY21" s="439">
        <f>IFERROR(VLOOKUP(AW21,_Fan!$N:$Q,3,FALSE),0)</f>
        <v>0</v>
      </c>
      <c r="AZ21" s="438"/>
      <c r="BA21" s="439">
        <f>IF(AZ21="YES", VLOOKUP(AZ$1,_Fan!$N:$Q,2,FALSE), 0)</f>
        <v>0</v>
      </c>
      <c r="BB21" s="439">
        <f>IF(AZ21="YES", VLOOKUP(AZ$1,_Fan!$N:$Q,3,FALSE), 0)</f>
        <v>0</v>
      </c>
      <c r="BC21" s="430"/>
      <c r="BD21" s="430"/>
      <c r="BE21" s="430"/>
      <c r="BF21" s="430"/>
      <c r="BG21" s="430"/>
      <c r="BH21" s="430"/>
      <c r="BI21" s="430"/>
      <c r="BJ21" s="430"/>
      <c r="BK21" s="430"/>
      <c r="BL21" s="430"/>
      <c r="BM21" s="430"/>
      <c r="BN21" s="430"/>
      <c r="BO21" s="430"/>
      <c r="BP21" s="430"/>
      <c r="BQ21" s="430"/>
      <c r="BR21" s="430"/>
    </row>
    <row r="22" spans="1:70" x14ac:dyDescent="0.4">
      <c r="A22" s="429" t="str">
        <f t="shared" si="0"/>
        <v>INVALID</v>
      </c>
      <c r="B22" s="430" t="str">
        <f t="shared" si="3"/>
        <v>Fan 21</v>
      </c>
      <c r="C22" s="431">
        <f t="shared" si="4"/>
        <v>0</v>
      </c>
      <c r="D22" s="430">
        <f t="shared" si="5"/>
        <v>0</v>
      </c>
      <c r="E22" s="430"/>
      <c r="F22" s="430">
        <f t="shared" si="1"/>
        <v>0</v>
      </c>
      <c r="G22" s="430"/>
      <c r="H22" s="430"/>
      <c r="I22" s="430">
        <f t="shared" si="6"/>
        <v>0</v>
      </c>
      <c r="J22" s="430">
        <f t="shared" si="7"/>
        <v>0</v>
      </c>
      <c r="K22" s="430">
        <f>IF(AW22="VSD",(VLOOKUP("Switchboard Cable 1mm",'Part List'!$A:$G,3,FALSE)+VLOOKUP("2.5mm Twin and Earth",'Part List'!$A:$G,3,FALSE)*2),IF(AW22="KEF",(VLOOKUP("7030 2 pair TCAS7302P",'Part List'!$A:$G,3,FALSE) + VLOOKUP("4mm Cable 3 core and Earth",'Part List'!$A:$G,3,FALSE)),VLOOKUP("2.5mm Twin and Earth",'Part List'!$A:$G,3,FALSE)))</f>
        <v>0.85</v>
      </c>
      <c r="L22" s="430">
        <f t="shared" si="8"/>
        <v>0</v>
      </c>
      <c r="M22" s="430">
        <f>IF(AW22="VSD",(VLOOKUP("Switchboard Cable 1mm",'Part List'!$A:$G,5,FALSE)+VLOOKUP("2.5mm Twin and Earth",'Part List'!$A:$G,5,FALSE)*2),IF(AW22="KEF",(VLOOKUP("7030 2 pair TCAS7302P",'Part List'!$A:$G,5,FALSE) + VLOOKUP("4mm Cable 3 core and Earth",'Part List'!$A:$G,5,FALSE)),VLOOKUP("2.5mm Twin and Earth",'Part List'!$A:$G,5,FALSE)))</f>
        <v>0.1</v>
      </c>
      <c r="N22" s="430">
        <f t="shared" si="2"/>
        <v>0</v>
      </c>
      <c r="O22" s="430"/>
      <c r="P22" s="438"/>
      <c r="Q22" s="439">
        <f>IFERROR(VLOOKUP(P22,_Fan!$N:$Q,2,FALSE),0)</f>
        <v>0</v>
      </c>
      <c r="R22" s="439">
        <f>IFERROR(VLOOKUP(P22,_Fan!$N:$Q,3,FALSE),0)</f>
        <v>0</v>
      </c>
      <c r="S22" s="438"/>
      <c r="T22" s="439">
        <f>IF(S22="YES", VLOOKUP(S$1,_Fan!$N:$Q,2,FALSE), 0)</f>
        <v>0</v>
      </c>
      <c r="U22" s="439">
        <f>IF(S22="YES", VLOOKUP(S$1,_Fan!$N:$Q,3,FALSE), 0)</f>
        <v>0</v>
      </c>
      <c r="V22" s="438"/>
      <c r="W22" s="439">
        <f>IF(V22="YES", VLOOKUP(V$1,_Fan!$N:$Q,2,FALSE), 0)</f>
        <v>0</v>
      </c>
      <c r="X22" s="439">
        <f>IF(V22="YES", VLOOKUP(V$1,_Fan!$N:$Q,3,FALSE), 0)</f>
        <v>0</v>
      </c>
      <c r="Y22" s="438"/>
      <c r="Z22" s="439">
        <f>IFERROR(VLOOKUP(Y22,_Fan!$N:$Q,2,FALSE),0)</f>
        <v>0</v>
      </c>
      <c r="AA22" s="439">
        <f>IFERROR(VLOOKUP(Y22,_Fan!$N:$Q,3,FALSE),0)</f>
        <v>0</v>
      </c>
      <c r="AB22" s="438"/>
      <c r="AC22" s="439">
        <f>IF(AB22="YES", VLOOKUP(AB$1,_Fan!$N:$Q,2,FALSE), 0)</f>
        <v>0</v>
      </c>
      <c r="AD22" s="439">
        <f>IF(AB22="YES", VLOOKUP(AB$1,_Fan!$N:$Q,3,FALSE), 0)</f>
        <v>0</v>
      </c>
      <c r="AE22" s="438"/>
      <c r="AF22" s="439">
        <f>IF(AE22="YES", VLOOKUP(AE$1,_Fan!$N:$Q,2,FALSE), 0)</f>
        <v>0</v>
      </c>
      <c r="AG22" s="439">
        <f>IF(AE22="YES", VLOOKUP(AE$1,_Fan!$N:$Q,3,FALSE), 0)</f>
        <v>0</v>
      </c>
      <c r="AH22" s="438"/>
      <c r="AI22" s="439">
        <f>IF(AH22="YES", VLOOKUP(AH$1,_Fan!$N:$Q,2,FALSE), 0)</f>
        <v>0</v>
      </c>
      <c r="AJ22" s="439">
        <f>IF(AH22="YES", VLOOKUP(AH$1,_Fan!$N:$Q,3,FALSE), 0)</f>
        <v>0</v>
      </c>
      <c r="AK22" s="438"/>
      <c r="AL22" s="439">
        <f>IF(AK22="YES", VLOOKUP(AK$1,_Fan!$N:$Q,2,FALSE), 0)</f>
        <v>0</v>
      </c>
      <c r="AM22" s="439">
        <f>IF(AK22="YES", VLOOKUP(AK$1,_Fan!$N:$Q,3,FALSE), 0)</f>
        <v>0</v>
      </c>
      <c r="AN22" s="438"/>
      <c r="AO22" s="439">
        <f>IF(AN22="YES", VLOOKUP(AN$1,_Fan!$N:$Q,2,FALSE), 0)</f>
        <v>0</v>
      </c>
      <c r="AP22" s="439">
        <f>IF(AN22="YES", VLOOKUP(AN$1,_Fan!$N:$Q,3,FALSE), 0)</f>
        <v>0</v>
      </c>
      <c r="AQ22" s="438"/>
      <c r="AR22" s="439">
        <f>IF(AQ22="YES", VLOOKUP(AQ$1,_Fan!$N:$Q,2,FALSE), 0)</f>
        <v>0</v>
      </c>
      <c r="AS22" s="439">
        <f>IF(AQ22="YES", VLOOKUP(AQ$1,_Fan!$N:$Q,3,FALSE), 0)</f>
        <v>0</v>
      </c>
      <c r="AT22" s="438"/>
      <c r="AU22" s="439">
        <f>IF(AT22="YES", VLOOKUP(AT$1,_Fan!$N:$Q,2,FALSE), 0)</f>
        <v>0</v>
      </c>
      <c r="AV22" s="439">
        <f>IF(AT22="YES", VLOOKUP(AT$1,_Fan!$N:$Q,3,FALSE), 0)</f>
        <v>0</v>
      </c>
      <c r="AW22" s="438"/>
      <c r="AX22" s="439">
        <f>IFERROR(VLOOKUP(AW22,_Fan!$N:$Q,2,FALSE),0)</f>
        <v>0</v>
      </c>
      <c r="AY22" s="439">
        <f>IFERROR(VLOOKUP(AW22,_Fan!$N:$Q,3,FALSE),0)</f>
        <v>0</v>
      </c>
      <c r="AZ22" s="438"/>
      <c r="BA22" s="439">
        <f>IF(AZ22="YES", VLOOKUP(AZ$1,_Fan!$N:$Q,2,FALSE), 0)</f>
        <v>0</v>
      </c>
      <c r="BB22" s="439">
        <f>IF(AZ22="YES", VLOOKUP(AZ$1,_Fan!$N:$Q,3,FALSE), 0)</f>
        <v>0</v>
      </c>
      <c r="BC22" s="430"/>
      <c r="BD22" s="430"/>
      <c r="BE22" s="430"/>
      <c r="BF22" s="430"/>
      <c r="BG22" s="430"/>
      <c r="BH22" s="430"/>
      <c r="BI22" s="430"/>
      <c r="BJ22" s="430"/>
      <c r="BK22" s="430"/>
      <c r="BL22" s="430"/>
      <c r="BM22" s="430"/>
      <c r="BN22" s="430"/>
      <c r="BO22" s="430"/>
      <c r="BP22" s="430"/>
      <c r="BQ22" s="430"/>
      <c r="BR22" s="430"/>
    </row>
    <row r="23" spans="1:70" x14ac:dyDescent="0.4">
      <c r="B23" s="296"/>
      <c r="F23" s="430"/>
      <c r="M23" s="430"/>
      <c r="N23" s="430"/>
    </row>
    <row r="24" spans="1:70" x14ac:dyDescent="0.4">
      <c r="B24" s="296"/>
      <c r="F24" s="430"/>
      <c r="I24" s="430"/>
    </row>
    <row r="25" spans="1:70" x14ac:dyDescent="0.4">
      <c r="B25" s="296"/>
      <c r="I25" s="430"/>
      <c r="AQ25" s="522"/>
      <c r="AR25" s="525"/>
      <c r="AS25" s="523"/>
      <c r="AT25" s="522"/>
      <c r="AU25" s="525"/>
      <c r="AV25" s="523"/>
      <c r="AW25" s="522"/>
      <c r="AX25" s="525"/>
      <c r="AY25" s="523"/>
      <c r="AZ25" s="522"/>
      <c r="BA25" s="525"/>
      <c r="BB25" s="523"/>
    </row>
    <row r="26" spans="1:70" x14ac:dyDescent="0.4">
      <c r="I26" s="430"/>
    </row>
    <row r="27" spans="1:70" x14ac:dyDescent="0.4">
      <c r="I27" s="430"/>
    </row>
    <row r="28" spans="1:70" x14ac:dyDescent="0.4">
      <c r="I28" s="430"/>
    </row>
    <row r="29" spans="1:70" x14ac:dyDescent="0.4">
      <c r="I29" s="430"/>
    </row>
    <row r="30" spans="1:70" x14ac:dyDescent="0.4">
      <c r="I30" s="430"/>
    </row>
  </sheetData>
  <conditionalFormatting sqref="A2:A22">
    <cfRule type="cellIs" dxfId="353" priority="249" operator="equal">
      <formula>"INVALID"</formula>
    </cfRule>
    <cfRule type="cellIs" dxfId="352" priority="250" operator="equal">
      <formula>"VALID"</formula>
    </cfRule>
  </conditionalFormatting>
  <conditionalFormatting sqref="U2:U4 P7:P22 AD2:AD4 AG2:AG4 AJ2:AJ4 AM2:AM4 AP2:AP4 AS2:AS4 AV2:AV4 R2:R4 AA2:AA4 AY2:AY4 U7:V22 X2:X4 X7:Y22 AD7:AE22 AG7:AH22 AJ7:AK22 AM7:AN22 AP7:AQ22 AS7:AT22 AV7:AW22 BB2:BR4 BB7:BR22 AY7:AZ22 AA7:AB22 R7:S22 BC5:BR6">
    <cfRule type="cellIs" dxfId="351" priority="248" operator="equal">
      <formula>$AAV$2</formula>
    </cfRule>
  </conditionalFormatting>
  <conditionalFormatting sqref="BM23:BM1048576 BM1">
    <cfRule type="colorScale" priority="247">
      <colorScale>
        <cfvo type="min"/>
        <cfvo type="max"/>
        <color rgb="FF63BE7B"/>
        <color rgb="FFFCFCFF"/>
      </colorScale>
    </cfRule>
  </conditionalFormatting>
  <conditionalFormatting sqref="P2:P4">
    <cfRule type="cellIs" dxfId="350" priority="188" operator="equal">
      <formula>$AAI$2</formula>
    </cfRule>
  </conditionalFormatting>
  <conditionalFormatting sqref="R7:S22 U7:V22 X7:Y22 AD7:AE22 AG7:AH22 AJ7:AK22 AM7:AN22 AP7:AQ22 AS7:AT22 AV7:AW22 AY7:AZ22 BB2:BB4 AA7:AB22 P2:P4 U2:U4 R2:R4 X2:X4 AA2:AA4 AD2:AD4 AG2:AG4 AJ2:AJ4 AM2:AM4 AP2:AP4 AS2:AS4 AV2:AV4 AY2:AY4 P7:P22 BB7:BB22">
    <cfRule type="cellIs" dxfId="349" priority="150" operator="equal">
      <formula>"No"</formula>
    </cfRule>
  </conditionalFormatting>
  <conditionalFormatting sqref="Q2:Q4 Q7:Q22">
    <cfRule type="cellIs" dxfId="348" priority="149" operator="equal">
      <formula>$AAV$2</formula>
    </cfRule>
  </conditionalFormatting>
  <conditionalFormatting sqref="Q2:Q4 Q7:Q22">
    <cfRule type="cellIs" dxfId="347" priority="148" operator="equal">
      <formula>"No"</formula>
    </cfRule>
  </conditionalFormatting>
  <conditionalFormatting sqref="T2:T4 T7:T22">
    <cfRule type="cellIs" dxfId="346" priority="147" operator="equal">
      <formula>$AAV$2</formula>
    </cfRule>
  </conditionalFormatting>
  <conditionalFormatting sqref="T2:T4 T7:T22">
    <cfRule type="cellIs" dxfId="345" priority="146" operator="equal">
      <formula>"No"</formula>
    </cfRule>
  </conditionalFormatting>
  <conditionalFormatting sqref="W2:W4 W7:W22">
    <cfRule type="cellIs" dxfId="344" priority="145" operator="equal">
      <formula>$AAV$2</formula>
    </cfRule>
  </conditionalFormatting>
  <conditionalFormatting sqref="W2:W4 W7:W22">
    <cfRule type="cellIs" dxfId="343" priority="144" operator="equal">
      <formula>"No"</formula>
    </cfRule>
  </conditionalFormatting>
  <conditionalFormatting sqref="AC2:AC4 AC7:AC22">
    <cfRule type="cellIs" dxfId="342" priority="143" operator="equal">
      <formula>$AAV$2</formula>
    </cfRule>
  </conditionalFormatting>
  <conditionalFormatting sqref="AC2:AC4 AC7:AC22">
    <cfRule type="cellIs" dxfId="341" priority="142" operator="equal">
      <formula>"No"</formula>
    </cfRule>
  </conditionalFormatting>
  <conditionalFormatting sqref="AF2:AF4 AF7:AF22">
    <cfRule type="cellIs" dxfId="340" priority="141" operator="equal">
      <formula>$AAV$2</formula>
    </cfRule>
  </conditionalFormatting>
  <conditionalFormatting sqref="AF2:AF4 AF7:AF22">
    <cfRule type="cellIs" dxfId="339" priority="140" operator="equal">
      <formula>"No"</formula>
    </cfRule>
  </conditionalFormatting>
  <conditionalFormatting sqref="AI2:AI4 AI7:AI22">
    <cfRule type="cellIs" dxfId="338" priority="139" operator="equal">
      <formula>$AAV$2</formula>
    </cfRule>
  </conditionalFormatting>
  <conditionalFormatting sqref="AI2:AI4 AI7:AI22">
    <cfRule type="cellIs" dxfId="337" priority="138" operator="equal">
      <formula>"No"</formula>
    </cfRule>
  </conditionalFormatting>
  <conditionalFormatting sqref="AL2:AL4 AL7:AL22">
    <cfRule type="cellIs" dxfId="336" priority="137" operator="equal">
      <formula>$AAV$2</formula>
    </cfRule>
  </conditionalFormatting>
  <conditionalFormatting sqref="AL2:AL4 AL7:AL22">
    <cfRule type="cellIs" dxfId="335" priority="136" operator="equal">
      <formula>"No"</formula>
    </cfRule>
  </conditionalFormatting>
  <conditionalFormatting sqref="AO2:AO4 AO7:AO22">
    <cfRule type="cellIs" dxfId="334" priority="135" operator="equal">
      <formula>$AAV$2</formula>
    </cfRule>
  </conditionalFormatting>
  <conditionalFormatting sqref="AO2:AO4 AO7:AO22">
    <cfRule type="cellIs" dxfId="333" priority="134" operator="equal">
      <formula>"No"</formula>
    </cfRule>
  </conditionalFormatting>
  <conditionalFormatting sqref="AR2:AR4 AR7:AR22">
    <cfRule type="cellIs" dxfId="332" priority="133" operator="equal">
      <formula>$AAV$2</formula>
    </cfRule>
  </conditionalFormatting>
  <conditionalFormatting sqref="AR2:AR4 AR7:AR22">
    <cfRule type="cellIs" dxfId="331" priority="132" operator="equal">
      <formula>"No"</formula>
    </cfRule>
  </conditionalFormatting>
  <conditionalFormatting sqref="AU2:AU4 AU7:AU22">
    <cfRule type="cellIs" dxfId="330" priority="131" operator="equal">
      <formula>$AAV$2</formula>
    </cfRule>
  </conditionalFormatting>
  <conditionalFormatting sqref="AU2:AU4 AU7:AU22">
    <cfRule type="cellIs" dxfId="329" priority="130" operator="equal">
      <formula>"No"</formula>
    </cfRule>
  </conditionalFormatting>
  <conditionalFormatting sqref="BA2:BA4 BA7:BA22">
    <cfRule type="cellIs" dxfId="328" priority="127" operator="equal">
      <formula>$AAV$2</formula>
    </cfRule>
  </conditionalFormatting>
  <conditionalFormatting sqref="BA2:BA4 BA7:BA22">
    <cfRule type="cellIs" dxfId="327" priority="126" operator="equal">
      <formula>"No"</formula>
    </cfRule>
  </conditionalFormatting>
  <conditionalFormatting sqref="Z2:Z4 Z7:Z22">
    <cfRule type="cellIs" dxfId="326" priority="125" operator="equal">
      <formula>$AAV$2</formula>
    </cfRule>
  </conditionalFormatting>
  <conditionalFormatting sqref="Z2:Z4 Z7:Z22">
    <cfRule type="cellIs" dxfId="325" priority="124" operator="equal">
      <formula>"No"</formula>
    </cfRule>
  </conditionalFormatting>
  <conditionalFormatting sqref="AX2:AX4 AX7:AX22">
    <cfRule type="cellIs" dxfId="324" priority="123" operator="equal">
      <formula>$AAV$2</formula>
    </cfRule>
  </conditionalFormatting>
  <conditionalFormatting sqref="AX2:AX4 AX7:AX22">
    <cfRule type="cellIs" dxfId="323" priority="122" operator="equal">
      <formula>"No"</formula>
    </cfRule>
  </conditionalFormatting>
  <conditionalFormatting sqref="V2">
    <cfRule type="cellIs" dxfId="322" priority="121" operator="equal">
      <formula>$ZR$2</formula>
    </cfRule>
  </conditionalFormatting>
  <conditionalFormatting sqref="V3">
    <cfRule type="cellIs" dxfId="321" priority="120" operator="equal">
      <formula>$ZR$2</formula>
    </cfRule>
  </conditionalFormatting>
  <conditionalFormatting sqref="V4">
    <cfRule type="cellIs" dxfId="320" priority="119" operator="equal">
      <formula>$ZR$2</formula>
    </cfRule>
  </conditionalFormatting>
  <conditionalFormatting sqref="S2">
    <cfRule type="cellIs" dxfId="319" priority="118" operator="equal">
      <formula>$ZR$2</formula>
    </cfRule>
  </conditionalFormatting>
  <conditionalFormatting sqref="S3">
    <cfRule type="cellIs" dxfId="318" priority="117" operator="equal">
      <formula>$ZR$2</formula>
    </cfRule>
  </conditionalFormatting>
  <conditionalFormatting sqref="S4">
    <cfRule type="cellIs" dxfId="317" priority="116" operator="equal">
      <formula>$ZR$2</formula>
    </cfRule>
  </conditionalFormatting>
  <conditionalFormatting sqref="Y2">
    <cfRule type="cellIs" dxfId="316" priority="115" operator="equal">
      <formula>$ZR$2</formula>
    </cfRule>
  </conditionalFormatting>
  <conditionalFormatting sqref="Y4">
    <cfRule type="cellIs" dxfId="315" priority="114" operator="equal">
      <formula>$ZR$2</formula>
    </cfRule>
  </conditionalFormatting>
  <conditionalFormatting sqref="Y3">
    <cfRule type="cellIs" dxfId="314" priority="113" operator="equal">
      <formula>$ZR$2</formula>
    </cfRule>
  </conditionalFormatting>
  <conditionalFormatting sqref="AB2">
    <cfRule type="cellIs" dxfId="313" priority="112" operator="equal">
      <formula>$ZR$2</formula>
    </cfRule>
  </conditionalFormatting>
  <conditionalFormatting sqref="AB3">
    <cfRule type="cellIs" dxfId="312" priority="111" operator="equal">
      <formula>$ZR$2</formula>
    </cfRule>
  </conditionalFormatting>
  <conditionalFormatting sqref="AB4">
    <cfRule type="cellIs" dxfId="311" priority="110" operator="equal">
      <formula>$ZR$2</formula>
    </cfRule>
  </conditionalFormatting>
  <conditionalFormatting sqref="AE2">
    <cfRule type="cellIs" dxfId="310" priority="109" operator="equal">
      <formula>$ZR$2</formula>
    </cfRule>
  </conditionalFormatting>
  <conditionalFormatting sqref="AE3">
    <cfRule type="cellIs" dxfId="309" priority="108" operator="equal">
      <formula>$ZR$2</formula>
    </cfRule>
  </conditionalFormatting>
  <conditionalFormatting sqref="AE4">
    <cfRule type="cellIs" dxfId="308" priority="107" operator="equal">
      <formula>$ZR$2</formula>
    </cfRule>
  </conditionalFormatting>
  <conditionalFormatting sqref="AH2">
    <cfRule type="cellIs" dxfId="307" priority="106" operator="equal">
      <formula>$ZR$2</formula>
    </cfRule>
  </conditionalFormatting>
  <conditionalFormatting sqref="AH3">
    <cfRule type="cellIs" dxfId="306" priority="105" operator="equal">
      <formula>$ZR$2</formula>
    </cfRule>
  </conditionalFormatting>
  <conditionalFormatting sqref="AH4">
    <cfRule type="cellIs" dxfId="305" priority="104" operator="equal">
      <formula>$ZR$2</formula>
    </cfRule>
  </conditionalFormatting>
  <conditionalFormatting sqref="AK2">
    <cfRule type="cellIs" dxfId="304" priority="103" operator="equal">
      <formula>$ZR$2</formula>
    </cfRule>
  </conditionalFormatting>
  <conditionalFormatting sqref="AK3">
    <cfRule type="cellIs" dxfId="303" priority="102" operator="equal">
      <formula>$ZR$2</formula>
    </cfRule>
  </conditionalFormatting>
  <conditionalFormatting sqref="AK4">
    <cfRule type="cellIs" dxfId="302" priority="101" operator="equal">
      <formula>$ZR$2</formula>
    </cfRule>
  </conditionalFormatting>
  <conditionalFormatting sqref="AN2">
    <cfRule type="cellIs" dxfId="301" priority="100" operator="equal">
      <formula>$ZR$2</formula>
    </cfRule>
  </conditionalFormatting>
  <conditionalFormatting sqref="AN3">
    <cfRule type="cellIs" dxfId="300" priority="99" operator="equal">
      <formula>$ZR$2</formula>
    </cfRule>
  </conditionalFormatting>
  <conditionalFormatting sqref="AN4">
    <cfRule type="cellIs" dxfId="299" priority="98" operator="equal">
      <formula>$ZR$2</formula>
    </cfRule>
  </conditionalFormatting>
  <conditionalFormatting sqref="AQ2">
    <cfRule type="cellIs" dxfId="298" priority="97" operator="equal">
      <formula>$ZR$2</formula>
    </cfRule>
  </conditionalFormatting>
  <conditionalFormatting sqref="AQ3">
    <cfRule type="cellIs" dxfId="297" priority="96" operator="equal">
      <formula>$ZR$2</formula>
    </cfRule>
  </conditionalFormatting>
  <conditionalFormatting sqref="AQ4">
    <cfRule type="cellIs" dxfId="296" priority="95" operator="equal">
      <formula>$ZR$2</formula>
    </cfRule>
  </conditionalFormatting>
  <conditionalFormatting sqref="AT2">
    <cfRule type="cellIs" dxfId="295" priority="94" operator="equal">
      <formula>$ZR$2</formula>
    </cfRule>
  </conditionalFormatting>
  <conditionalFormatting sqref="AT3">
    <cfRule type="cellIs" dxfId="294" priority="93" operator="equal">
      <formula>$ZR$2</formula>
    </cfRule>
  </conditionalFormatting>
  <conditionalFormatting sqref="AT4">
    <cfRule type="cellIs" dxfId="293" priority="92" operator="equal">
      <formula>$ZR$2</formula>
    </cfRule>
  </conditionalFormatting>
  <conditionalFormatting sqref="AW2">
    <cfRule type="cellIs" dxfId="292" priority="91" operator="equal">
      <formula>$ZR$2</formula>
    </cfRule>
  </conditionalFormatting>
  <conditionalFormatting sqref="AW3">
    <cfRule type="cellIs" dxfId="291" priority="90" operator="equal">
      <formula>$ZR$2</formula>
    </cfRule>
  </conditionalFormatting>
  <conditionalFormatting sqref="AW4">
    <cfRule type="cellIs" dxfId="290" priority="89" operator="equal">
      <formula>$ZR$2</formula>
    </cfRule>
  </conditionalFormatting>
  <conditionalFormatting sqref="AZ3">
    <cfRule type="cellIs" dxfId="289" priority="88" operator="equal">
      <formula>$ZR$2</formula>
    </cfRule>
  </conditionalFormatting>
  <conditionalFormatting sqref="AZ4">
    <cfRule type="cellIs" dxfId="288" priority="87" operator="equal">
      <formula>$ZR$2</formula>
    </cfRule>
  </conditionalFormatting>
  <conditionalFormatting sqref="AZ2">
    <cfRule type="cellIs" dxfId="287" priority="86" operator="equal">
      <formula>$ZR$2</formula>
    </cfRule>
  </conditionalFormatting>
  <conditionalFormatting sqref="P2:AZ4 P7:AZ22">
    <cfRule type="cellIs" dxfId="286" priority="85" operator="equal">
      <formula>"No"</formula>
    </cfRule>
  </conditionalFormatting>
  <conditionalFormatting sqref="U5 AD5 AG5 AJ5 AM5 AP5 AS5 AV5 R5 AA5 AY5 X5 BB5">
    <cfRule type="cellIs" dxfId="285" priority="84" operator="equal">
      <formula>$AAV$2</formula>
    </cfRule>
  </conditionalFormatting>
  <conditionalFormatting sqref="P5">
    <cfRule type="cellIs" dxfId="284" priority="83" operator="equal">
      <formula>$AAI$2</formula>
    </cfRule>
  </conditionalFormatting>
  <conditionalFormatting sqref="BB5 P5 U5 R5 X5 AA5 AD5 AG5 AJ5 AM5 AP5 AS5 AV5 AY5">
    <cfRule type="cellIs" dxfId="283" priority="82" operator="equal">
      <formula>"No"</formula>
    </cfRule>
  </conditionalFormatting>
  <conditionalFormatting sqref="Q5">
    <cfRule type="cellIs" dxfId="282" priority="81" operator="equal">
      <formula>$AAV$2</formula>
    </cfRule>
  </conditionalFormatting>
  <conditionalFormatting sqref="Q5">
    <cfRule type="cellIs" dxfId="281" priority="80" operator="equal">
      <formula>"No"</formula>
    </cfRule>
  </conditionalFormatting>
  <conditionalFormatting sqref="T5">
    <cfRule type="cellIs" dxfId="280" priority="79" operator="equal">
      <formula>$AAV$2</formula>
    </cfRule>
  </conditionalFormatting>
  <conditionalFormatting sqref="T5">
    <cfRule type="cellIs" dxfId="279" priority="78" operator="equal">
      <formula>"No"</formula>
    </cfRule>
  </conditionalFormatting>
  <conditionalFormatting sqref="W5">
    <cfRule type="cellIs" dxfId="278" priority="77" operator="equal">
      <formula>$AAV$2</formula>
    </cfRule>
  </conditionalFormatting>
  <conditionalFormatting sqref="W5">
    <cfRule type="cellIs" dxfId="277" priority="76" operator="equal">
      <formula>"No"</formula>
    </cfRule>
  </conditionalFormatting>
  <conditionalFormatting sqref="AC5">
    <cfRule type="cellIs" dxfId="276" priority="75" operator="equal">
      <formula>$AAV$2</formula>
    </cfRule>
  </conditionalFormatting>
  <conditionalFormatting sqref="AC5">
    <cfRule type="cellIs" dxfId="275" priority="74" operator="equal">
      <formula>"No"</formula>
    </cfRule>
  </conditionalFormatting>
  <conditionalFormatting sqref="AF5">
    <cfRule type="cellIs" dxfId="274" priority="73" operator="equal">
      <formula>$AAV$2</formula>
    </cfRule>
  </conditionalFormatting>
  <conditionalFormatting sqref="AF5">
    <cfRule type="cellIs" dxfId="273" priority="72" operator="equal">
      <formula>"No"</formula>
    </cfRule>
  </conditionalFormatting>
  <conditionalFormatting sqref="AI5">
    <cfRule type="cellIs" dxfId="272" priority="71" operator="equal">
      <formula>$AAV$2</formula>
    </cfRule>
  </conditionalFormatting>
  <conditionalFormatting sqref="AI5">
    <cfRule type="cellIs" dxfId="271" priority="70" operator="equal">
      <formula>"No"</formula>
    </cfRule>
  </conditionalFormatting>
  <conditionalFormatting sqref="AL5">
    <cfRule type="cellIs" dxfId="270" priority="69" operator="equal">
      <formula>$AAV$2</formula>
    </cfRule>
  </conditionalFormatting>
  <conditionalFormatting sqref="AL5">
    <cfRule type="cellIs" dxfId="269" priority="68" operator="equal">
      <formula>"No"</formula>
    </cfRule>
  </conditionalFormatting>
  <conditionalFormatting sqref="AO5">
    <cfRule type="cellIs" dxfId="268" priority="67" operator="equal">
      <formula>$AAV$2</formula>
    </cfRule>
  </conditionalFormatting>
  <conditionalFormatting sqref="AO5">
    <cfRule type="cellIs" dxfId="267" priority="66" operator="equal">
      <formula>"No"</formula>
    </cfRule>
  </conditionalFormatting>
  <conditionalFormatting sqref="AR5">
    <cfRule type="cellIs" dxfId="266" priority="65" operator="equal">
      <formula>$AAV$2</formula>
    </cfRule>
  </conditionalFormatting>
  <conditionalFormatting sqref="AR5">
    <cfRule type="cellIs" dxfId="265" priority="64" operator="equal">
      <formula>"No"</formula>
    </cfRule>
  </conditionalFormatting>
  <conditionalFormatting sqref="AU5">
    <cfRule type="cellIs" dxfId="264" priority="63" operator="equal">
      <formula>$AAV$2</formula>
    </cfRule>
  </conditionalFormatting>
  <conditionalFormatting sqref="AU5">
    <cfRule type="cellIs" dxfId="263" priority="62" operator="equal">
      <formula>"No"</formula>
    </cfRule>
  </conditionalFormatting>
  <conditionalFormatting sqref="BA5">
    <cfRule type="cellIs" dxfId="262" priority="61" operator="equal">
      <formula>$AAV$2</formula>
    </cfRule>
  </conditionalFormatting>
  <conditionalFormatting sqref="BA5">
    <cfRule type="cellIs" dxfId="261" priority="60" operator="equal">
      <formula>"No"</formula>
    </cfRule>
  </conditionalFormatting>
  <conditionalFormatting sqref="Z5">
    <cfRule type="cellIs" dxfId="260" priority="59" operator="equal">
      <formula>$AAV$2</formula>
    </cfRule>
  </conditionalFormatting>
  <conditionalFormatting sqref="Z5">
    <cfRule type="cellIs" dxfId="259" priority="58" operator="equal">
      <formula>"No"</formula>
    </cfRule>
  </conditionalFormatting>
  <conditionalFormatting sqref="AX5">
    <cfRule type="cellIs" dxfId="258" priority="57" operator="equal">
      <formula>$AAV$2</formula>
    </cfRule>
  </conditionalFormatting>
  <conditionalFormatting sqref="AX5">
    <cfRule type="cellIs" dxfId="257" priority="56" operator="equal">
      <formula>"No"</formula>
    </cfRule>
  </conditionalFormatting>
  <conditionalFormatting sqref="V5">
    <cfRule type="cellIs" dxfId="256" priority="55" operator="equal">
      <formula>$ZR$2</formula>
    </cfRule>
  </conditionalFormatting>
  <conditionalFormatting sqref="S5">
    <cfRule type="cellIs" dxfId="255" priority="54" operator="equal">
      <formula>$ZR$2</formula>
    </cfRule>
  </conditionalFormatting>
  <conditionalFormatting sqref="Y5">
    <cfRule type="cellIs" dxfId="254" priority="53" operator="equal">
      <formula>$ZR$2</formula>
    </cfRule>
  </conditionalFormatting>
  <conditionalFormatting sqref="AB5">
    <cfRule type="cellIs" dxfId="253" priority="52" operator="equal">
      <formula>$ZR$2</formula>
    </cfRule>
  </conditionalFormatting>
  <conditionalFormatting sqref="AE5">
    <cfRule type="cellIs" dxfId="252" priority="51" operator="equal">
      <formula>$ZR$2</formula>
    </cfRule>
  </conditionalFormatting>
  <conditionalFormatting sqref="AH5">
    <cfRule type="cellIs" dxfId="251" priority="50" operator="equal">
      <formula>$ZR$2</formula>
    </cfRule>
  </conditionalFormatting>
  <conditionalFormatting sqref="AK5">
    <cfRule type="cellIs" dxfId="250" priority="49" operator="equal">
      <formula>$ZR$2</formula>
    </cfRule>
  </conditionalFormatting>
  <conditionalFormatting sqref="AN5">
    <cfRule type="cellIs" dxfId="249" priority="48" operator="equal">
      <formula>$ZR$2</formula>
    </cfRule>
  </conditionalFormatting>
  <conditionalFormatting sqref="AQ5">
    <cfRule type="cellIs" dxfId="248" priority="47" operator="equal">
      <formula>$ZR$2</formula>
    </cfRule>
  </conditionalFormatting>
  <conditionalFormatting sqref="AT5">
    <cfRule type="cellIs" dxfId="247" priority="46" operator="equal">
      <formula>$ZR$2</formula>
    </cfRule>
  </conditionalFormatting>
  <conditionalFormatting sqref="AW5">
    <cfRule type="cellIs" dxfId="246" priority="45" operator="equal">
      <formula>$ZR$2</formula>
    </cfRule>
  </conditionalFormatting>
  <conditionalFormatting sqref="AZ5">
    <cfRule type="cellIs" dxfId="245" priority="44" operator="equal">
      <formula>$ZR$2</formula>
    </cfRule>
  </conditionalFormatting>
  <conditionalFormatting sqref="P5:AZ5">
    <cfRule type="cellIs" dxfId="244" priority="43" operator="equal">
      <formula>"No"</formula>
    </cfRule>
  </conditionalFormatting>
  <conditionalFormatting sqref="U6 AD6 AG6 AJ6 AM6 AP6 AS6 AV6 R6 AA6 AY6 X6 BB6">
    <cfRule type="cellIs" dxfId="243" priority="42" operator="equal">
      <formula>$AAV$2</formula>
    </cfRule>
  </conditionalFormatting>
  <conditionalFormatting sqref="P6">
    <cfRule type="cellIs" dxfId="242" priority="41" operator="equal">
      <formula>$AAI$2</formula>
    </cfRule>
  </conditionalFormatting>
  <conditionalFormatting sqref="BB6 P6 U6 R6 X6 AA6 AD6 AG6 AJ6 AM6 AP6 AS6 AV6 AY6">
    <cfRule type="cellIs" dxfId="241" priority="40" operator="equal">
      <formula>"No"</formula>
    </cfRule>
  </conditionalFormatting>
  <conditionalFormatting sqref="Q6">
    <cfRule type="cellIs" dxfId="240" priority="39" operator="equal">
      <formula>$AAV$2</formula>
    </cfRule>
  </conditionalFormatting>
  <conditionalFormatting sqref="Q6">
    <cfRule type="cellIs" dxfId="239" priority="38" operator="equal">
      <formula>"No"</formula>
    </cfRule>
  </conditionalFormatting>
  <conditionalFormatting sqref="T6">
    <cfRule type="cellIs" dxfId="238" priority="37" operator="equal">
      <formula>$AAV$2</formula>
    </cfRule>
  </conditionalFormatting>
  <conditionalFormatting sqref="T6">
    <cfRule type="cellIs" dxfId="237" priority="36" operator="equal">
      <formula>"No"</formula>
    </cfRule>
  </conditionalFormatting>
  <conditionalFormatting sqref="W6">
    <cfRule type="cellIs" dxfId="236" priority="35" operator="equal">
      <formula>$AAV$2</formula>
    </cfRule>
  </conditionalFormatting>
  <conditionalFormatting sqref="W6">
    <cfRule type="cellIs" dxfId="235" priority="34" operator="equal">
      <formula>"No"</formula>
    </cfRule>
  </conditionalFormatting>
  <conditionalFormatting sqref="AC6">
    <cfRule type="cellIs" dxfId="234" priority="33" operator="equal">
      <formula>$AAV$2</formula>
    </cfRule>
  </conditionalFormatting>
  <conditionalFormatting sqref="AC6">
    <cfRule type="cellIs" dxfId="233" priority="32" operator="equal">
      <formula>"No"</formula>
    </cfRule>
  </conditionalFormatting>
  <conditionalFormatting sqref="AF6">
    <cfRule type="cellIs" dxfId="232" priority="31" operator="equal">
      <formula>$AAV$2</formula>
    </cfRule>
  </conditionalFormatting>
  <conditionalFormatting sqref="AF6">
    <cfRule type="cellIs" dxfId="231" priority="30" operator="equal">
      <formula>"No"</formula>
    </cfRule>
  </conditionalFormatting>
  <conditionalFormatting sqref="AI6">
    <cfRule type="cellIs" dxfId="230" priority="29" operator="equal">
      <formula>$AAV$2</formula>
    </cfRule>
  </conditionalFormatting>
  <conditionalFormatting sqref="AI6">
    <cfRule type="cellIs" dxfId="229" priority="28" operator="equal">
      <formula>"No"</formula>
    </cfRule>
  </conditionalFormatting>
  <conditionalFormatting sqref="AL6">
    <cfRule type="cellIs" dxfId="228" priority="27" operator="equal">
      <formula>$AAV$2</formula>
    </cfRule>
  </conditionalFormatting>
  <conditionalFormatting sqref="AL6">
    <cfRule type="cellIs" dxfId="227" priority="26" operator="equal">
      <formula>"No"</formula>
    </cfRule>
  </conditionalFormatting>
  <conditionalFormatting sqref="AO6">
    <cfRule type="cellIs" dxfId="226" priority="25" operator="equal">
      <formula>$AAV$2</formula>
    </cfRule>
  </conditionalFormatting>
  <conditionalFormatting sqref="AO6">
    <cfRule type="cellIs" dxfId="225" priority="24" operator="equal">
      <formula>"No"</formula>
    </cfRule>
  </conditionalFormatting>
  <conditionalFormatting sqref="AR6">
    <cfRule type="cellIs" dxfId="224" priority="23" operator="equal">
      <formula>$AAV$2</formula>
    </cfRule>
  </conditionalFormatting>
  <conditionalFormatting sqref="AR6">
    <cfRule type="cellIs" dxfId="223" priority="22" operator="equal">
      <formula>"No"</formula>
    </cfRule>
  </conditionalFormatting>
  <conditionalFormatting sqref="AU6">
    <cfRule type="cellIs" dxfId="222" priority="21" operator="equal">
      <formula>$AAV$2</formula>
    </cfRule>
  </conditionalFormatting>
  <conditionalFormatting sqref="AU6">
    <cfRule type="cellIs" dxfId="221" priority="20" operator="equal">
      <formula>"No"</formula>
    </cfRule>
  </conditionalFormatting>
  <conditionalFormatting sqref="BA6">
    <cfRule type="cellIs" dxfId="220" priority="19" operator="equal">
      <formula>$AAV$2</formula>
    </cfRule>
  </conditionalFormatting>
  <conditionalFormatting sqref="BA6">
    <cfRule type="cellIs" dxfId="219" priority="18" operator="equal">
      <formula>"No"</formula>
    </cfRule>
  </conditionalFormatting>
  <conditionalFormatting sqref="Z6">
    <cfRule type="cellIs" dxfId="218" priority="17" operator="equal">
      <formula>$AAV$2</formula>
    </cfRule>
  </conditionalFormatting>
  <conditionalFormatting sqref="Z6">
    <cfRule type="cellIs" dxfId="217" priority="16" operator="equal">
      <formula>"No"</formula>
    </cfRule>
  </conditionalFormatting>
  <conditionalFormatting sqref="AX6">
    <cfRule type="cellIs" dxfId="216" priority="15" operator="equal">
      <formula>$AAV$2</formula>
    </cfRule>
  </conditionalFormatting>
  <conditionalFormatting sqref="AX6">
    <cfRule type="cellIs" dxfId="215" priority="14" operator="equal">
      <formula>"No"</formula>
    </cfRule>
  </conditionalFormatting>
  <conditionalFormatting sqref="V6">
    <cfRule type="cellIs" dxfId="214" priority="13" operator="equal">
      <formula>$ZR$2</formula>
    </cfRule>
  </conditionalFormatting>
  <conditionalFormatting sqref="S6">
    <cfRule type="cellIs" dxfId="213" priority="12" operator="equal">
      <formula>$ZR$2</formula>
    </cfRule>
  </conditionalFormatting>
  <conditionalFormatting sqref="Y6">
    <cfRule type="cellIs" dxfId="212" priority="11" operator="equal">
      <formula>$ZR$2</formula>
    </cfRule>
  </conditionalFormatting>
  <conditionalFormatting sqref="AB6">
    <cfRule type="cellIs" dxfId="211" priority="10" operator="equal">
      <formula>$ZR$2</formula>
    </cfRule>
  </conditionalFormatting>
  <conditionalFormatting sqref="AE6">
    <cfRule type="cellIs" dxfId="210" priority="9" operator="equal">
      <formula>$ZR$2</formula>
    </cfRule>
  </conditionalFormatting>
  <conditionalFormatting sqref="AH6">
    <cfRule type="cellIs" dxfId="209" priority="8" operator="equal">
      <formula>$ZR$2</formula>
    </cfRule>
  </conditionalFormatting>
  <conditionalFormatting sqref="AK6">
    <cfRule type="cellIs" dxfId="208" priority="7" operator="equal">
      <formula>$ZR$2</formula>
    </cfRule>
  </conditionalFormatting>
  <conditionalFormatting sqref="AN6">
    <cfRule type="cellIs" dxfId="207" priority="6" operator="equal">
      <formula>$ZR$2</formula>
    </cfRule>
  </conditionalFormatting>
  <conditionalFormatting sqref="AQ6">
    <cfRule type="cellIs" dxfId="206" priority="5" operator="equal">
      <formula>$ZR$2</formula>
    </cfRule>
  </conditionalFormatting>
  <conditionalFormatting sqref="AT6">
    <cfRule type="cellIs" dxfId="205" priority="4" operator="equal">
      <formula>$ZR$2</formula>
    </cfRule>
  </conditionalFormatting>
  <conditionalFormatting sqref="AW6">
    <cfRule type="cellIs" dxfId="204" priority="3" operator="equal">
      <formula>$ZR$2</formula>
    </cfRule>
  </conditionalFormatting>
  <conditionalFormatting sqref="AZ6">
    <cfRule type="cellIs" dxfId="203" priority="2" operator="equal">
      <formula>$ZR$2</formula>
    </cfRule>
  </conditionalFormatting>
  <conditionalFormatting sqref="P6:AZ6">
    <cfRule type="cellIs" dxfId="202"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N2:N23 I2:J22" xr:uid="{00000000-0002-0000-08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800-000001000000}">
          <x14:formula1>
            <xm:f>_Fan!$L$2:$L$4</xm:f>
          </x14:formula1>
          <xm:sqref>AW7:AW22</xm:sqref>
        </x14:dataValidation>
        <x14:dataValidation type="list" allowBlank="1" showInputMessage="1" showErrorMessage="1" xr:uid="{00000000-0002-0000-0800-00000D000000}">
          <x14:formula1>
            <xm:f>'D:\Google Drive\3. Clients\2. Tenders\18-0266 - Beenliegh Aquatic Center\Section 0 - Tender Documentation\Tender Markup\[18-0266 - Beenleigh Aquatic Center - MechElec - 2.3r1.xlsx]_Fan'!#REF!</xm:f>
          </x14:formula1>
          <xm:sqref>V2:V6 S2:S6 Y2:Y6 AB2:AB6 AE2:AE6 AH2:AH6 AK2:AK6 AN2:AN6 AQ2:AQ6 AT2:AT6 AW2:AW6 AZ2:AZ6</xm:sqref>
        </x14:dataValidation>
        <x14:dataValidation type="list" allowBlank="1" showInputMessage="1" showErrorMessage="1" xr:uid="{00000000-0002-0000-0800-000002000000}">
          <x14:formula1>
            <xm:f>_Fan!N$2:N$6</xm:f>
          </x14:formula1>
          <xm:sqref>BC2:BR22</xm:sqref>
        </x14:dataValidation>
        <x14:dataValidation type="list" allowBlank="1" showInputMessage="1" showErrorMessage="1" xr:uid="{00000000-0002-0000-0800-000003000000}">
          <x14:formula1>
            <xm:f>_Fan!M$2:M$6</xm:f>
          </x14:formula1>
          <xm:sqref>AZ7:AZ22</xm:sqref>
        </x14:dataValidation>
        <x14:dataValidation type="list" allowBlank="1" showInputMessage="1" showErrorMessage="1" xr:uid="{00000000-0002-0000-0800-000004000000}">
          <x14:formula1>
            <xm:f>_Fan!K$2:K$6</xm:f>
          </x14:formula1>
          <xm:sqref>AT7:AT22</xm:sqref>
        </x14:dataValidation>
        <x14:dataValidation type="list" allowBlank="1" showInputMessage="1" showErrorMessage="1" xr:uid="{00000000-0002-0000-0800-000005000000}">
          <x14:formula1>
            <xm:f>_Fan!J$2:J$6</xm:f>
          </x14:formula1>
          <xm:sqref>AQ7:AQ22</xm:sqref>
        </x14:dataValidation>
        <x14:dataValidation type="list" allowBlank="1" showInputMessage="1" showErrorMessage="1" xr:uid="{00000000-0002-0000-0800-000006000000}">
          <x14:formula1>
            <xm:f>_Fan!I$2:I$6</xm:f>
          </x14:formula1>
          <xm:sqref>AN7:AN22</xm:sqref>
        </x14:dataValidation>
        <x14:dataValidation type="list" allowBlank="1" showInputMessage="1" showErrorMessage="1" xr:uid="{00000000-0002-0000-0800-000007000000}">
          <x14:formula1>
            <xm:f>_Fan!H$2:H$6</xm:f>
          </x14:formula1>
          <xm:sqref>AK7:AK22</xm:sqref>
        </x14:dataValidation>
        <x14:dataValidation type="list" allowBlank="1" showInputMessage="1" showErrorMessage="1" xr:uid="{00000000-0002-0000-0800-000008000000}">
          <x14:formula1>
            <xm:f>_Fan!G$2:G$6</xm:f>
          </x14:formula1>
          <xm:sqref>AH7:AH22</xm:sqref>
        </x14:dataValidation>
        <x14:dataValidation type="list" allowBlank="1" showInputMessage="1" showErrorMessage="1" xr:uid="{00000000-0002-0000-0800-000009000000}">
          <x14:formula1>
            <xm:f>_Fan!F$2:F$6</xm:f>
          </x14:formula1>
          <xm:sqref>AE7:AE22</xm:sqref>
        </x14:dataValidation>
        <x14:dataValidation type="list" allowBlank="1" showInputMessage="1" showErrorMessage="1" xr:uid="{00000000-0002-0000-0800-00000A000000}">
          <x14:formula1>
            <xm:f>_Fan!E$2:E$6</xm:f>
          </x14:formula1>
          <xm:sqref>AB7:AB22</xm:sqref>
        </x14:dataValidation>
        <x14:dataValidation type="list" allowBlank="1" showInputMessage="1" showErrorMessage="1" xr:uid="{00000000-0002-0000-0800-00000B000000}">
          <x14:formula1>
            <xm:f>_Fan!C$2:C$6</xm:f>
          </x14:formula1>
          <xm:sqref>V7:V22</xm:sqref>
        </x14:dataValidation>
        <x14:dataValidation type="list" allowBlank="1" showInputMessage="1" showErrorMessage="1" xr:uid="{00000000-0002-0000-0800-00000C000000}">
          <x14:formula1>
            <xm:f>_Fan!B$2:B$6</xm:f>
          </x14:formula1>
          <xm:sqref>S7:S22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42"/>
  <sheetViews>
    <sheetView topLeftCell="M1" workbookViewId="0">
      <selection activeCell="J2" sqref="J2"/>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982</v>
      </c>
      <c r="C1" s="418" t="s">
        <v>983</v>
      </c>
      <c r="D1" s="418" t="s">
        <v>984</v>
      </c>
      <c r="E1" s="418" t="s">
        <v>669</v>
      </c>
      <c r="F1" s="418" t="s">
        <v>985</v>
      </c>
      <c r="G1" s="418" t="s">
        <v>986</v>
      </c>
      <c r="H1" s="418" t="s">
        <v>987</v>
      </c>
      <c r="I1" s="418" t="s">
        <v>988</v>
      </c>
      <c r="J1" s="418" t="s">
        <v>989</v>
      </c>
      <c r="K1" s="418" t="s">
        <v>1240</v>
      </c>
      <c r="L1" s="418" t="s">
        <v>1287</v>
      </c>
      <c r="M1" s="418" t="s">
        <v>1003</v>
      </c>
      <c r="N1" s="418" t="s">
        <v>994</v>
      </c>
      <c r="O1" s="418" t="s">
        <v>995</v>
      </c>
      <c r="P1" s="418" t="s">
        <v>996</v>
      </c>
    </row>
    <row r="2" spans="1:26" x14ac:dyDescent="0.4">
      <c r="A2" s="114" t="s">
        <v>990</v>
      </c>
      <c r="B2" s="114" t="s">
        <v>885</v>
      </c>
      <c r="C2" s="114" t="s">
        <v>885</v>
      </c>
      <c r="D2" s="114" t="s">
        <v>984</v>
      </c>
      <c r="E2" s="114" t="s">
        <v>885</v>
      </c>
      <c r="F2" s="114" t="s">
        <v>885</v>
      </c>
      <c r="G2" s="114" t="s">
        <v>885</v>
      </c>
      <c r="H2" s="114" t="s">
        <v>885</v>
      </c>
      <c r="I2" s="114" t="s">
        <v>885</v>
      </c>
      <c r="J2" s="114" t="s">
        <v>885</v>
      </c>
      <c r="K2" s="114" t="s">
        <v>885</v>
      </c>
      <c r="L2" s="114" t="s">
        <v>886</v>
      </c>
      <c r="M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f>1+IFERROR(R3*VLOOKUP(R2,'Part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2</v>
      </c>
      <c r="Q2" s="114" t="s">
        <v>997</v>
      </c>
      <c r="R2" s="114" t="s">
        <v>253</v>
      </c>
      <c r="S2" s="114" t="s">
        <v>998</v>
      </c>
      <c r="T2" s="114" t="s">
        <v>268</v>
      </c>
      <c r="U2" s="114" t="s">
        <v>999</v>
      </c>
      <c r="V2" s="114" t="s">
        <v>1000</v>
      </c>
    </row>
    <row r="3" spans="1:26" x14ac:dyDescent="0.4">
      <c r="A3" s="114" t="s">
        <v>678</v>
      </c>
      <c r="B3" s="114" t="s">
        <v>886</v>
      </c>
      <c r="C3" s="114" t="s">
        <v>886</v>
      </c>
      <c r="D3" s="114" t="s">
        <v>992</v>
      </c>
      <c r="E3" s="114" t="s">
        <v>886</v>
      </c>
      <c r="F3" s="114" t="s">
        <v>886</v>
      </c>
      <c r="G3" s="114" t="s">
        <v>886</v>
      </c>
      <c r="H3" s="114" t="s">
        <v>886</v>
      </c>
      <c r="I3" s="114" t="s">
        <v>886</v>
      </c>
      <c r="J3" s="114" t="s">
        <v>886</v>
      </c>
      <c r="K3" s="114" t="s">
        <v>886</v>
      </c>
      <c r="L3" s="114" t="s">
        <v>1248</v>
      </c>
      <c r="M3" s="114" t="s">
        <v>886</v>
      </c>
      <c r="R3" s="114">
        <v>1</v>
      </c>
      <c r="S3" s="114">
        <v>0</v>
      </c>
      <c r="T3" s="114" t="s">
        <v>1001</v>
      </c>
      <c r="U3" s="114">
        <v>1</v>
      </c>
      <c r="V3" s="114">
        <v>1</v>
      </c>
    </row>
    <row r="4" spans="1:26" x14ac:dyDescent="0.4">
      <c r="D4" s="114" t="s">
        <v>991</v>
      </c>
      <c r="L4" s="114" t="s">
        <v>1288</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1002</v>
      </c>
      <c r="R4" s="114" t="s">
        <v>253</v>
      </c>
      <c r="S4" s="114" t="s">
        <v>998</v>
      </c>
      <c r="T4" s="114" t="s">
        <v>268</v>
      </c>
      <c r="U4" s="114" t="s">
        <v>304</v>
      </c>
      <c r="V4" s="114" t="s">
        <v>1344</v>
      </c>
      <c r="W4" s="114" t="s">
        <v>1003</v>
      </c>
      <c r="X4" s="114" t="s">
        <v>1004</v>
      </c>
      <c r="Y4" s="114" t="s">
        <v>1000</v>
      </c>
    </row>
    <row r="5" spans="1:26" x14ac:dyDescent="0.4">
      <c r="D5" s="114" t="s">
        <v>993</v>
      </c>
      <c r="R5" s="114">
        <v>1</v>
      </c>
      <c r="S5" s="114">
        <v>1</v>
      </c>
      <c r="T5" s="114" t="s">
        <v>1001</v>
      </c>
      <c r="U5" s="114">
        <v>1</v>
      </c>
      <c r="V5" s="114">
        <v>1</v>
      </c>
      <c r="W5" s="114">
        <v>1</v>
      </c>
      <c r="X5" s="114">
        <v>1</v>
      </c>
      <c r="Y5" s="114">
        <v>1</v>
      </c>
      <c r="Z5" s="114">
        <v>1</v>
      </c>
    </row>
    <row r="6" spans="1:26" x14ac:dyDescent="0.4">
      <c r="D6" s="114" t="s">
        <v>886</v>
      </c>
      <c r="N6" s="114" t="s">
        <v>982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1005</v>
      </c>
      <c r="R6" s="114" t="s">
        <v>268</v>
      </c>
    </row>
    <row r="7" spans="1:26" x14ac:dyDescent="0.4">
      <c r="R7" s="114">
        <v>5</v>
      </c>
    </row>
    <row r="8" spans="1:26" x14ac:dyDescent="0.4">
      <c r="N8" s="114" t="s">
        <v>983</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38.65</v>
      </c>
      <c r="P8" s="114">
        <f>0.15+IFERROR(R9*VLOOKUP(R8,'Part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0.25</v>
      </c>
      <c r="Q8" s="114" t="s">
        <v>1006</v>
      </c>
      <c r="R8" s="114" t="s">
        <v>268</v>
      </c>
      <c r="S8" s="114" t="s">
        <v>1389</v>
      </c>
    </row>
    <row r="9" spans="1:26" x14ac:dyDescent="0.4">
      <c r="R9" s="114">
        <v>1</v>
      </c>
      <c r="S9" s="114">
        <v>1</v>
      </c>
    </row>
    <row r="10" spans="1:26" x14ac:dyDescent="0.4">
      <c r="N10" s="114" t="s">
        <v>984</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1007</v>
      </c>
      <c r="R10" s="114" t="s">
        <v>418</v>
      </c>
      <c r="S10" s="114" t="s">
        <v>326</v>
      </c>
    </row>
    <row r="11" spans="1:26" x14ac:dyDescent="0.4">
      <c r="R11" s="114">
        <v>1</v>
      </c>
      <c r="S11" s="114">
        <v>1</v>
      </c>
    </row>
    <row r="12" spans="1:26" x14ac:dyDescent="0.4">
      <c r="N12" s="114" t="s">
        <v>992</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1008</v>
      </c>
      <c r="R12" s="114" t="s">
        <v>831</v>
      </c>
      <c r="S12" s="114" t="s">
        <v>697</v>
      </c>
      <c r="T12" s="114" t="s">
        <v>418</v>
      </c>
    </row>
    <row r="13" spans="1:26" x14ac:dyDescent="0.4">
      <c r="R13" s="114">
        <v>1</v>
      </c>
      <c r="S13" s="114">
        <v>1</v>
      </c>
      <c r="T13" s="114">
        <v>1</v>
      </c>
    </row>
    <row r="14" spans="1:26" x14ac:dyDescent="0.4">
      <c r="A14" s="33" t="s">
        <v>974</v>
      </c>
      <c r="N14" s="114" t="s">
        <v>991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1009</v>
      </c>
      <c r="R14" s="114" t="s">
        <v>418</v>
      </c>
      <c r="S14" s="114" t="s">
        <v>326</v>
      </c>
    </row>
    <row r="15" spans="1:26" x14ac:dyDescent="0.4">
      <c r="A15" s="114" t="s">
        <v>964</v>
      </c>
      <c r="B15" s="114" t="s">
        <v>976</v>
      </c>
      <c r="R15" s="114">
        <v>1</v>
      </c>
      <c r="S15" s="114">
        <v>1</v>
      </c>
    </row>
    <row r="16" spans="1:26" x14ac:dyDescent="0.4">
      <c r="A16" s="114" t="s">
        <v>977</v>
      </c>
      <c r="B16" s="114" t="s">
        <v>978</v>
      </c>
      <c r="N16" s="114" t="s">
        <v>993</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1010</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1011</v>
      </c>
      <c r="R18" s="114" t="s">
        <v>669</v>
      </c>
      <c r="S18" s="114" t="s">
        <v>418</v>
      </c>
      <c r="T18" s="114" t="s">
        <v>326</v>
      </c>
    </row>
    <row r="19" spans="14:29" x14ac:dyDescent="0.4">
      <c r="R19" s="114">
        <v>1</v>
      </c>
      <c r="S19" s="114">
        <v>1</v>
      </c>
      <c r="T19" s="114">
        <v>1</v>
      </c>
    </row>
    <row r="20" spans="14:29" x14ac:dyDescent="0.4">
      <c r="N20" s="114" t="s">
        <v>985</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1012</v>
      </c>
      <c r="R20" s="114" t="s">
        <v>985</v>
      </c>
      <c r="S20" s="114" t="s">
        <v>418</v>
      </c>
      <c r="T20" s="114" t="s">
        <v>326</v>
      </c>
    </row>
    <row r="21" spans="14:29" x14ac:dyDescent="0.4">
      <c r="R21" s="114">
        <v>1</v>
      </c>
      <c r="S21" s="114">
        <v>1</v>
      </c>
      <c r="T21" s="114">
        <v>1</v>
      </c>
    </row>
    <row r="22" spans="14:29" x14ac:dyDescent="0.4">
      <c r="N22" s="114" t="s">
        <v>986</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1013</v>
      </c>
      <c r="R22" s="114" t="s">
        <v>986</v>
      </c>
    </row>
    <row r="23" spans="14:29" x14ac:dyDescent="0.4">
      <c r="R23" s="114">
        <v>1</v>
      </c>
    </row>
    <row r="24" spans="14:29" x14ac:dyDescent="0.4">
      <c r="N24" s="114" t="s">
        <v>987</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1014</v>
      </c>
      <c r="R24" s="114" t="s">
        <v>588</v>
      </c>
    </row>
    <row r="25" spans="14:29" x14ac:dyDescent="0.4">
      <c r="R25" s="114">
        <v>1</v>
      </c>
    </row>
    <row r="26" spans="14:29" x14ac:dyDescent="0.4">
      <c r="N26" s="114" t="s">
        <v>988</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1015</v>
      </c>
      <c r="R26" s="114" t="s">
        <v>304</v>
      </c>
    </row>
    <row r="27" spans="14:29" x14ac:dyDescent="0.4">
      <c r="R27" s="114">
        <v>1</v>
      </c>
    </row>
    <row r="28" spans="14:29" x14ac:dyDescent="0.4">
      <c r="N28" s="114" t="s">
        <v>989</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1016</v>
      </c>
      <c r="R28" s="114" t="s">
        <v>269</v>
      </c>
      <c r="S28" s="114" t="s">
        <v>831</v>
      </c>
    </row>
    <row r="29" spans="14:29" x14ac:dyDescent="0.4">
      <c r="R29" s="114">
        <v>20</v>
      </c>
      <c r="S29" s="114">
        <v>1</v>
      </c>
    </row>
    <row r="30" spans="14:29" x14ac:dyDescent="0.4">
      <c r="N30" s="114" t="s">
        <v>886</v>
      </c>
      <c r="O30" s="114">
        <v>0</v>
      </c>
      <c r="P30" s="114">
        <v>0</v>
      </c>
      <c r="Q30" s="114" t="s">
        <v>1017</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1248</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1249</v>
      </c>
      <c r="R32" s="114" t="s">
        <v>268</v>
      </c>
      <c r="S32" s="114" t="s">
        <v>268</v>
      </c>
      <c r="T32" s="114" t="s">
        <v>418</v>
      </c>
      <c r="U32" s="114" t="s">
        <v>1250</v>
      </c>
      <c r="V32" s="114" t="s">
        <v>1040</v>
      </c>
      <c r="W32" s="114" t="s">
        <v>1344</v>
      </c>
      <c r="X32" s="117" t="s">
        <v>326</v>
      </c>
      <c r="Y32" s="114" t="s">
        <v>1003</v>
      </c>
      <c r="Z32" s="135" t="s">
        <v>831</v>
      </c>
      <c r="AA32" s="114" t="s">
        <v>304</v>
      </c>
      <c r="AB32" s="114" t="s">
        <v>1004</v>
      </c>
    </row>
    <row r="33" spans="14:31" x14ac:dyDescent="0.4">
      <c r="R33" s="114" t="s">
        <v>1001</v>
      </c>
      <c r="S33" s="114" t="s">
        <v>1001</v>
      </c>
      <c r="T33" s="114" t="s">
        <v>1001</v>
      </c>
      <c r="U33" s="114">
        <v>1</v>
      </c>
      <c r="V33" s="114">
        <v>1</v>
      </c>
      <c r="W33" s="117">
        <v>1</v>
      </c>
      <c r="X33" s="446">
        <v>1</v>
      </c>
      <c r="Y33" s="446">
        <v>2</v>
      </c>
      <c r="Z33" s="446">
        <v>1</v>
      </c>
      <c r="AA33" s="446">
        <v>1</v>
      </c>
      <c r="AB33" s="446">
        <v>1</v>
      </c>
    </row>
    <row r="34" spans="14:31" x14ac:dyDescent="0.4">
      <c r="N34" s="114" t="s">
        <v>1003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831</v>
      </c>
      <c r="T34" s="114" t="s">
        <v>1003</v>
      </c>
    </row>
    <row r="35" spans="14:31" x14ac:dyDescent="0.4">
      <c r="R35" s="114" t="s">
        <v>1001</v>
      </c>
      <c r="S35" s="114">
        <v>1</v>
      </c>
      <c r="T35" s="114">
        <v>2</v>
      </c>
    </row>
    <row r="36" spans="14:31" x14ac:dyDescent="0.4">
      <c r="N36" s="114" t="s">
        <v>1288</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5</v>
      </c>
      <c r="Q36" s="114" t="s">
        <v>1289</v>
      </c>
      <c r="R36" s="114" t="s">
        <v>1040</v>
      </c>
      <c r="S36" s="114" t="s">
        <v>1039</v>
      </c>
      <c r="T36" s="114" t="s">
        <v>1250</v>
      </c>
      <c r="U36" s="114" t="s">
        <v>999</v>
      </c>
      <c r="V36" s="114" t="s">
        <v>1290</v>
      </c>
      <c r="W36" s="114" t="s">
        <v>1291</v>
      </c>
      <c r="X36" s="114" t="s">
        <v>1003</v>
      </c>
      <c r="Y36" s="114" t="s">
        <v>1023</v>
      </c>
      <c r="Z36" s="114" t="s">
        <v>1292</v>
      </c>
      <c r="AA36" s="117" t="s">
        <v>326</v>
      </c>
      <c r="AB36" s="446" t="s">
        <v>322</v>
      </c>
      <c r="AC36" s="114" t="s">
        <v>1253</v>
      </c>
      <c r="AD36" s="114" t="s">
        <v>267</v>
      </c>
      <c r="AE36" s="446"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1001</v>
      </c>
      <c r="AE37" s="114" t="s">
        <v>1001</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row r="39" spans="14:31" x14ac:dyDescent="0.4">
      <c r="N39" s="114" t="s">
        <v>1390</v>
      </c>
      <c r="O39" s="114">
        <f>IFERROR(R40*VLOOKUP(R39,'Part List'!A:G,3,FALSE),0)
+IFERROR(S40*VLOOKUP(S39,'Part List'!A:G,3,FALSE),0)
+IFERROR(T40*VLOOKUP(T39,'Part List'!A:G,3,FALSE),0)
+IFERROR(U40*VLOOKUP(U39,'Part List'!A:G,3,FALSE),0)
+IFERROR(V40*VLOOKUP(V39,'Part List'!A:G,3,FALSE),0)
+IFERROR(W40*VLOOKUP(W39,'Part List'!A:G,3,FALSE),0)
+IFERROR(X40*VLOOKUP(X39,'Part List'!A:G,3,FALSE),0)
+IFERROR(Y40*VLOOKUP(Y39,'Part List'!A:G,3,FALSE),0)
+IFERROR(Z40*VLOOKUP(Z39,'Part List'!A:G,3,FALSE),0)
+IFERROR(AA40*VLOOKUP(AA39,'Part List'!A:G,3,FALSE),0)
+IFERROR(AB40*VLOOKUP(AB39,'Part List'!A:G,3,FALSE),0)
+IFERROR(AC40*VLOOKUP(AC39,'Part List'!A:G,3,FALSE),0)</f>
        <v>614.90000000000009</v>
      </c>
      <c r="P39" s="114">
        <f>IFERROR(R40*VLOOKUP(R39,'Part List'!A:G,5,FALSE),0)
+IFERROR(S40*VLOOKUP(S39,'Part List'!A:G,5,FALSE),0)
+IFERROR(T40*VLOOKUP(T39,'Part List'!A:G,5,FALSE),0)
+IFERROR(U40*VLOOKUP(U39,'Part List'!A:G,5,FALSE),0)
+IFERROR(V40*VLOOKUP(V39,'Part List'!A:G,5,FALSE),0)
+IFERROR(W40*VLOOKUP(W39,'Part List'!A:G,5,FALSE),0)
+IFERROR(X40*VLOOKUP(X39,'Part List'!A:G,5,FALSE),0)
+IFERROR(Y40*VLOOKUP(Y39,'Part List'!A:G,5,FALSE),0)
+IFERROR(Z40*VLOOKUP(Z39,'Part List'!A:G,5,FALSE),0)
+IFERROR(AA40*VLOOKUP(AA39,'Part List'!A:G,5,FALSE),0)
+IFERROR(AB40*VLOOKUP(AB39,'Part List'!A:G,5,FALSE),0)
+IFERROR(AC40*VLOOKUP(AC39,'Part List'!A:G,5,FALSE),0)</f>
        <v>2</v>
      </c>
      <c r="Q39" s="114" t="s">
        <v>1002</v>
      </c>
      <c r="R39" s="114" t="s">
        <v>1040</v>
      </c>
      <c r="S39" s="114" t="s">
        <v>1039</v>
      </c>
      <c r="U39" s="114" t="s">
        <v>304</v>
      </c>
      <c r="V39" s="114" t="s">
        <v>1344</v>
      </c>
      <c r="W39" s="114" t="s">
        <v>1003</v>
      </c>
      <c r="X39" s="114" t="s">
        <v>1004</v>
      </c>
      <c r="Y39" s="114" t="s">
        <v>1000</v>
      </c>
    </row>
    <row r="40" spans="14:31" x14ac:dyDescent="0.4">
      <c r="R40" s="114">
        <v>1</v>
      </c>
      <c r="S40" s="114">
        <v>1</v>
      </c>
      <c r="U40" s="114">
        <v>1</v>
      </c>
      <c r="V40" s="114">
        <v>1</v>
      </c>
      <c r="W40" s="114">
        <v>1</v>
      </c>
      <c r="X40" s="114">
        <v>1</v>
      </c>
      <c r="Y40" s="114">
        <v>1</v>
      </c>
      <c r="Z40" s="114">
        <v>1</v>
      </c>
    </row>
    <row r="41" spans="14:31" x14ac:dyDescent="0.4">
      <c r="N41" s="114" t="s">
        <v>1391</v>
      </c>
      <c r="O41" s="114">
        <f>IFERROR(R42*VLOOKUP(R41,'Part List'!A:G,3,FALSE),0)
+IFERROR(S42*VLOOKUP(S41,'Part List'!A:G,3,FALSE),0)
+IFERROR(T42*VLOOKUP(T41,'Part List'!A:G,3,FALSE),0)
+IFERROR(U42*VLOOKUP(U41,'Part List'!A:G,3,FALSE),0)
+IFERROR(V42*VLOOKUP(V41,'Part List'!A:G,3,FALSE),0)
+IFERROR(W42*VLOOKUP(W41,'Part List'!A:G,3,FALSE),0)
+IFERROR(X42*VLOOKUP(X41,'Part List'!A:G,3,FALSE),0)
+IFERROR(Y42*VLOOKUP(Y41,'Part List'!A:G,3,FALSE),0)
+IFERROR(Z42*VLOOKUP(Z41,'Part List'!A:G,3,FALSE),0)
+IFERROR(AA42*VLOOKUP(AA41,'Part List'!A:G,3,FALSE),0)
+IFERROR(AB42*VLOOKUP(AB41,'Part List'!A:G,3,FALSE),0)
+IFERROR(AC42*VLOOKUP(AC41,'Part List'!A:G,3,FALSE),0)</f>
        <v>533.66</v>
      </c>
      <c r="P41" s="114">
        <f>IFERROR(R42*VLOOKUP(R41,'Part List'!A:G,5,FALSE),0)
+IFERROR(S42*VLOOKUP(S41,'Part List'!A:G,5,FALSE),0)
+IFERROR(T42*VLOOKUP(T41,'Part List'!A:G,5,FALSE),0)
+IFERROR(U42*VLOOKUP(U41,'Part List'!A:G,5,FALSE),0)
+IFERROR(V42*VLOOKUP(V41,'Part List'!A:G,5,FALSE),0)
+IFERROR(W42*VLOOKUP(W41,'Part List'!A:G,5,FALSE),0)
+IFERROR(X42*VLOOKUP(X41,'Part List'!A:G,5,FALSE),0)
+IFERROR(Y42*VLOOKUP(Y41,'Part List'!A:G,5,FALSE),0)
+IFERROR(Z42*VLOOKUP(Z41,'Part List'!A:G,5,FALSE),0)
+IFERROR(AA42*VLOOKUP(AA41,'Part List'!A:G,5,FALSE),0)
+IFERROR(AB42*VLOOKUP(AB41,'Part List'!A:G,5,FALSE),0)
+IFERROR(AC42*VLOOKUP(AC41,'Part List'!A:G,5,FALSE),0)</f>
        <v>2</v>
      </c>
      <c r="Q41" s="114" t="s">
        <v>1002</v>
      </c>
      <c r="S41" s="114" t="s">
        <v>1039</v>
      </c>
      <c r="U41" s="114" t="s">
        <v>304</v>
      </c>
      <c r="V41" s="114" t="s">
        <v>1392</v>
      </c>
      <c r="W41" s="114" t="s">
        <v>1003</v>
      </c>
      <c r="X41" s="114" t="s">
        <v>1004</v>
      </c>
      <c r="Y41" s="114" t="s">
        <v>1000</v>
      </c>
    </row>
    <row r="42" spans="14:31" x14ac:dyDescent="0.4">
      <c r="S42" s="114">
        <v>1</v>
      </c>
      <c r="U42" s="114">
        <v>1</v>
      </c>
      <c r="V42" s="114">
        <v>1</v>
      </c>
      <c r="W42" s="114">
        <v>1</v>
      </c>
      <c r="X42" s="114">
        <v>1</v>
      </c>
      <c r="Y42" s="114">
        <v>1</v>
      </c>
      <c r="Z42" s="114">
        <v>1</v>
      </c>
    </row>
  </sheetData>
  <conditionalFormatting sqref="W33:AB33">
    <cfRule type="expression" dxfId="201" priority="4">
      <formula>IF(ROW() = ROW(), TRUE, FALSE)</formula>
    </cfRule>
  </conditionalFormatting>
  <conditionalFormatting sqref="X32">
    <cfRule type="expression" dxfId="200" priority="3">
      <formula>IF(ROW() = ROW(), TRUE, FALSE)</formula>
    </cfRule>
  </conditionalFormatting>
  <conditionalFormatting sqref="AA36:AB36">
    <cfRule type="expression" dxfId="199" priority="2">
      <formula>IF(ROW() = ROW(), TRUE, FALSE)</formula>
    </cfRule>
  </conditionalFormatting>
  <conditionalFormatting sqref="AE36">
    <cfRule type="expression" dxfId="198"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'Part List'!$A:$A</xm:f>
          </x14:formula1>
          <xm:sqref>Y4 R8 R6 R10:S10 R14:S14 R16:S16 R12:T12 R18:T18 R24 R22 R20:T20 H23:H25 F23:F25 R26 Y39 Y41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29"/>
  <sheetViews>
    <sheetView topLeftCell="I1"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9.4609375" style="114" customWidth="1"/>
    <col min="7" max="7" width="12.07421875" style="355" customWidth="1"/>
    <col min="8" max="8" width="12.07421875" style="319" customWidth="1"/>
    <col min="9" max="9" width="13.3046875" style="355" customWidth="1"/>
    <col min="10" max="10" width="13.3046875" style="319" customWidth="1"/>
    <col min="11" max="12" width="13.3046875" style="318" hidden="1" customWidth="1"/>
    <col min="13" max="13" width="8.07421875" style="318" customWidth="1"/>
    <col min="14" max="14" width="12.3046875" style="114" customWidth="1"/>
    <col min="15" max="15" width="14.765625" style="355" customWidth="1"/>
    <col min="16" max="16" width="14.765625" style="318" hidden="1" customWidth="1"/>
    <col min="17" max="17" width="6" style="319" customWidth="1"/>
    <col min="18" max="18" width="14.765625" style="355" customWidth="1"/>
    <col min="19" max="19" width="14.765625" style="318" hidden="1" customWidth="1"/>
    <col min="20" max="20" width="6" style="319" customWidth="1"/>
    <col min="21" max="21" width="14.765625" style="355" customWidth="1"/>
    <col min="22" max="22" width="14.765625" style="318" hidden="1" customWidth="1"/>
    <col min="23" max="23" width="6" style="319" customWidth="1"/>
    <col min="24" max="24" width="14.765625" style="355" customWidth="1"/>
    <col min="25" max="25" width="14.765625" style="318" hidden="1" customWidth="1"/>
    <col min="26" max="26" width="6" style="319" customWidth="1"/>
    <col min="27" max="27" width="14.765625" style="355" customWidth="1"/>
    <col min="28" max="28" width="14.765625" style="318" hidden="1" customWidth="1"/>
    <col min="29" max="29" width="6" style="319" customWidth="1"/>
    <col min="30" max="30" width="14.765625" style="355" customWidth="1"/>
    <col min="31" max="31" width="14.765625" style="318" hidden="1" customWidth="1"/>
    <col min="32" max="32" width="6" style="319" customWidth="1"/>
    <col min="33" max="33" width="14.765625" style="355" customWidth="1"/>
    <col min="34" max="34" width="14.765625" style="318" hidden="1" customWidth="1"/>
    <col min="35" max="35" width="6" style="319" customWidth="1"/>
    <col min="36" max="55" width="12.23046875" style="114" customWidth="1"/>
    <col min="56" max="56" width="12.3046875" style="424" customWidth="1"/>
    <col min="57" max="57" width="18.765625" style="114" customWidth="1"/>
    <col min="58" max="58" width="17.3046875" style="114" customWidth="1"/>
    <col min="59" max="59" width="71.69140625" style="114" customWidth="1"/>
    <col min="60" max="60" width="9.23046875" style="114" customWidth="1"/>
    <col min="61" max="61" width="21.3046875" style="114" customWidth="1"/>
    <col min="62" max="62" width="9.4609375" style="114" customWidth="1"/>
    <col min="63" max="63" width="55.69140625" style="114" customWidth="1"/>
    <col min="64" max="64" width="13.69140625" style="114" customWidth="1"/>
    <col min="65" max="65" width="146.84375" style="114" customWidth="1"/>
    <col min="66" max="66" width="151.84375" style="114" customWidth="1"/>
    <col min="67" max="74" width="9.23046875" style="114" customWidth="1"/>
    <col min="75" max="16384" width="9.23046875" style="114"/>
  </cols>
  <sheetData>
    <row r="1" spans="1:69" s="299" customFormat="1" ht="29.15" x14ac:dyDescent="0.4">
      <c r="A1" s="425" t="s">
        <v>930</v>
      </c>
      <c r="B1" s="425" t="s">
        <v>931</v>
      </c>
      <c r="C1" s="426" t="s">
        <v>932</v>
      </c>
      <c r="D1" s="425" t="s">
        <v>933</v>
      </c>
      <c r="E1" s="425" t="s">
        <v>843</v>
      </c>
      <c r="F1" s="425" t="s">
        <v>1018</v>
      </c>
      <c r="G1" s="433" t="s">
        <v>979</v>
      </c>
      <c r="H1" s="434" t="s">
        <v>980</v>
      </c>
      <c r="I1" s="435" t="s">
        <v>935</v>
      </c>
      <c r="J1" s="436" t="s">
        <v>936</v>
      </c>
      <c r="K1" s="528" t="s">
        <v>1385</v>
      </c>
      <c r="L1" s="528" t="s">
        <v>1386</v>
      </c>
      <c r="M1" s="526" t="s">
        <v>1388</v>
      </c>
      <c r="N1" s="427" t="s">
        <v>1387</v>
      </c>
      <c r="O1" s="433" t="str">
        <f>_VRF!A1</f>
        <v>Power Supply</v>
      </c>
      <c r="P1" s="437" t="s">
        <v>995</v>
      </c>
      <c r="Q1" s="434" t="s">
        <v>996</v>
      </c>
      <c r="R1" s="433" t="str">
        <f>_VRF!B1</f>
        <v>Type</v>
      </c>
      <c r="S1" s="437" t="str">
        <f>P1</f>
        <v>$</v>
      </c>
      <c r="T1" s="437" t="str">
        <f>Q1</f>
        <v>t</v>
      </c>
      <c r="U1" s="433" t="str">
        <f>_VRF!C1</f>
        <v>Run &amp; Fault Lights</v>
      </c>
      <c r="V1" s="437" t="str">
        <f>S1</f>
        <v>$</v>
      </c>
      <c r="W1" s="437" t="str">
        <f>T1</f>
        <v>t</v>
      </c>
      <c r="X1" s="433" t="str">
        <f>_VRF!D1</f>
        <v>Timeclock</v>
      </c>
      <c r="Y1" s="437" t="str">
        <f>V1</f>
        <v>$</v>
      </c>
      <c r="Z1" s="437" t="str">
        <f>W1</f>
        <v>t</v>
      </c>
      <c r="AA1" s="433" t="str">
        <f>_VRF!E1</f>
        <v>Status to Other Units</v>
      </c>
      <c r="AB1" s="437" t="str">
        <f>Y1</f>
        <v>$</v>
      </c>
      <c r="AC1" s="437" t="str">
        <f>Z1</f>
        <v>t</v>
      </c>
      <c r="AD1" s="433" t="str">
        <f>_VRF!F1</f>
        <v>Push Button</v>
      </c>
      <c r="AE1" s="437" t="str">
        <f>AB1</f>
        <v>$</v>
      </c>
      <c r="AF1" s="437" t="str">
        <f>AC1</f>
        <v>t</v>
      </c>
      <c r="AG1" s="433" t="str">
        <f>_VRF!G1</f>
        <v>Run Status Light</v>
      </c>
      <c r="AH1" s="437" t="str">
        <f>AE1</f>
        <v>$</v>
      </c>
      <c r="AI1" s="437" t="str">
        <f>AF1</f>
        <v>t</v>
      </c>
      <c r="AJ1" s="114"/>
      <c r="AK1" s="114"/>
      <c r="AL1" s="114"/>
      <c r="AM1" s="428" t="s">
        <v>1019</v>
      </c>
      <c r="AN1" s="299" t="s">
        <v>676</v>
      </c>
      <c r="AO1" s="299" t="s">
        <v>1020</v>
      </c>
      <c r="AP1" s="299" t="s">
        <v>1021</v>
      </c>
      <c r="AQ1" s="299" t="s">
        <v>1022</v>
      </c>
      <c r="AR1" s="299" t="s">
        <v>1023</v>
      </c>
      <c r="AS1" s="299" t="s">
        <v>989</v>
      </c>
      <c r="AT1" s="299" t="s">
        <v>1024</v>
      </c>
      <c r="AU1" s="299" t="s">
        <v>676</v>
      </c>
      <c r="AV1" s="299" t="s">
        <v>1020</v>
      </c>
      <c r="AW1" s="299" t="s">
        <v>1021</v>
      </c>
      <c r="AX1" s="299" t="s">
        <v>1022</v>
      </c>
      <c r="AY1" s="299" t="s">
        <v>1023</v>
      </c>
      <c r="AZ1" s="299" t="s">
        <v>989</v>
      </c>
      <c r="BD1" s="299" t="s">
        <v>1025</v>
      </c>
      <c r="BE1" s="299">
        <f>MAX('@Fan'!BD:BD)</f>
        <v>0</v>
      </c>
    </row>
    <row r="2" spans="1:69" x14ac:dyDescent="0.4">
      <c r="A2" s="429" t="str">
        <f t="shared" ref="A2:A23" si="0">IF(COUNTBLANK(U2:AG2)=0,"VALID","INVALID")</f>
        <v>INVALID</v>
      </c>
      <c r="B2" s="430" t="str">
        <f>_xlfn.CONCAT("VRF ",(ROW()-1))</f>
        <v>VRF 1</v>
      </c>
      <c r="C2" s="431">
        <f>IFERROR(E2*I2,0)</f>
        <v>0</v>
      </c>
      <c r="D2" s="430">
        <f>IFERROR(IF(ISBLANK(G2),J2*E2,G2*E2),0)</f>
        <v>0</v>
      </c>
      <c r="E2" s="430"/>
      <c r="F2" s="430">
        <f t="shared" ref="F2:F23" si="1">IF(COUNTBLANK(H2)=0,H2,IF(R2="Indoor",10,IF(O2="Local",5,20)))</f>
        <v>20</v>
      </c>
      <c r="G2" s="438"/>
      <c r="H2" s="439"/>
      <c r="I2" s="438">
        <f>L2+S2+V2+Y2+P2+AB2+AE2+AH2</f>
        <v>0</v>
      </c>
      <c r="J2" s="438">
        <f>N2+T2+W2+Z2+Q2+AC2+AF2+AI2</f>
        <v>0</v>
      </c>
      <c r="K2" s="527">
        <f>VLOOKUP(R2,_VRF!$A$39:$G$52,4,FALSE)</f>
        <v>0</v>
      </c>
      <c r="L2" s="527">
        <f>K2*F2</f>
        <v>0</v>
      </c>
      <c r="M2" s="527">
        <f>VLOOKUP(R2,_VRF!$A$39:$G$52,5,FALSE)</f>
        <v>0</v>
      </c>
      <c r="N2" s="430">
        <f>M2*F2</f>
        <v>0</v>
      </c>
      <c r="O2" s="438"/>
      <c r="P2" s="527">
        <f>IFERROR(VLOOKUP(O2,_VRF!$L:$S,2,FALSE),0)</f>
        <v>0</v>
      </c>
      <c r="Q2" s="439">
        <f>IFERROR(VLOOKUP(O2,_VRF!$L:$S,3,FALSE),0)</f>
        <v>0</v>
      </c>
      <c r="R2" s="438"/>
      <c r="S2" s="527">
        <f>IFERROR(VLOOKUP(R2,_VRF!$L:$S,2,FALSE),0)</f>
        <v>0</v>
      </c>
      <c r="T2" s="439">
        <f>IFERROR(VLOOKUP(R2,_VRF!$L:$S,3,FALSE),0)</f>
        <v>0</v>
      </c>
      <c r="U2" s="438"/>
      <c r="V2" s="527">
        <f>IF(U2="Yes",VLOOKUP(U$1,_VRF!$L:$S,2,FALSE),0)</f>
        <v>0</v>
      </c>
      <c r="W2" s="527">
        <f>IF(U2="Yes",VLOOKUP(U$1,_VRF!$L:$S,3,FALSE),0)</f>
        <v>0</v>
      </c>
      <c r="X2" s="438"/>
      <c r="Y2" s="527">
        <f>IF(X2="Yes",VLOOKUP(X$1,_VRF!$L:$S,2,FALSE),0)</f>
        <v>0</v>
      </c>
      <c r="Z2" s="527">
        <f>IF(X2="Yes",VLOOKUP(X$1,_VRF!$L:$S,3,FALSE),0)</f>
        <v>0</v>
      </c>
      <c r="AA2" s="438"/>
      <c r="AB2" s="527">
        <f>IF(AA2="Yes",VLOOKUP(AA$1,_VRF!$L:$S,2,FALSE),0)</f>
        <v>0</v>
      </c>
      <c r="AC2" s="527">
        <f>IF(AA2="Yes",VLOOKUP(AA$1,_VRF!$L:$S,3,FALSE),0)</f>
        <v>0</v>
      </c>
      <c r="AD2" s="438"/>
      <c r="AE2" s="527">
        <f>IF(AD2="Yes",VLOOKUP(AD$1,_VRF!$L:$S,2,FALSE),0)</f>
        <v>0</v>
      </c>
      <c r="AF2" s="527">
        <f>IF(AD2="Yes",VLOOKUP(AD$1,_VRF!$L:$S,3,FALSE),0)</f>
        <v>0</v>
      </c>
      <c r="AG2" s="438"/>
      <c r="AH2" s="527">
        <f>IF(AG2="Yes",VLOOKUP(AG$1,_VRF!$L:$S,2,FALSE),0)</f>
        <v>0</v>
      </c>
      <c r="AI2" s="527">
        <f>IF(AG2="Yes",VLOOKUP(AG$1,_VRF!$L:$S,3,FALSE),0)</f>
        <v>0</v>
      </c>
      <c r="BD2" s="432"/>
    </row>
    <row r="3" spans="1:69" x14ac:dyDescent="0.4">
      <c r="A3" s="429" t="str">
        <f t="shared" si="0"/>
        <v>INVALID</v>
      </c>
      <c r="B3" s="430" t="str">
        <f t="shared" ref="B3:B23" si="2">_xlfn.CONCAT("VRF ",(ROW()-1))</f>
        <v>VRF 2</v>
      </c>
      <c r="C3" s="431">
        <f t="shared" ref="C3:C23" si="3">IFERROR(E3*I3,0)</f>
        <v>0</v>
      </c>
      <c r="D3" s="430">
        <f t="shared" ref="D3:D23" si="4">IFERROR(IF(ISBLANK(G3),J3*E3,G3*E3),0)</f>
        <v>0</v>
      </c>
      <c r="E3" s="430"/>
      <c r="F3" s="430">
        <f t="shared" si="1"/>
        <v>5</v>
      </c>
      <c r="G3" s="438"/>
      <c r="H3" s="439"/>
      <c r="I3" s="438">
        <f t="shared" ref="I3:I23" si="5">L3+S3+V3+Y3+P3+AB3+AE3+AH3</f>
        <v>88.25</v>
      </c>
      <c r="J3" s="438">
        <f t="shared" ref="J3:J23" si="6">N3+T3+W3+Z3+Q3+AC3+AF3+AI3</f>
        <v>1</v>
      </c>
      <c r="K3" s="527">
        <f>VLOOKUP(R3,_VRF!$A$39:$G$52,4,FALSE)</f>
        <v>0</v>
      </c>
      <c r="L3" s="527">
        <f t="shared" ref="L3:L23" si="7">K3*F3</f>
        <v>0</v>
      </c>
      <c r="M3" s="527">
        <f>VLOOKUP(R3,_VRF!$A$39:$G$52,5,FALSE)</f>
        <v>0</v>
      </c>
      <c r="N3" s="430">
        <f t="shared" ref="N3:N23" si="8">M3*F3</f>
        <v>0</v>
      </c>
      <c r="O3" s="438" t="s">
        <v>990</v>
      </c>
      <c r="P3" s="527">
        <f>IFERROR(VLOOKUP(O3,_VRF!$L:$S,2,FALSE),0)</f>
        <v>88.25</v>
      </c>
      <c r="Q3" s="439">
        <f>IFERROR(VLOOKUP(O3,_VRF!$L:$S,3,FALSE),0)</f>
        <v>1</v>
      </c>
      <c r="R3" s="438"/>
      <c r="S3" s="527">
        <f>IFERROR(VLOOKUP(R3,_VRF!$L:$S,2,FALSE),0)</f>
        <v>0</v>
      </c>
      <c r="T3" s="439">
        <f>IFERROR(VLOOKUP(R3,_VRF!$L:$S,3,FALSE),0)</f>
        <v>0</v>
      </c>
      <c r="U3" s="438"/>
      <c r="V3" s="527">
        <f>IF(U3="Yes",VLOOKUP(U$1,_VRF!$L:$S,2,FALSE),0)</f>
        <v>0</v>
      </c>
      <c r="W3" s="527">
        <f>IF(U3="Yes",VLOOKUP(U$1,_VRF!$L:$S,3,FALSE),0)</f>
        <v>0</v>
      </c>
      <c r="X3" s="438"/>
      <c r="Y3" s="527">
        <f>IF(X3="Yes",VLOOKUP(X$1,_VRF!$L:$S,2,FALSE),0)</f>
        <v>0</v>
      </c>
      <c r="Z3" s="527">
        <f>IF(X3="Yes",VLOOKUP(X$1,_VRF!$L:$S,3,FALSE),0)</f>
        <v>0</v>
      </c>
      <c r="AA3" s="438"/>
      <c r="AB3" s="527">
        <f>IF(AA3="Yes",VLOOKUP(AA$1,_VRF!$L:$S,2,FALSE),0)</f>
        <v>0</v>
      </c>
      <c r="AC3" s="527">
        <f>IF(AA3="Yes",VLOOKUP(AA$1,_VRF!$L:$S,3,FALSE),0)</f>
        <v>0</v>
      </c>
      <c r="AD3" s="438"/>
      <c r="AE3" s="527">
        <f>IF(AD3="Yes",VLOOKUP(AD$1,_VRF!$L:$S,2,FALSE),0)</f>
        <v>0</v>
      </c>
      <c r="AF3" s="527">
        <f>IF(AD3="Yes",VLOOKUP(AD$1,_VRF!$L:$S,3,FALSE),0)</f>
        <v>0</v>
      </c>
      <c r="AG3" s="438"/>
      <c r="AH3" s="527">
        <f>IF(AG3="Yes",VLOOKUP(AG$1,_VRF!$L:$S,2,FALSE),0)</f>
        <v>0</v>
      </c>
      <c r="AI3" s="527">
        <f>IF(AG3="Yes",VLOOKUP(AG$1,_VRF!$L:$S,3,FALSE),0)</f>
        <v>0</v>
      </c>
      <c r="BD3" s="432"/>
    </row>
    <row r="4" spans="1:69" x14ac:dyDescent="0.4">
      <c r="A4" s="429" t="str">
        <f t="shared" si="0"/>
        <v>INVALID</v>
      </c>
      <c r="B4" s="430" t="str">
        <f t="shared" si="2"/>
        <v>VRF 3</v>
      </c>
      <c r="C4" s="431">
        <f t="shared" si="3"/>
        <v>0</v>
      </c>
      <c r="D4" s="430">
        <f t="shared" si="4"/>
        <v>0</v>
      </c>
      <c r="E4" s="430"/>
      <c r="F4" s="430">
        <f t="shared" si="1"/>
        <v>5</v>
      </c>
      <c r="G4" s="438"/>
      <c r="H4" s="439"/>
      <c r="I4" s="438">
        <f t="shared" si="5"/>
        <v>88.25</v>
      </c>
      <c r="J4" s="438">
        <f t="shared" si="6"/>
        <v>1</v>
      </c>
      <c r="K4" s="527">
        <f>VLOOKUP(R4,_VRF!$A$39:$G$52,4,FALSE)</f>
        <v>0</v>
      </c>
      <c r="L4" s="527">
        <f t="shared" si="7"/>
        <v>0</v>
      </c>
      <c r="M4" s="527">
        <f>VLOOKUP(R4,_VRF!$A$39:$G$52,5,FALSE)</f>
        <v>0</v>
      </c>
      <c r="N4" s="430">
        <f t="shared" si="8"/>
        <v>0</v>
      </c>
      <c r="O4" s="438" t="s">
        <v>990</v>
      </c>
      <c r="P4" s="527">
        <f>IFERROR(VLOOKUP(O4,_VRF!$L:$S,2,FALSE),0)</f>
        <v>88.25</v>
      </c>
      <c r="Q4" s="439">
        <f>IFERROR(VLOOKUP(O4,_VRF!$L:$S,3,FALSE),0)</f>
        <v>1</v>
      </c>
      <c r="R4" s="438"/>
      <c r="S4" s="527">
        <f>IFERROR(VLOOKUP(R4,_VRF!$L:$S,2,FALSE),0)</f>
        <v>0</v>
      </c>
      <c r="T4" s="439">
        <f>IFERROR(VLOOKUP(R4,_VRF!$L:$S,3,FALSE),0)</f>
        <v>0</v>
      </c>
      <c r="U4" s="438"/>
      <c r="V4" s="527">
        <f>IF(U4="Yes",VLOOKUP(U$1,_VRF!$L:$S,2,FALSE),0)</f>
        <v>0</v>
      </c>
      <c r="W4" s="527">
        <f>IF(U4="Yes",VLOOKUP(U$1,_VRF!$L:$S,3,FALSE),0)</f>
        <v>0</v>
      </c>
      <c r="X4" s="438"/>
      <c r="Y4" s="527">
        <f>IF(X4="Yes",VLOOKUP(X$1,_VRF!$L:$S,2,FALSE),0)</f>
        <v>0</v>
      </c>
      <c r="Z4" s="527">
        <f>IF(X4="Yes",VLOOKUP(X$1,_VRF!$L:$S,3,FALSE),0)</f>
        <v>0</v>
      </c>
      <c r="AA4" s="438"/>
      <c r="AB4" s="527">
        <f>IF(AA4="Yes",VLOOKUP(AA$1,_VRF!$L:$S,2,FALSE),0)</f>
        <v>0</v>
      </c>
      <c r="AC4" s="527">
        <f>IF(AA4="Yes",VLOOKUP(AA$1,_VRF!$L:$S,3,FALSE),0)</f>
        <v>0</v>
      </c>
      <c r="AD4" s="438"/>
      <c r="AE4" s="527">
        <f>IF(AD4="Yes",VLOOKUP(AD$1,_VRF!$L:$S,2,FALSE),0)</f>
        <v>0</v>
      </c>
      <c r="AF4" s="527">
        <f>IF(AD4="Yes",VLOOKUP(AD$1,_VRF!$L:$S,3,FALSE),0)</f>
        <v>0</v>
      </c>
      <c r="AG4" s="438"/>
      <c r="AH4" s="527">
        <f>IF(AG4="Yes",VLOOKUP(AG$1,_VRF!$L:$S,2,FALSE),0)</f>
        <v>0</v>
      </c>
      <c r="AI4" s="527">
        <f>IF(AG4="Yes",VLOOKUP(AG$1,_VRF!$L:$S,3,FALSE),0)</f>
        <v>0</v>
      </c>
      <c r="BD4" s="432"/>
    </row>
    <row r="5" spans="1:69" x14ac:dyDescent="0.4">
      <c r="A5" s="429" t="str">
        <f t="shared" si="0"/>
        <v>INVALID</v>
      </c>
      <c r="B5" s="430" t="str">
        <f t="shared" si="2"/>
        <v>VRF 4</v>
      </c>
      <c r="C5" s="431">
        <f t="shared" si="3"/>
        <v>0</v>
      </c>
      <c r="D5" s="430">
        <f t="shared" si="4"/>
        <v>0</v>
      </c>
      <c r="E5" s="430"/>
      <c r="F5" s="430">
        <f t="shared" si="1"/>
        <v>5</v>
      </c>
      <c r="G5" s="438"/>
      <c r="H5" s="439"/>
      <c r="I5" s="438">
        <f t="shared" si="5"/>
        <v>88.25</v>
      </c>
      <c r="J5" s="438">
        <f t="shared" si="6"/>
        <v>1</v>
      </c>
      <c r="K5" s="527">
        <f>VLOOKUP(R5,_VRF!$A$39:$G$52,4,FALSE)</f>
        <v>0</v>
      </c>
      <c r="L5" s="527">
        <f t="shared" si="7"/>
        <v>0</v>
      </c>
      <c r="M5" s="527">
        <f>VLOOKUP(R5,_VRF!$A$39:$G$52,5,FALSE)</f>
        <v>0</v>
      </c>
      <c r="N5" s="430">
        <f t="shared" si="8"/>
        <v>0</v>
      </c>
      <c r="O5" s="438" t="s">
        <v>990</v>
      </c>
      <c r="P5" s="527">
        <f>IFERROR(VLOOKUP(O5,_VRF!$L:$S,2,FALSE),0)</f>
        <v>88.25</v>
      </c>
      <c r="Q5" s="439">
        <f>IFERROR(VLOOKUP(O5,_VRF!$L:$S,3,FALSE),0)</f>
        <v>1</v>
      </c>
      <c r="R5" s="438"/>
      <c r="S5" s="527">
        <f>IFERROR(VLOOKUP(R5,_VRF!$L:$S,2,FALSE),0)</f>
        <v>0</v>
      </c>
      <c r="T5" s="439">
        <f>IFERROR(VLOOKUP(R5,_VRF!$L:$S,3,FALSE),0)</f>
        <v>0</v>
      </c>
      <c r="U5" s="438"/>
      <c r="V5" s="527">
        <f>IF(U5="Yes",VLOOKUP(U$1,_VRF!$L:$S,2,FALSE),0)</f>
        <v>0</v>
      </c>
      <c r="W5" s="527">
        <f>IF(U5="Yes",VLOOKUP(U$1,_VRF!$L:$S,3,FALSE),0)</f>
        <v>0</v>
      </c>
      <c r="X5" s="438"/>
      <c r="Y5" s="527">
        <f>IF(X5="Yes",VLOOKUP(X$1,_VRF!$L:$S,2,FALSE),0)</f>
        <v>0</v>
      </c>
      <c r="Z5" s="527">
        <f>IF(X5="Yes",VLOOKUP(X$1,_VRF!$L:$S,3,FALSE),0)</f>
        <v>0</v>
      </c>
      <c r="AA5" s="438"/>
      <c r="AB5" s="527">
        <f>IF(AA5="Yes",VLOOKUP(AA$1,_VRF!$L:$S,2,FALSE),0)</f>
        <v>0</v>
      </c>
      <c r="AC5" s="527">
        <f>IF(AA5="Yes",VLOOKUP(AA$1,_VRF!$L:$S,3,FALSE),0)</f>
        <v>0</v>
      </c>
      <c r="AD5" s="438"/>
      <c r="AE5" s="527">
        <f>IF(AD5="Yes",VLOOKUP(AD$1,_VRF!$L:$S,2,FALSE),0)</f>
        <v>0</v>
      </c>
      <c r="AF5" s="527">
        <f>IF(AD5="Yes",VLOOKUP(AD$1,_VRF!$L:$S,3,FALSE),0)</f>
        <v>0</v>
      </c>
      <c r="AG5" s="438"/>
      <c r="AH5" s="527">
        <f>IF(AG5="Yes",VLOOKUP(AG$1,_VRF!$L:$S,2,FALSE),0)</f>
        <v>0</v>
      </c>
      <c r="AI5" s="527">
        <f>IF(AG5="Yes",VLOOKUP(AG$1,_VRF!$L:$S,3,FALSE),0)</f>
        <v>0</v>
      </c>
      <c r="BD5" s="432"/>
    </row>
    <row r="6" spans="1:69" x14ac:dyDescent="0.4">
      <c r="A6" s="429" t="str">
        <f t="shared" si="0"/>
        <v>INVALID</v>
      </c>
      <c r="B6" s="430" t="str">
        <f t="shared" si="2"/>
        <v>VRF 5</v>
      </c>
      <c r="C6" s="431">
        <f t="shared" si="3"/>
        <v>0</v>
      </c>
      <c r="D6" s="430">
        <f t="shared" si="4"/>
        <v>0</v>
      </c>
      <c r="E6" s="430"/>
      <c r="F6" s="430">
        <f t="shared" si="1"/>
        <v>5</v>
      </c>
      <c r="G6" s="438"/>
      <c r="H6" s="439"/>
      <c r="I6" s="438">
        <f t="shared" si="5"/>
        <v>88.25</v>
      </c>
      <c r="J6" s="438">
        <f t="shared" si="6"/>
        <v>1</v>
      </c>
      <c r="K6" s="527">
        <f>VLOOKUP(R6,_VRF!$A$39:$G$52,4,FALSE)</f>
        <v>0</v>
      </c>
      <c r="L6" s="527">
        <f t="shared" si="7"/>
        <v>0</v>
      </c>
      <c r="M6" s="527">
        <f>VLOOKUP(R6,_VRF!$A$39:$G$52,5,FALSE)</f>
        <v>0</v>
      </c>
      <c r="N6" s="430">
        <f t="shared" si="8"/>
        <v>0</v>
      </c>
      <c r="O6" s="438" t="s">
        <v>990</v>
      </c>
      <c r="P6" s="527">
        <f>IFERROR(VLOOKUP(O6,_VRF!$L:$S,2,FALSE),0)</f>
        <v>88.25</v>
      </c>
      <c r="Q6" s="439">
        <f>IFERROR(VLOOKUP(O6,_VRF!$L:$S,3,FALSE),0)</f>
        <v>1</v>
      </c>
      <c r="R6" s="438"/>
      <c r="S6" s="527">
        <f>IFERROR(VLOOKUP(R6,_VRF!$L:$S,2,FALSE),0)</f>
        <v>0</v>
      </c>
      <c r="T6" s="439">
        <f>IFERROR(VLOOKUP(R6,_VRF!$L:$S,3,FALSE),0)</f>
        <v>0</v>
      </c>
      <c r="U6" s="438"/>
      <c r="V6" s="527">
        <f>IF(U6="Yes",VLOOKUP(U$1,_VRF!$L:$S,2,FALSE),0)</f>
        <v>0</v>
      </c>
      <c r="W6" s="527">
        <f>IF(U6="Yes",VLOOKUP(U$1,_VRF!$L:$S,3,FALSE),0)</f>
        <v>0</v>
      </c>
      <c r="X6" s="438"/>
      <c r="Y6" s="527">
        <f>IF(X6="Yes",VLOOKUP(X$1,_VRF!$L:$S,2,FALSE),0)</f>
        <v>0</v>
      </c>
      <c r="Z6" s="527">
        <f>IF(X6="Yes",VLOOKUP(X$1,_VRF!$L:$S,3,FALSE),0)</f>
        <v>0</v>
      </c>
      <c r="AA6" s="438"/>
      <c r="AB6" s="527">
        <f>IF(AA6="Yes",VLOOKUP(AA$1,_VRF!$L:$S,2,FALSE),0)</f>
        <v>0</v>
      </c>
      <c r="AC6" s="527">
        <f>IF(AA6="Yes",VLOOKUP(AA$1,_VRF!$L:$S,3,FALSE),0)</f>
        <v>0</v>
      </c>
      <c r="AD6" s="438"/>
      <c r="AE6" s="527">
        <f>IF(AD6="Yes",VLOOKUP(AD$1,_VRF!$L:$S,2,FALSE),0)</f>
        <v>0</v>
      </c>
      <c r="AF6" s="527">
        <f>IF(AD6="Yes",VLOOKUP(AD$1,_VRF!$L:$S,3,FALSE),0)</f>
        <v>0</v>
      </c>
      <c r="AG6" s="438"/>
      <c r="AH6" s="527">
        <f>IF(AG6="Yes",VLOOKUP(AG$1,_VRF!$L:$S,2,FALSE),0)</f>
        <v>0</v>
      </c>
      <c r="AI6" s="527">
        <f>IF(AG6="Yes",VLOOKUP(AG$1,_VRF!$L:$S,3,FALSE),0)</f>
        <v>0</v>
      </c>
      <c r="BD6" s="432"/>
    </row>
    <row r="7" spans="1:69" x14ac:dyDescent="0.4">
      <c r="A7" s="429" t="str">
        <f t="shared" si="0"/>
        <v>INVALID</v>
      </c>
      <c r="B7" s="430" t="str">
        <f t="shared" si="2"/>
        <v>VRF 6</v>
      </c>
      <c r="C7" s="431">
        <f t="shared" si="3"/>
        <v>0</v>
      </c>
      <c r="D7" s="430">
        <f t="shared" si="4"/>
        <v>0</v>
      </c>
      <c r="E7" s="430"/>
      <c r="F7" s="430">
        <f t="shared" si="1"/>
        <v>5</v>
      </c>
      <c r="G7" s="438"/>
      <c r="H7" s="439"/>
      <c r="I7" s="438">
        <f t="shared" si="5"/>
        <v>88.25</v>
      </c>
      <c r="J7" s="438">
        <f t="shared" si="6"/>
        <v>1</v>
      </c>
      <c r="K7" s="527">
        <f>VLOOKUP(R7,_VRF!$A$39:$G$52,4,FALSE)</f>
        <v>0</v>
      </c>
      <c r="L7" s="527">
        <f t="shared" si="7"/>
        <v>0</v>
      </c>
      <c r="M7" s="527">
        <f>VLOOKUP(R7,_VRF!$A$39:$G$52,5,FALSE)</f>
        <v>0</v>
      </c>
      <c r="N7" s="430">
        <f t="shared" si="8"/>
        <v>0</v>
      </c>
      <c r="O7" s="438" t="s">
        <v>990</v>
      </c>
      <c r="P7" s="527">
        <f>IFERROR(VLOOKUP(O7,_VRF!$L:$S,2,FALSE),0)</f>
        <v>88.25</v>
      </c>
      <c r="Q7" s="439">
        <f>IFERROR(VLOOKUP(O7,_VRF!$L:$S,3,FALSE),0)</f>
        <v>1</v>
      </c>
      <c r="R7" s="438"/>
      <c r="S7" s="527">
        <f>IFERROR(VLOOKUP(R7,_VRF!$L:$S,2,FALSE),0)</f>
        <v>0</v>
      </c>
      <c r="T7" s="439">
        <f>IFERROR(VLOOKUP(R7,_VRF!$L:$S,3,FALSE),0)</f>
        <v>0</v>
      </c>
      <c r="U7" s="438"/>
      <c r="V7" s="527">
        <f>IF(U7="Yes",VLOOKUP(U$1,_VRF!$L:$S,2,FALSE),0)</f>
        <v>0</v>
      </c>
      <c r="W7" s="527">
        <f>IF(U7="Yes",VLOOKUP(U$1,_VRF!$L:$S,3,FALSE),0)</f>
        <v>0</v>
      </c>
      <c r="X7" s="438"/>
      <c r="Y7" s="527">
        <f>IF(X7="Yes",VLOOKUP(X$1,_VRF!$L:$S,2,FALSE),0)</f>
        <v>0</v>
      </c>
      <c r="Z7" s="527">
        <f>IF(X7="Yes",VLOOKUP(X$1,_VRF!$L:$S,3,FALSE),0)</f>
        <v>0</v>
      </c>
      <c r="AA7" s="438"/>
      <c r="AB7" s="527">
        <f>IF(AA7="Yes",VLOOKUP(AA$1,_VRF!$L:$S,2,FALSE),0)</f>
        <v>0</v>
      </c>
      <c r="AC7" s="527">
        <f>IF(AA7="Yes",VLOOKUP(AA$1,_VRF!$L:$S,3,FALSE),0)</f>
        <v>0</v>
      </c>
      <c r="AD7" s="438"/>
      <c r="AE7" s="527">
        <f>IF(AD7="Yes",VLOOKUP(AD$1,_VRF!$L:$S,2,FALSE),0)</f>
        <v>0</v>
      </c>
      <c r="AF7" s="527">
        <f>IF(AD7="Yes",VLOOKUP(AD$1,_VRF!$L:$S,3,FALSE),0)</f>
        <v>0</v>
      </c>
      <c r="AG7" s="438"/>
      <c r="AH7" s="527">
        <f>IF(AG7="Yes",VLOOKUP(AG$1,_VRF!$L:$S,2,FALSE),0)</f>
        <v>0</v>
      </c>
      <c r="AI7" s="527">
        <f>IF(AG7="Yes",VLOOKUP(AG$1,_VRF!$L:$S,3,FALSE),0)</f>
        <v>0</v>
      </c>
      <c r="BD7" s="432"/>
    </row>
    <row r="8" spans="1:69" x14ac:dyDescent="0.4">
      <c r="A8" s="429" t="str">
        <f t="shared" si="0"/>
        <v>INVALID</v>
      </c>
      <c r="B8" s="430" t="str">
        <f t="shared" si="2"/>
        <v>VRF 7</v>
      </c>
      <c r="C8" s="431">
        <f t="shared" si="3"/>
        <v>0</v>
      </c>
      <c r="D8" s="430">
        <f t="shared" si="4"/>
        <v>0</v>
      </c>
      <c r="E8" s="430"/>
      <c r="F8" s="430">
        <f t="shared" si="1"/>
        <v>20</v>
      </c>
      <c r="G8" s="438"/>
      <c r="H8" s="439"/>
      <c r="I8" s="438">
        <f t="shared" si="5"/>
        <v>553.25</v>
      </c>
      <c r="J8" s="438">
        <f t="shared" si="6"/>
        <v>2</v>
      </c>
      <c r="K8" s="527">
        <f>VLOOKUP(R8,_VRF!$A$39:$G$52,4,FALSE)</f>
        <v>0</v>
      </c>
      <c r="L8" s="527">
        <f t="shared" si="7"/>
        <v>0</v>
      </c>
      <c r="M8" s="527">
        <f>VLOOKUP(R8,_VRF!$A$39:$G$52,5,FALSE)</f>
        <v>0</v>
      </c>
      <c r="N8" s="430">
        <f t="shared" si="8"/>
        <v>0</v>
      </c>
      <c r="O8" s="438" t="s">
        <v>678</v>
      </c>
      <c r="P8" s="527">
        <f>IFERROR(VLOOKUP(O8,_VRF!$L:$S,2,FALSE),0)</f>
        <v>553.25</v>
      </c>
      <c r="Q8" s="439">
        <f>IFERROR(VLOOKUP(O8,_VRF!$L:$S,3,FALSE),0)</f>
        <v>2</v>
      </c>
      <c r="R8" s="438"/>
      <c r="S8" s="527">
        <f>IFERROR(VLOOKUP(R8,_VRF!$L:$S,2,FALSE),0)</f>
        <v>0</v>
      </c>
      <c r="T8" s="439">
        <f>IFERROR(VLOOKUP(R8,_VRF!$L:$S,3,FALSE),0)</f>
        <v>0</v>
      </c>
      <c r="U8" s="438"/>
      <c r="V8" s="527">
        <f>IF(U8="Yes",VLOOKUP(U$1,_VRF!$L:$S,2,FALSE),0)</f>
        <v>0</v>
      </c>
      <c r="W8" s="527">
        <f>IF(U8="Yes",VLOOKUP(U$1,_VRF!$L:$S,3,FALSE),0)</f>
        <v>0</v>
      </c>
      <c r="X8" s="438"/>
      <c r="Y8" s="527">
        <f>IF(X8="Yes",VLOOKUP(X$1,_VRF!$L:$S,2,FALSE),0)</f>
        <v>0</v>
      </c>
      <c r="Z8" s="527">
        <f>IF(X8="Yes",VLOOKUP(X$1,_VRF!$L:$S,3,FALSE),0)</f>
        <v>0</v>
      </c>
      <c r="AA8" s="438"/>
      <c r="AB8" s="527">
        <f>IF(AA8="Yes",VLOOKUP(AA$1,_VRF!$L:$S,2,FALSE),0)</f>
        <v>0</v>
      </c>
      <c r="AC8" s="527">
        <f>IF(AA8="Yes",VLOOKUP(AA$1,_VRF!$L:$S,3,FALSE),0)</f>
        <v>0</v>
      </c>
      <c r="AD8" s="438"/>
      <c r="AE8" s="527">
        <f>IF(AD8="Yes",VLOOKUP(AD$1,_VRF!$L:$S,2,FALSE),0)</f>
        <v>0</v>
      </c>
      <c r="AF8" s="527">
        <f>IF(AD8="Yes",VLOOKUP(AD$1,_VRF!$L:$S,3,FALSE),0)</f>
        <v>0</v>
      </c>
      <c r="AG8" s="438"/>
      <c r="AH8" s="527">
        <f>IF(AG8="Yes",VLOOKUP(AG$1,_VRF!$L:$S,2,FALSE),0)</f>
        <v>0</v>
      </c>
      <c r="AI8" s="527">
        <f>IF(AG8="Yes",VLOOKUP(AG$1,_VRF!$L:$S,3,FALSE),0)</f>
        <v>0</v>
      </c>
      <c r="BD8" s="432"/>
    </row>
    <row r="9" spans="1:69" x14ac:dyDescent="0.4">
      <c r="A9" s="429" t="str">
        <f t="shared" si="0"/>
        <v>INVALID</v>
      </c>
      <c r="B9" s="430" t="str">
        <f t="shared" si="2"/>
        <v>VRF 8</v>
      </c>
      <c r="C9" s="431">
        <f t="shared" si="3"/>
        <v>0</v>
      </c>
      <c r="D9" s="430">
        <f t="shared" si="4"/>
        <v>0</v>
      </c>
      <c r="E9" s="430"/>
      <c r="F9" s="430">
        <f t="shared" si="1"/>
        <v>20</v>
      </c>
      <c r="G9" s="438"/>
      <c r="H9" s="439"/>
      <c r="I9" s="438">
        <f t="shared" si="5"/>
        <v>553.25</v>
      </c>
      <c r="J9" s="438">
        <f t="shared" si="6"/>
        <v>2</v>
      </c>
      <c r="K9" s="527">
        <f>VLOOKUP(R9,_VRF!$A$39:$G$52,4,FALSE)</f>
        <v>0</v>
      </c>
      <c r="L9" s="527">
        <f t="shared" si="7"/>
        <v>0</v>
      </c>
      <c r="M9" s="527">
        <f>VLOOKUP(R9,_VRF!$A$39:$G$52,5,FALSE)</f>
        <v>0</v>
      </c>
      <c r="N9" s="430">
        <f t="shared" si="8"/>
        <v>0</v>
      </c>
      <c r="O9" s="438" t="s">
        <v>678</v>
      </c>
      <c r="P9" s="527">
        <f>IFERROR(VLOOKUP(O9,_VRF!$L:$S,2,FALSE),0)</f>
        <v>553.25</v>
      </c>
      <c r="Q9" s="439">
        <f>IFERROR(VLOOKUP(O9,_VRF!$L:$S,3,FALSE),0)</f>
        <v>2</v>
      </c>
      <c r="R9" s="438"/>
      <c r="S9" s="527">
        <f>IFERROR(VLOOKUP(R9,_VRF!$L:$S,2,FALSE),0)</f>
        <v>0</v>
      </c>
      <c r="T9" s="439">
        <f>IFERROR(VLOOKUP(R9,_VRF!$L:$S,3,FALSE),0)</f>
        <v>0</v>
      </c>
      <c r="U9" s="438"/>
      <c r="V9" s="527">
        <f>IF(U9="Yes",VLOOKUP(U$1,_VRF!$L:$S,2,FALSE),0)</f>
        <v>0</v>
      </c>
      <c r="W9" s="527">
        <f>IF(U9="Yes",VLOOKUP(U$1,_VRF!$L:$S,3,FALSE),0)</f>
        <v>0</v>
      </c>
      <c r="X9" s="438"/>
      <c r="Y9" s="527">
        <f>IF(X9="Yes",VLOOKUP(X$1,_VRF!$L:$S,2,FALSE),0)</f>
        <v>0</v>
      </c>
      <c r="Z9" s="527">
        <f>IF(X9="Yes",VLOOKUP(X$1,_VRF!$L:$S,3,FALSE),0)</f>
        <v>0</v>
      </c>
      <c r="AA9" s="438"/>
      <c r="AB9" s="527">
        <f>IF(AA9="Yes",VLOOKUP(AA$1,_VRF!$L:$S,2,FALSE),0)</f>
        <v>0</v>
      </c>
      <c r="AC9" s="527">
        <f>IF(AA9="Yes",VLOOKUP(AA$1,_VRF!$L:$S,3,FALSE),0)</f>
        <v>0</v>
      </c>
      <c r="AD9" s="438"/>
      <c r="AE9" s="527">
        <f>IF(AD9="Yes",VLOOKUP(AD$1,_VRF!$L:$S,2,FALSE),0)</f>
        <v>0</v>
      </c>
      <c r="AF9" s="527">
        <f>IF(AD9="Yes",VLOOKUP(AD$1,_VRF!$L:$S,3,FALSE),0)</f>
        <v>0</v>
      </c>
      <c r="AG9" s="438"/>
      <c r="AH9" s="527">
        <f>IF(AG9="Yes",VLOOKUP(AG$1,_VRF!$L:$S,2,FALSE),0)</f>
        <v>0</v>
      </c>
      <c r="AI9" s="527">
        <f>IF(AG9="Yes",VLOOKUP(AG$1,_VRF!$L:$S,3,FALSE),0)</f>
        <v>0</v>
      </c>
      <c r="BD9" s="432"/>
    </row>
    <row r="10" spans="1:69" x14ac:dyDescent="0.4">
      <c r="A10" s="429" t="str">
        <f t="shared" si="0"/>
        <v>INVALID</v>
      </c>
      <c r="B10" s="430" t="str">
        <f t="shared" si="2"/>
        <v>VRF 9</v>
      </c>
      <c r="C10" s="431">
        <f t="shared" si="3"/>
        <v>0</v>
      </c>
      <c r="D10" s="430">
        <f t="shared" si="4"/>
        <v>0</v>
      </c>
      <c r="E10" s="430"/>
      <c r="F10" s="430">
        <f t="shared" si="1"/>
        <v>20</v>
      </c>
      <c r="G10" s="438"/>
      <c r="H10" s="439"/>
      <c r="I10" s="438">
        <f t="shared" si="5"/>
        <v>553.25</v>
      </c>
      <c r="J10" s="438">
        <f t="shared" si="6"/>
        <v>2</v>
      </c>
      <c r="K10" s="527">
        <f>VLOOKUP(R10,_VRF!$A$39:$G$52,4,FALSE)</f>
        <v>0</v>
      </c>
      <c r="L10" s="527">
        <f t="shared" si="7"/>
        <v>0</v>
      </c>
      <c r="M10" s="527">
        <f>VLOOKUP(R10,_VRF!$A$39:$G$52,5,FALSE)</f>
        <v>0</v>
      </c>
      <c r="N10" s="430">
        <f t="shared" si="8"/>
        <v>0</v>
      </c>
      <c r="O10" s="438" t="s">
        <v>678</v>
      </c>
      <c r="P10" s="527">
        <f>IFERROR(VLOOKUP(O10,_VRF!$L:$S,2,FALSE),0)</f>
        <v>553.25</v>
      </c>
      <c r="Q10" s="439">
        <f>IFERROR(VLOOKUP(O10,_VRF!$L:$S,3,FALSE),0)</f>
        <v>2</v>
      </c>
      <c r="R10" s="438"/>
      <c r="S10" s="527">
        <f>IFERROR(VLOOKUP(R10,_VRF!$L:$S,2,FALSE),0)</f>
        <v>0</v>
      </c>
      <c r="T10" s="439">
        <f>IFERROR(VLOOKUP(R10,_VRF!$L:$S,3,FALSE),0)</f>
        <v>0</v>
      </c>
      <c r="U10" s="438"/>
      <c r="V10" s="527">
        <f>IF(U10="Yes",VLOOKUP(U$1,_VRF!$L:$S,2,FALSE),0)</f>
        <v>0</v>
      </c>
      <c r="W10" s="527">
        <f>IF(U10="Yes",VLOOKUP(U$1,_VRF!$L:$S,3,FALSE),0)</f>
        <v>0</v>
      </c>
      <c r="X10" s="438"/>
      <c r="Y10" s="527">
        <f>IF(X10="Yes",VLOOKUP(X$1,_VRF!$L:$S,2,FALSE),0)</f>
        <v>0</v>
      </c>
      <c r="Z10" s="527">
        <f>IF(X10="Yes",VLOOKUP(X$1,_VRF!$L:$S,3,FALSE),0)</f>
        <v>0</v>
      </c>
      <c r="AA10" s="438"/>
      <c r="AB10" s="527">
        <f>IF(AA10="Yes",VLOOKUP(AA$1,_VRF!$L:$S,2,FALSE),0)</f>
        <v>0</v>
      </c>
      <c r="AC10" s="527">
        <f>IF(AA10="Yes",VLOOKUP(AA$1,_VRF!$L:$S,3,FALSE),0)</f>
        <v>0</v>
      </c>
      <c r="AD10" s="438"/>
      <c r="AE10" s="527">
        <f>IF(AD10="Yes",VLOOKUP(AD$1,_VRF!$L:$S,2,FALSE),0)</f>
        <v>0</v>
      </c>
      <c r="AF10" s="527">
        <f>IF(AD10="Yes",VLOOKUP(AD$1,_VRF!$L:$S,3,FALSE),0)</f>
        <v>0</v>
      </c>
      <c r="AG10" s="438"/>
      <c r="AH10" s="527">
        <f>IF(AG10="Yes",VLOOKUP(AG$1,_VRF!$L:$S,2,FALSE),0)</f>
        <v>0</v>
      </c>
      <c r="AI10" s="527">
        <f>IF(AG10="Yes",VLOOKUP(AG$1,_VRF!$L:$S,3,FALSE),0)</f>
        <v>0</v>
      </c>
      <c r="BD10" s="432"/>
    </row>
    <row r="11" spans="1:69" x14ac:dyDescent="0.4">
      <c r="A11" s="429" t="str">
        <f t="shared" si="0"/>
        <v>INVALID</v>
      </c>
      <c r="B11" s="430" t="str">
        <f t="shared" si="2"/>
        <v>VRF 10</v>
      </c>
      <c r="C11" s="431">
        <f t="shared" si="3"/>
        <v>0</v>
      </c>
      <c r="D11" s="430">
        <f t="shared" si="4"/>
        <v>0</v>
      </c>
      <c r="E11" s="430"/>
      <c r="F11" s="430">
        <f t="shared" si="1"/>
        <v>20</v>
      </c>
      <c r="G11" s="438"/>
      <c r="H11" s="439"/>
      <c r="I11" s="438">
        <f t="shared" si="5"/>
        <v>553.25</v>
      </c>
      <c r="J11" s="438">
        <f t="shared" si="6"/>
        <v>2</v>
      </c>
      <c r="K11" s="527">
        <f>VLOOKUP(R11,_VRF!$A$39:$G$52,4,FALSE)</f>
        <v>0</v>
      </c>
      <c r="L11" s="527">
        <f t="shared" si="7"/>
        <v>0</v>
      </c>
      <c r="M11" s="527">
        <f>VLOOKUP(R11,_VRF!$A$39:$G$52,5,FALSE)</f>
        <v>0</v>
      </c>
      <c r="N11" s="430">
        <f t="shared" si="8"/>
        <v>0</v>
      </c>
      <c r="O11" s="438" t="s">
        <v>678</v>
      </c>
      <c r="P11" s="527">
        <f>IFERROR(VLOOKUP(O11,_VRF!$L:$S,2,FALSE),0)</f>
        <v>553.25</v>
      </c>
      <c r="Q11" s="439">
        <f>IFERROR(VLOOKUP(O11,_VRF!$L:$S,3,FALSE),0)</f>
        <v>2</v>
      </c>
      <c r="R11" s="438"/>
      <c r="S11" s="527">
        <f>IFERROR(VLOOKUP(R11,_VRF!$L:$S,2,FALSE),0)</f>
        <v>0</v>
      </c>
      <c r="T11" s="439">
        <f>IFERROR(VLOOKUP(R11,_VRF!$L:$S,3,FALSE),0)</f>
        <v>0</v>
      </c>
      <c r="U11" s="438"/>
      <c r="V11" s="527">
        <f>IF(U11="Yes",VLOOKUP(U$1,_VRF!$L:$S,2,FALSE),0)</f>
        <v>0</v>
      </c>
      <c r="W11" s="527">
        <f>IF(U11="Yes",VLOOKUP(U$1,_VRF!$L:$S,3,FALSE),0)</f>
        <v>0</v>
      </c>
      <c r="X11" s="438"/>
      <c r="Y11" s="527">
        <f>IF(X11="Yes",VLOOKUP(X$1,_VRF!$L:$S,2,FALSE),0)</f>
        <v>0</v>
      </c>
      <c r="Z11" s="527">
        <f>IF(X11="Yes",VLOOKUP(X$1,_VRF!$L:$S,3,FALSE),0)</f>
        <v>0</v>
      </c>
      <c r="AA11" s="438"/>
      <c r="AB11" s="527">
        <f>IF(AA11="Yes",VLOOKUP(AA$1,_VRF!$L:$S,2,FALSE),0)</f>
        <v>0</v>
      </c>
      <c r="AC11" s="527">
        <f>IF(AA11="Yes",VLOOKUP(AA$1,_VRF!$L:$S,3,FALSE),0)</f>
        <v>0</v>
      </c>
      <c r="AD11" s="438"/>
      <c r="AE11" s="527">
        <f>IF(AD11="Yes",VLOOKUP(AD$1,_VRF!$L:$S,2,FALSE),0)</f>
        <v>0</v>
      </c>
      <c r="AF11" s="527">
        <f>IF(AD11="Yes",VLOOKUP(AD$1,_VRF!$L:$S,3,FALSE),0)</f>
        <v>0</v>
      </c>
      <c r="AG11" s="438"/>
      <c r="AH11" s="527">
        <f>IF(AG11="Yes",VLOOKUP(AG$1,_VRF!$L:$S,2,FALSE),0)</f>
        <v>0</v>
      </c>
      <c r="AI11" s="527">
        <f>IF(AG11="Yes",VLOOKUP(AG$1,_VRF!$L:$S,3,FALSE),0)</f>
        <v>0</v>
      </c>
      <c r="BD11" s="432"/>
    </row>
    <row r="12" spans="1:69" x14ac:dyDescent="0.4">
      <c r="A12" s="429" t="str">
        <f t="shared" si="0"/>
        <v>INVALID</v>
      </c>
      <c r="B12" s="430" t="str">
        <f t="shared" si="2"/>
        <v>VRF 11</v>
      </c>
      <c r="C12" s="431">
        <f t="shared" si="3"/>
        <v>0</v>
      </c>
      <c r="D12" s="430">
        <f t="shared" si="4"/>
        <v>0</v>
      </c>
      <c r="E12" s="430"/>
      <c r="F12" s="430">
        <f t="shared" si="1"/>
        <v>20</v>
      </c>
      <c r="G12" s="438"/>
      <c r="H12" s="439"/>
      <c r="I12" s="438">
        <f t="shared" si="5"/>
        <v>553.25</v>
      </c>
      <c r="J12" s="438">
        <f t="shared" si="6"/>
        <v>2</v>
      </c>
      <c r="K12" s="527">
        <f>VLOOKUP(R12,_VRF!$A$39:$G$52,4,FALSE)</f>
        <v>0</v>
      </c>
      <c r="L12" s="527">
        <f t="shared" si="7"/>
        <v>0</v>
      </c>
      <c r="M12" s="527">
        <f>VLOOKUP(R12,_VRF!$A$39:$G$52,5,FALSE)</f>
        <v>0</v>
      </c>
      <c r="N12" s="430">
        <f t="shared" si="8"/>
        <v>0</v>
      </c>
      <c r="O12" s="438" t="s">
        <v>678</v>
      </c>
      <c r="P12" s="527">
        <f>IFERROR(VLOOKUP(O12,_VRF!$L:$S,2,FALSE),0)</f>
        <v>553.25</v>
      </c>
      <c r="Q12" s="439">
        <f>IFERROR(VLOOKUP(O12,_VRF!$L:$S,3,FALSE),0)</f>
        <v>2</v>
      </c>
      <c r="R12" s="438"/>
      <c r="S12" s="527">
        <f>IFERROR(VLOOKUP(R12,_VRF!$L:$S,2,FALSE),0)</f>
        <v>0</v>
      </c>
      <c r="T12" s="439">
        <f>IFERROR(VLOOKUP(R12,_VRF!$L:$S,3,FALSE),0)</f>
        <v>0</v>
      </c>
      <c r="U12" s="438"/>
      <c r="V12" s="527">
        <f>IF(U12="Yes",VLOOKUP(U$1,_VRF!$L:$S,2,FALSE),0)</f>
        <v>0</v>
      </c>
      <c r="W12" s="527">
        <f>IF(U12="Yes",VLOOKUP(U$1,_VRF!$L:$S,3,FALSE),0)</f>
        <v>0</v>
      </c>
      <c r="X12" s="438"/>
      <c r="Y12" s="527">
        <f>IF(X12="Yes",VLOOKUP(X$1,_VRF!$L:$S,2,FALSE),0)</f>
        <v>0</v>
      </c>
      <c r="Z12" s="527">
        <f>IF(X12="Yes",VLOOKUP(X$1,_VRF!$L:$S,3,FALSE),0)</f>
        <v>0</v>
      </c>
      <c r="AA12" s="438"/>
      <c r="AB12" s="527">
        <f>IF(AA12="Yes",VLOOKUP(AA$1,_VRF!$L:$S,2,FALSE),0)</f>
        <v>0</v>
      </c>
      <c r="AC12" s="527">
        <f>IF(AA12="Yes",VLOOKUP(AA$1,_VRF!$L:$S,3,FALSE),0)</f>
        <v>0</v>
      </c>
      <c r="AD12" s="438"/>
      <c r="AE12" s="527">
        <f>IF(AD12="Yes",VLOOKUP(AD$1,_VRF!$L:$S,2,FALSE),0)</f>
        <v>0</v>
      </c>
      <c r="AF12" s="527">
        <f>IF(AD12="Yes",VLOOKUP(AD$1,_VRF!$L:$S,3,FALSE),0)</f>
        <v>0</v>
      </c>
      <c r="AG12" s="438"/>
      <c r="AH12" s="527">
        <f>IF(AG12="Yes",VLOOKUP(AG$1,_VRF!$L:$S,2,FALSE),0)</f>
        <v>0</v>
      </c>
      <c r="AI12" s="527">
        <f>IF(AG12="Yes",VLOOKUP(AG$1,_VRF!$L:$S,3,FALSE),0)</f>
        <v>0</v>
      </c>
      <c r="BD12" s="432"/>
    </row>
    <row r="13" spans="1:69" x14ac:dyDescent="0.4">
      <c r="A13" s="429" t="str">
        <f t="shared" si="0"/>
        <v>INVALID</v>
      </c>
      <c r="B13" s="430" t="str">
        <f t="shared" si="2"/>
        <v>VRF 12</v>
      </c>
      <c r="C13" s="431">
        <f t="shared" si="3"/>
        <v>0</v>
      </c>
      <c r="D13" s="430">
        <f t="shared" si="4"/>
        <v>0</v>
      </c>
      <c r="E13" s="430"/>
      <c r="F13" s="430">
        <f t="shared" si="1"/>
        <v>20</v>
      </c>
      <c r="G13" s="438"/>
      <c r="H13" s="439"/>
      <c r="I13" s="438">
        <f t="shared" si="5"/>
        <v>553.25</v>
      </c>
      <c r="J13" s="438">
        <f t="shared" si="6"/>
        <v>2</v>
      </c>
      <c r="K13" s="527">
        <f>VLOOKUP(R13,_VRF!$A$39:$G$52,4,FALSE)</f>
        <v>0</v>
      </c>
      <c r="L13" s="527">
        <f t="shared" si="7"/>
        <v>0</v>
      </c>
      <c r="M13" s="527">
        <f>VLOOKUP(R13,_VRF!$A$39:$G$52,5,FALSE)</f>
        <v>0</v>
      </c>
      <c r="N13" s="430">
        <f t="shared" si="8"/>
        <v>0</v>
      </c>
      <c r="O13" s="438" t="s">
        <v>678</v>
      </c>
      <c r="P13" s="527">
        <f>IFERROR(VLOOKUP(O13,_VRF!$L:$S,2,FALSE),0)</f>
        <v>553.25</v>
      </c>
      <c r="Q13" s="439">
        <f>IFERROR(VLOOKUP(O13,_VRF!$L:$S,3,FALSE),0)</f>
        <v>2</v>
      </c>
      <c r="R13" s="438"/>
      <c r="S13" s="527">
        <f>IFERROR(VLOOKUP(R13,_VRF!$L:$S,2,FALSE),0)</f>
        <v>0</v>
      </c>
      <c r="T13" s="439">
        <f>IFERROR(VLOOKUP(R13,_VRF!$L:$S,3,FALSE),0)</f>
        <v>0</v>
      </c>
      <c r="U13" s="438"/>
      <c r="V13" s="527">
        <f>IF(U13="Yes",VLOOKUP(U$1,_VRF!$L:$S,2,FALSE),0)</f>
        <v>0</v>
      </c>
      <c r="W13" s="527">
        <f>IF(U13="Yes",VLOOKUP(U$1,_VRF!$L:$S,3,FALSE),0)</f>
        <v>0</v>
      </c>
      <c r="X13" s="438"/>
      <c r="Y13" s="527">
        <f>IF(X13="Yes",VLOOKUP(X$1,_VRF!$L:$S,2,FALSE),0)</f>
        <v>0</v>
      </c>
      <c r="Z13" s="527">
        <f>IF(X13="Yes",VLOOKUP(X$1,_VRF!$L:$S,3,FALSE),0)</f>
        <v>0</v>
      </c>
      <c r="AA13" s="438"/>
      <c r="AB13" s="527">
        <f>IF(AA13="Yes",VLOOKUP(AA$1,_VRF!$L:$S,2,FALSE),0)</f>
        <v>0</v>
      </c>
      <c r="AC13" s="527">
        <f>IF(AA13="Yes",VLOOKUP(AA$1,_VRF!$L:$S,3,FALSE),0)</f>
        <v>0</v>
      </c>
      <c r="AD13" s="438"/>
      <c r="AE13" s="527">
        <f>IF(AD13="Yes",VLOOKUP(AD$1,_VRF!$L:$S,2,FALSE),0)</f>
        <v>0</v>
      </c>
      <c r="AF13" s="527">
        <f>IF(AD13="Yes",VLOOKUP(AD$1,_VRF!$L:$S,3,FALSE),0)</f>
        <v>0</v>
      </c>
      <c r="AG13" s="438"/>
      <c r="AH13" s="527">
        <f>IF(AG13="Yes",VLOOKUP(AG$1,_VRF!$L:$S,2,FALSE),0)</f>
        <v>0</v>
      </c>
      <c r="AI13" s="527">
        <f>IF(AG13="Yes",VLOOKUP(AG$1,_VRF!$L:$S,3,FALSE),0)</f>
        <v>0</v>
      </c>
      <c r="BD13" s="432"/>
    </row>
    <row r="14" spans="1:69" x14ac:dyDescent="0.4">
      <c r="A14" s="429" t="str">
        <f t="shared" si="0"/>
        <v>INVALID</v>
      </c>
      <c r="B14" s="430" t="str">
        <f t="shared" si="2"/>
        <v>VRF 13</v>
      </c>
      <c r="C14" s="431">
        <f t="shared" si="3"/>
        <v>0</v>
      </c>
      <c r="D14" s="430">
        <f t="shared" si="4"/>
        <v>0</v>
      </c>
      <c r="E14" s="430"/>
      <c r="F14" s="430">
        <f t="shared" si="1"/>
        <v>20</v>
      </c>
      <c r="G14" s="438"/>
      <c r="H14" s="439"/>
      <c r="I14" s="438">
        <f t="shared" si="5"/>
        <v>553.25</v>
      </c>
      <c r="J14" s="438">
        <f t="shared" si="6"/>
        <v>2</v>
      </c>
      <c r="K14" s="527">
        <f>VLOOKUP(R14,_VRF!$A$39:$G$52,4,FALSE)</f>
        <v>0</v>
      </c>
      <c r="L14" s="527">
        <f t="shared" si="7"/>
        <v>0</v>
      </c>
      <c r="M14" s="527">
        <f>VLOOKUP(R14,_VRF!$A$39:$G$52,5,FALSE)</f>
        <v>0</v>
      </c>
      <c r="N14" s="430">
        <f t="shared" si="8"/>
        <v>0</v>
      </c>
      <c r="O14" s="438" t="s">
        <v>678</v>
      </c>
      <c r="P14" s="527">
        <f>IFERROR(VLOOKUP(O14,_VRF!$L:$S,2,FALSE),0)</f>
        <v>553.25</v>
      </c>
      <c r="Q14" s="439">
        <f>IFERROR(VLOOKUP(O14,_VRF!$L:$S,3,FALSE),0)</f>
        <v>2</v>
      </c>
      <c r="R14" s="438"/>
      <c r="S14" s="527">
        <f>IFERROR(VLOOKUP(R14,_VRF!$L:$S,2,FALSE),0)</f>
        <v>0</v>
      </c>
      <c r="T14" s="439">
        <f>IFERROR(VLOOKUP(R14,_VRF!$L:$S,3,FALSE),0)</f>
        <v>0</v>
      </c>
      <c r="U14" s="438"/>
      <c r="V14" s="527">
        <f>IF(U14="Yes",VLOOKUP(U$1,_VRF!$L:$S,2,FALSE),0)</f>
        <v>0</v>
      </c>
      <c r="W14" s="527">
        <f>IF(U14="Yes",VLOOKUP(U$1,_VRF!$L:$S,3,FALSE),0)</f>
        <v>0</v>
      </c>
      <c r="X14" s="438"/>
      <c r="Y14" s="527">
        <f>IF(X14="Yes",VLOOKUP(X$1,_VRF!$L:$S,2,FALSE),0)</f>
        <v>0</v>
      </c>
      <c r="Z14" s="527">
        <f>IF(X14="Yes",VLOOKUP(X$1,_VRF!$L:$S,3,FALSE),0)</f>
        <v>0</v>
      </c>
      <c r="AA14" s="438"/>
      <c r="AB14" s="527">
        <f>IF(AA14="Yes",VLOOKUP(AA$1,_VRF!$L:$S,2,FALSE),0)</f>
        <v>0</v>
      </c>
      <c r="AC14" s="527">
        <f>IF(AA14="Yes",VLOOKUP(AA$1,_VRF!$L:$S,3,FALSE),0)</f>
        <v>0</v>
      </c>
      <c r="AD14" s="438"/>
      <c r="AE14" s="527">
        <f>IF(AD14="Yes",VLOOKUP(AD$1,_VRF!$L:$S,2,FALSE),0)</f>
        <v>0</v>
      </c>
      <c r="AF14" s="527">
        <f>IF(AD14="Yes",VLOOKUP(AD$1,_VRF!$L:$S,3,FALSE),0)</f>
        <v>0</v>
      </c>
      <c r="AG14" s="438"/>
      <c r="AH14" s="527">
        <f>IF(AG14="Yes",VLOOKUP(AG$1,_VRF!$L:$S,2,FALSE),0)</f>
        <v>0</v>
      </c>
      <c r="AI14" s="527">
        <f>IF(AG14="Yes",VLOOKUP(AG$1,_VRF!$L:$S,3,FALSE),0)</f>
        <v>0</v>
      </c>
      <c r="BD14" s="432"/>
    </row>
    <row r="15" spans="1:69" x14ac:dyDescent="0.4">
      <c r="A15" s="429" t="str">
        <f t="shared" si="0"/>
        <v>INVALID</v>
      </c>
      <c r="B15" s="430" t="str">
        <f t="shared" si="2"/>
        <v>VRF 14</v>
      </c>
      <c r="C15" s="431">
        <f t="shared" si="3"/>
        <v>0</v>
      </c>
      <c r="D15" s="430">
        <f t="shared" si="4"/>
        <v>0</v>
      </c>
      <c r="E15" s="430"/>
      <c r="F15" s="430">
        <f t="shared" si="1"/>
        <v>20</v>
      </c>
      <c r="G15" s="438"/>
      <c r="H15" s="439"/>
      <c r="I15" s="438">
        <f t="shared" si="5"/>
        <v>553.25</v>
      </c>
      <c r="J15" s="438">
        <f t="shared" si="6"/>
        <v>2</v>
      </c>
      <c r="K15" s="527">
        <f>VLOOKUP(R15,_VRF!$A$39:$G$52,4,FALSE)</f>
        <v>0</v>
      </c>
      <c r="L15" s="527">
        <f t="shared" si="7"/>
        <v>0</v>
      </c>
      <c r="M15" s="527">
        <f>VLOOKUP(R15,_VRF!$A$39:$G$52,5,FALSE)</f>
        <v>0</v>
      </c>
      <c r="N15" s="430">
        <f t="shared" si="8"/>
        <v>0</v>
      </c>
      <c r="O15" s="438" t="s">
        <v>678</v>
      </c>
      <c r="P15" s="527">
        <f>IFERROR(VLOOKUP(O15,_VRF!$L:$S,2,FALSE),0)</f>
        <v>553.25</v>
      </c>
      <c r="Q15" s="439">
        <f>IFERROR(VLOOKUP(O15,_VRF!$L:$S,3,FALSE),0)</f>
        <v>2</v>
      </c>
      <c r="R15" s="438"/>
      <c r="S15" s="527">
        <f>IFERROR(VLOOKUP(R15,_VRF!$L:$S,2,FALSE),0)</f>
        <v>0</v>
      </c>
      <c r="T15" s="439">
        <f>IFERROR(VLOOKUP(R15,_VRF!$L:$S,3,FALSE),0)</f>
        <v>0</v>
      </c>
      <c r="U15" s="438"/>
      <c r="V15" s="527">
        <f>IF(U15="Yes",VLOOKUP(U$1,_VRF!$L:$S,2,FALSE),0)</f>
        <v>0</v>
      </c>
      <c r="W15" s="527">
        <f>IF(U15="Yes",VLOOKUP(U$1,_VRF!$L:$S,3,FALSE),0)</f>
        <v>0</v>
      </c>
      <c r="X15" s="438"/>
      <c r="Y15" s="527">
        <f>IF(X15="Yes",VLOOKUP(X$1,_VRF!$L:$S,2,FALSE),0)</f>
        <v>0</v>
      </c>
      <c r="Z15" s="527">
        <f>IF(X15="Yes",VLOOKUP(X$1,_VRF!$L:$S,3,FALSE),0)</f>
        <v>0</v>
      </c>
      <c r="AA15" s="438"/>
      <c r="AB15" s="527">
        <f>IF(AA15="Yes",VLOOKUP(AA$1,_VRF!$L:$S,2,FALSE),0)</f>
        <v>0</v>
      </c>
      <c r="AC15" s="527">
        <f>IF(AA15="Yes",VLOOKUP(AA$1,_VRF!$L:$S,3,FALSE),0)</f>
        <v>0</v>
      </c>
      <c r="AD15" s="438"/>
      <c r="AE15" s="527">
        <f>IF(AD15="Yes",VLOOKUP(AD$1,_VRF!$L:$S,2,FALSE),0)</f>
        <v>0</v>
      </c>
      <c r="AF15" s="527">
        <f>IF(AD15="Yes",VLOOKUP(AD$1,_VRF!$L:$S,3,FALSE),0)</f>
        <v>0</v>
      </c>
      <c r="AG15" s="438"/>
      <c r="AH15" s="527">
        <f>IF(AG15="Yes",VLOOKUP(AG$1,_VRF!$L:$S,2,FALSE),0)</f>
        <v>0</v>
      </c>
      <c r="AI15" s="527">
        <f>IF(AG15="Yes",VLOOKUP(AG$1,_VRF!$L:$S,3,FALSE),0)</f>
        <v>0</v>
      </c>
      <c r="BD15" s="432"/>
    </row>
    <row r="16" spans="1:69" x14ac:dyDescent="0.4">
      <c r="A16" s="429" t="str">
        <f t="shared" si="0"/>
        <v>INVALID</v>
      </c>
      <c r="B16" s="430" t="str">
        <f t="shared" si="2"/>
        <v>VRF 15</v>
      </c>
      <c r="C16" s="431">
        <f t="shared" si="3"/>
        <v>0</v>
      </c>
      <c r="D16" s="430">
        <f t="shared" si="4"/>
        <v>0</v>
      </c>
      <c r="E16" s="430"/>
      <c r="F16" s="430">
        <f t="shared" si="1"/>
        <v>20</v>
      </c>
      <c r="G16" s="438"/>
      <c r="H16" s="439"/>
      <c r="I16" s="438">
        <f t="shared" si="5"/>
        <v>553.25</v>
      </c>
      <c r="J16" s="438">
        <f t="shared" si="6"/>
        <v>2</v>
      </c>
      <c r="K16" s="527">
        <f>VLOOKUP(R16,_VRF!$A$39:$G$52,4,FALSE)</f>
        <v>0</v>
      </c>
      <c r="L16" s="527">
        <f t="shared" si="7"/>
        <v>0</v>
      </c>
      <c r="M16" s="527">
        <f>VLOOKUP(R16,_VRF!$A$39:$G$52,5,FALSE)</f>
        <v>0</v>
      </c>
      <c r="N16" s="430">
        <f t="shared" si="8"/>
        <v>0</v>
      </c>
      <c r="O16" s="438" t="s">
        <v>678</v>
      </c>
      <c r="P16" s="527">
        <f>IFERROR(VLOOKUP(O16,_VRF!$L:$S,2,FALSE),0)</f>
        <v>553.25</v>
      </c>
      <c r="Q16" s="439">
        <f>IFERROR(VLOOKUP(O16,_VRF!$L:$S,3,FALSE),0)</f>
        <v>2</v>
      </c>
      <c r="R16" s="438"/>
      <c r="S16" s="527">
        <f>IFERROR(VLOOKUP(R16,_VRF!$L:$S,2,FALSE),0)</f>
        <v>0</v>
      </c>
      <c r="T16" s="439">
        <f>IFERROR(VLOOKUP(R16,_VRF!$L:$S,3,FALSE),0)</f>
        <v>0</v>
      </c>
      <c r="U16" s="438"/>
      <c r="V16" s="527">
        <f>IF(U16="Yes",VLOOKUP(U$1,_VRF!$L:$S,2,FALSE),0)</f>
        <v>0</v>
      </c>
      <c r="W16" s="527">
        <f>IF(U16="Yes",VLOOKUP(U$1,_VRF!$L:$S,3,FALSE),0)</f>
        <v>0</v>
      </c>
      <c r="X16" s="438"/>
      <c r="Y16" s="527">
        <f>IF(X16="Yes",VLOOKUP(X$1,_VRF!$L:$S,2,FALSE),0)</f>
        <v>0</v>
      </c>
      <c r="Z16" s="527">
        <f>IF(X16="Yes",VLOOKUP(X$1,_VRF!$L:$S,3,FALSE),0)</f>
        <v>0</v>
      </c>
      <c r="AA16" s="438"/>
      <c r="AB16" s="527">
        <f>IF(AA16="Yes",VLOOKUP(AA$1,_VRF!$L:$S,2,FALSE),0)</f>
        <v>0</v>
      </c>
      <c r="AC16" s="527">
        <f>IF(AA16="Yes",VLOOKUP(AA$1,_VRF!$L:$S,3,FALSE),0)</f>
        <v>0</v>
      </c>
      <c r="AD16" s="438"/>
      <c r="AE16" s="527">
        <f>IF(AD16="Yes",VLOOKUP(AD$1,_VRF!$L:$S,2,FALSE),0)</f>
        <v>0</v>
      </c>
      <c r="AF16" s="527">
        <f>IF(AD16="Yes",VLOOKUP(AD$1,_VRF!$L:$S,3,FALSE),0)</f>
        <v>0</v>
      </c>
      <c r="AG16" s="438"/>
      <c r="AH16" s="527">
        <f>IF(AG16="Yes",VLOOKUP(AG$1,_VRF!$L:$S,2,FALSE),0)</f>
        <v>0</v>
      </c>
      <c r="AI16" s="527">
        <f>IF(AG16="Yes",VLOOKUP(AG$1,_VRF!$L:$S,3,FALSE),0)</f>
        <v>0</v>
      </c>
      <c r="AJ16" s="114" t="str">
        <f t="shared" ref="AJ16:AJ23" si="9">IF(A16 = "VALID", BD16, "")</f>
        <v/>
      </c>
      <c r="AN16" s="114">
        <f>VLOOKUP($R16,_VRF!$A$26:$G$31, 2, FALSE)</f>
        <v>1</v>
      </c>
      <c r="AO16" s="114">
        <f>VLOOKUP($R16,_VRF!$A$26:$G$31, 3, FALSE)</f>
        <v>1</v>
      </c>
      <c r="AP16" s="114">
        <f>VLOOKUP($R16,_VRF!$A$26:$G$31, 4, FALSE)</f>
        <v>0</v>
      </c>
      <c r="AQ16" s="114">
        <f>VLOOKUP($R16,_VRF!$A$26:$G$31, 5, FALSE)</f>
        <v>0</v>
      </c>
      <c r="AR16" s="114">
        <f>VLOOKUP($R16,_VRF!$A$26:$G$31, 6, FALSE)</f>
        <v>0</v>
      </c>
      <c r="AS16" s="114">
        <f>VLOOKUP($R16,_VRF!$A$26:$G$31, 7, FALSE)</f>
        <v>0</v>
      </c>
      <c r="AU16" s="114" t="str">
        <f t="shared" ref="AU16:AU23" si="10">IF(AN16=1,O16, 0)</f>
        <v>MSSB</v>
      </c>
      <c r="AV16" s="114">
        <f t="shared" ref="AV16:AV23" si="11">IF(U16="Yes",AO16, 0)</f>
        <v>0</v>
      </c>
      <c r="AW16" s="114">
        <f t="shared" ref="AW16:AW23" si="12">IF(X16="Yes",AP16, 0)</f>
        <v>0</v>
      </c>
      <c r="AX16" s="114">
        <f t="shared" ref="AX16:AX23" si="13">IF(AA16="Yes",AQ16, 0)</f>
        <v>0</v>
      </c>
      <c r="AY16" s="114">
        <f t="shared" ref="AY16:AY23" si="14">IF(AD16="Yes",AR16, 0)</f>
        <v>0</v>
      </c>
      <c r="AZ16" s="114">
        <f t="shared" ref="AZ16:AZ17" si="15">IF(AG16="Yes",AS16, 0)</f>
        <v>0</v>
      </c>
      <c r="BD16" s="432" t="str">
        <f t="shared" ref="BD16:BD23" si="16">IF(A16="VALID",_xlfn.CONCAT("
",BK16,"
",REPT(" ",8),BL16,"
",REPT(" ",8),BM16,"
",REPT(" ", 8),BN16, "
"),"")</f>
        <v/>
      </c>
      <c r="BE16" s="114">
        <f t="shared" ref="BE16:BE22" si="17" xml:space="preserve"> IF(AND(E16&gt;0,A16="VALID"),BE15+1,BE15)</f>
        <v>0</v>
      </c>
      <c r="BF16" s="114" t="str">
        <f>_xlfn.CONCAT(E16," (",VLOOKUP(E16,[1]Backend!C:D,2,FALSE),")")</f>
        <v xml:space="preserve"> (Zero)</v>
      </c>
      <c r="BG16" s="114" t="str">
        <f>_xlfn.CONCAT(BE16," - Electrical power supply and controls to ",BF16," ",VLOOKUP(R16,_VRF!$A$39:$G$48,2,FALSE))</f>
        <v xml:space="preserve">0 - Electrical power supply and controls to  (Zero) </v>
      </c>
      <c r="BH16" s="114" t="str">
        <f t="shared" ref="BH16:BH22" si="18">IF(SUM(AV16:AZ16)&gt;0," with: "," ")</f>
        <v xml:space="preserve"> </v>
      </c>
      <c r="BI16" s="114" t="str">
        <f t="shared" ref="BI16:BI22" si="19">_xlfn.CONCAT(
IF(R16 = "Yes",_xlfn.CONCAT($R$1, ", "),""),
IF(U16 = "Yes",_xlfn.CONCAT($U$1, ", "),""),
IF(X16 = "Yes",_xlfn.CONCAT($X$1, ", "),""),
IF(AA16 = "Yes",_xlfn.CONCAT($AA$1, ", "),""),
IF(AD16 = "Yes",_xlfn.CONCAT($AD$1, ", "),""),
IF(AG16 = "Yes",_xlfn.CONCAT($AG$1, ", "),""))</f>
        <v/>
      </c>
      <c r="BJ16" s="114" t="str">
        <f t="shared" ref="BJ16:BJ22" si="20">IF(AU16=0,"",_xlfn.CONCAT("from ",O16, " Power Supply"))</f>
        <v>from MSSB Power Supply</v>
      </c>
      <c r="BK16" s="114" t="str">
        <f t="shared" ref="BK16:BK22" si="21">_xlfn.CONCAT(BG16,BH16,BI16,BJ16)</f>
        <v>0 - Electrical power supply and controls to  (Zero)  from MSSB Power Supply</v>
      </c>
      <c r="BL16" s="114" t="str">
        <f t="shared" ref="BL16:BL22" si="22">_xlfn.CONCAT(BE16,".1 - This includes supply and install of power and controls.")</f>
        <v>0.1 - This includes supply and install of power and controls.</v>
      </c>
      <c r="BM16" s="114" t="str">
        <f>_xlfn.CONCAT(BE16,".2 - Power for system includes: ",VLOOKUP(O16,_VRF!L:O,4,FALSE))</f>
        <v xml:space="preserve">0.2 - Power for system includes: CB and cabling to unit from MSSB, and local isolator, </v>
      </c>
      <c r="BN16" s="114" t="str">
        <f t="shared" ref="BN16:BN23" si="23">IF(OR((AU16="Local"),SUM(AV16:AZ16)&gt;0),_xlfn.CONCAT(BE16,".3 - Controls for system includes: ",_xlfn.CONCAT(BO16,IF(AU16="Local","controls enclosure.","")),""),"")</f>
        <v/>
      </c>
      <c r="BO16" s="114" t="str">
        <f>_xlfn.CONCAT(
IF(R16="Yes",VLOOKUP(R$1,_VRF!L:Z,4,FALSE),""),
IF(U16="Yes",VLOOKUP(U$1,_VRF!L:Z,4,FALSE),""),
IF(X16="Yes",VLOOKUP(X$1,_VRF!L:Z,4,FALSE),""),
IF(AA16="Yes",VLOOKUP(AA$1,_VRF!L:Z,4,FALSE),""),
IF(AD16="Yes",VLOOKUP(AD$1,_VRF!L:Z,4,FALSE),""),
IF(AG16="Yes",VLOOKUP(AG$1,_VRF!L:Z,4,FALSE),""))</f>
        <v/>
      </c>
      <c r="BQ16" s="114" t="str">
        <f>_xlfn.CONCAT(VLOOKUP(R16,_VRF!$A$39:$G$48,2,FALSE),BH16,BI16,)</f>
        <v xml:space="preserve"> </v>
      </c>
    </row>
    <row r="17" spans="1:69" x14ac:dyDescent="0.4">
      <c r="A17" s="429" t="str">
        <f t="shared" si="0"/>
        <v>INVALID</v>
      </c>
      <c r="B17" s="430" t="str">
        <f t="shared" si="2"/>
        <v>VRF 16</v>
      </c>
      <c r="C17" s="431">
        <f t="shared" si="3"/>
        <v>0</v>
      </c>
      <c r="D17" s="430">
        <f t="shared" si="4"/>
        <v>0</v>
      </c>
      <c r="E17" s="430"/>
      <c r="F17" s="430">
        <f t="shared" si="1"/>
        <v>20</v>
      </c>
      <c r="G17" s="438"/>
      <c r="H17" s="439"/>
      <c r="I17" s="438">
        <f t="shared" si="5"/>
        <v>553.25</v>
      </c>
      <c r="J17" s="438">
        <f t="shared" si="6"/>
        <v>2</v>
      </c>
      <c r="K17" s="527">
        <f>VLOOKUP(R17,_VRF!$A$39:$G$52,4,FALSE)</f>
        <v>0</v>
      </c>
      <c r="L17" s="527">
        <f t="shared" si="7"/>
        <v>0</v>
      </c>
      <c r="M17" s="527">
        <f>VLOOKUP(R17,_VRF!$A$39:$G$52,5,FALSE)</f>
        <v>0</v>
      </c>
      <c r="N17" s="430">
        <f t="shared" si="8"/>
        <v>0</v>
      </c>
      <c r="O17" s="438" t="s">
        <v>678</v>
      </c>
      <c r="P17" s="527">
        <f>IFERROR(VLOOKUP(O17,_VRF!$L:$S,2,FALSE),0)</f>
        <v>553.25</v>
      </c>
      <c r="Q17" s="439">
        <f>IFERROR(VLOOKUP(O17,_VRF!$L:$S,3,FALSE),0)</f>
        <v>2</v>
      </c>
      <c r="R17" s="438"/>
      <c r="S17" s="527">
        <f>IFERROR(VLOOKUP(R17,_VRF!$L:$S,2,FALSE),0)</f>
        <v>0</v>
      </c>
      <c r="T17" s="439">
        <f>IFERROR(VLOOKUP(R17,_VRF!$L:$S,3,FALSE),0)</f>
        <v>0</v>
      </c>
      <c r="U17" s="438"/>
      <c r="V17" s="527">
        <f>IF(U17="Yes",VLOOKUP(U$1,_VRF!$L:$S,2,FALSE),0)</f>
        <v>0</v>
      </c>
      <c r="W17" s="527">
        <f>IF(U17="Yes",VLOOKUP(U$1,_VRF!$L:$S,3,FALSE),0)</f>
        <v>0</v>
      </c>
      <c r="X17" s="438"/>
      <c r="Y17" s="527">
        <f>IF(X17="Yes",VLOOKUP(X$1,_VRF!$L:$S,2,FALSE),0)</f>
        <v>0</v>
      </c>
      <c r="Z17" s="527">
        <f>IF(X17="Yes",VLOOKUP(X$1,_VRF!$L:$S,3,FALSE),0)</f>
        <v>0</v>
      </c>
      <c r="AA17" s="438"/>
      <c r="AB17" s="527">
        <f>IF(AA17="Yes",VLOOKUP(AA$1,_VRF!$L:$S,2,FALSE),0)</f>
        <v>0</v>
      </c>
      <c r="AC17" s="527">
        <f>IF(AA17="Yes",VLOOKUP(AA$1,_VRF!$L:$S,3,FALSE),0)</f>
        <v>0</v>
      </c>
      <c r="AD17" s="438"/>
      <c r="AE17" s="527">
        <f>IF(AD17="Yes",VLOOKUP(AD$1,_VRF!$L:$S,2,FALSE),0)</f>
        <v>0</v>
      </c>
      <c r="AF17" s="527">
        <f>IF(AD17="Yes",VLOOKUP(AD$1,_VRF!$L:$S,3,FALSE),0)</f>
        <v>0</v>
      </c>
      <c r="AG17" s="438"/>
      <c r="AH17" s="527">
        <f>IF(AG17="Yes",VLOOKUP(AG$1,_VRF!$L:$S,2,FALSE),0)</f>
        <v>0</v>
      </c>
      <c r="AI17" s="527">
        <f>IF(AG17="Yes",VLOOKUP(AG$1,_VRF!$L:$S,3,FALSE),0)</f>
        <v>0</v>
      </c>
      <c r="AJ17" s="114" t="str">
        <f t="shared" si="9"/>
        <v/>
      </c>
      <c r="AN17" s="114">
        <f>VLOOKUP($R17,_VRF!$A$26:$G$31, 2, FALSE)</f>
        <v>1</v>
      </c>
      <c r="AO17" s="114">
        <f>VLOOKUP($R17,_VRF!$A$26:$G$31, 3, FALSE)</f>
        <v>1</v>
      </c>
      <c r="AP17" s="114">
        <f>VLOOKUP($R17,_VRF!$A$26:$G$31, 4, FALSE)</f>
        <v>0</v>
      </c>
      <c r="AQ17" s="114">
        <f>VLOOKUP($R17,_VRF!$A$26:$G$31, 5, FALSE)</f>
        <v>0</v>
      </c>
      <c r="AR17" s="114">
        <f>VLOOKUP($R17,_VRF!$A$26:$G$31, 6, FALSE)</f>
        <v>0</v>
      </c>
      <c r="AS17" s="114">
        <f>VLOOKUP($R17,_VRF!$A$26:$G$31, 7, FALSE)</f>
        <v>0</v>
      </c>
      <c r="AU17" s="114" t="str">
        <f t="shared" si="10"/>
        <v>MSSB</v>
      </c>
      <c r="AV17" s="114">
        <f t="shared" si="11"/>
        <v>0</v>
      </c>
      <c r="AW17" s="114">
        <f t="shared" si="12"/>
        <v>0</v>
      </c>
      <c r="AX17" s="114">
        <f t="shared" si="13"/>
        <v>0</v>
      </c>
      <c r="AY17" s="114">
        <f t="shared" si="14"/>
        <v>0</v>
      </c>
      <c r="AZ17" s="114">
        <f t="shared" si="15"/>
        <v>0</v>
      </c>
      <c r="BD17" s="432" t="str">
        <f t="shared" si="16"/>
        <v/>
      </c>
      <c r="BE17" s="114">
        <f t="shared" si="17"/>
        <v>0</v>
      </c>
      <c r="BF17" s="114" t="str">
        <f>_xlfn.CONCAT(E17," (",VLOOKUP(E17,[1]Backend!C:D,2,FALSE),")")</f>
        <v xml:space="preserve"> (Zero)</v>
      </c>
      <c r="BG17" s="114" t="str">
        <f>_xlfn.CONCAT(BE17," - Electrical power supply and controls to ",BF17," ",VLOOKUP(R17,_VRF!$A$39:$G$48,2,FALSE))</f>
        <v xml:space="preserve">0 - Electrical power supply and controls to  (Zero) </v>
      </c>
      <c r="BH17" s="114" t="str">
        <f t="shared" si="18"/>
        <v xml:space="preserve"> </v>
      </c>
      <c r="BI17" s="114" t="str">
        <f t="shared" si="19"/>
        <v/>
      </c>
      <c r="BJ17" s="114" t="str">
        <f t="shared" si="20"/>
        <v>from MSSB Power Supply</v>
      </c>
      <c r="BK17" s="114" t="str">
        <f t="shared" si="21"/>
        <v>0 - Electrical power supply and controls to  (Zero)  from MSSB Power Supply</v>
      </c>
      <c r="BL17" s="114" t="str">
        <f t="shared" si="22"/>
        <v>0.1 - This includes supply and install of power and controls.</v>
      </c>
      <c r="BM17" s="114" t="str">
        <f>_xlfn.CONCAT(BE17,".2 - Power for system includes: ",VLOOKUP(O17,_VRF!L:O,4,FALSE))</f>
        <v xml:space="preserve">0.2 - Power for system includes: CB and cabling to unit from MSSB, and local isolator, </v>
      </c>
      <c r="BN17" s="114" t="str">
        <f t="shared" si="23"/>
        <v/>
      </c>
      <c r="BO17" s="114" t="str">
        <f>_xlfn.CONCAT(
IF(R17="Yes",VLOOKUP(R$1,_VRF!L:Z,4,FALSE),""),
IF(U17="Yes",VLOOKUP(U$1,_VRF!L:Z,4,FALSE),""),
IF(X17="Yes",VLOOKUP(X$1,_VRF!L:Z,4,FALSE),""),
IF(AA17="Yes",VLOOKUP(AA$1,_VRF!L:Z,4,FALSE),""),
IF(AD17="Yes",VLOOKUP(AD$1,_VRF!L:Z,4,FALSE),""),
IF(AG17="Yes",VLOOKUP(AG$1,_VRF!L:Z,4,FALSE),""))</f>
        <v/>
      </c>
      <c r="BQ17" s="114" t="str">
        <f>_xlfn.CONCAT(VLOOKUP(R17,_VRF!$A$39:$G$48,2,FALSE),BH17,BI17,)</f>
        <v xml:space="preserve"> </v>
      </c>
    </row>
    <row r="18" spans="1:69" x14ac:dyDescent="0.4">
      <c r="A18" s="429" t="str">
        <f t="shared" si="0"/>
        <v>INVALID</v>
      </c>
      <c r="B18" s="430" t="str">
        <f t="shared" si="2"/>
        <v>VRF 17</v>
      </c>
      <c r="C18" s="431">
        <f t="shared" si="3"/>
        <v>0</v>
      </c>
      <c r="D18" s="430">
        <f t="shared" si="4"/>
        <v>0</v>
      </c>
      <c r="E18" s="430"/>
      <c r="F18" s="430">
        <f t="shared" si="1"/>
        <v>20</v>
      </c>
      <c r="G18" s="438"/>
      <c r="H18" s="439"/>
      <c r="I18" s="438">
        <f t="shared" si="5"/>
        <v>553.25</v>
      </c>
      <c r="J18" s="438">
        <f t="shared" si="6"/>
        <v>2</v>
      </c>
      <c r="K18" s="527">
        <f>VLOOKUP(R18,_VRF!$A$39:$G$52,4,FALSE)</f>
        <v>0</v>
      </c>
      <c r="L18" s="527">
        <f t="shared" si="7"/>
        <v>0</v>
      </c>
      <c r="M18" s="527">
        <f>VLOOKUP(R18,_VRF!$A$39:$G$52,5,FALSE)</f>
        <v>0</v>
      </c>
      <c r="N18" s="430">
        <f t="shared" si="8"/>
        <v>0</v>
      </c>
      <c r="O18" s="438" t="s">
        <v>678</v>
      </c>
      <c r="P18" s="527">
        <f>IFERROR(VLOOKUP(O18,_VRF!$L:$S,2,FALSE),0)</f>
        <v>553.25</v>
      </c>
      <c r="Q18" s="439">
        <f>IFERROR(VLOOKUP(O18,_VRF!$L:$S,3,FALSE),0)</f>
        <v>2</v>
      </c>
      <c r="R18" s="438"/>
      <c r="S18" s="527">
        <f>IFERROR(VLOOKUP(R18,_VRF!$L:$S,2,FALSE),0)</f>
        <v>0</v>
      </c>
      <c r="T18" s="439">
        <f>IFERROR(VLOOKUP(R18,_VRF!$L:$S,3,FALSE),0)</f>
        <v>0</v>
      </c>
      <c r="U18" s="438"/>
      <c r="V18" s="527">
        <f>IF(U18="Yes",VLOOKUP(U$1,_VRF!$L:$S,2,FALSE),0)</f>
        <v>0</v>
      </c>
      <c r="W18" s="527">
        <f>IF(U18="Yes",VLOOKUP(U$1,_VRF!$L:$S,3,FALSE),0)</f>
        <v>0</v>
      </c>
      <c r="X18" s="438"/>
      <c r="Y18" s="527">
        <f>IF(X18="Yes",VLOOKUP(X$1,_VRF!$L:$S,2,FALSE),0)</f>
        <v>0</v>
      </c>
      <c r="Z18" s="527">
        <f>IF(X18="Yes",VLOOKUP(X$1,_VRF!$L:$S,3,FALSE),0)</f>
        <v>0</v>
      </c>
      <c r="AA18" s="438"/>
      <c r="AB18" s="527">
        <f>IF(AA18="Yes",VLOOKUP(AA$1,_VRF!$L:$S,2,FALSE),0)</f>
        <v>0</v>
      </c>
      <c r="AC18" s="527">
        <f>IF(AA18="Yes",VLOOKUP(AA$1,_VRF!$L:$S,3,FALSE),0)</f>
        <v>0</v>
      </c>
      <c r="AD18" s="438"/>
      <c r="AE18" s="527">
        <f>IF(AD18="Yes",VLOOKUP(AD$1,_VRF!$L:$S,2,FALSE),0)</f>
        <v>0</v>
      </c>
      <c r="AF18" s="527">
        <f>IF(AD18="Yes",VLOOKUP(AD$1,_VRF!$L:$S,3,FALSE),0)</f>
        <v>0</v>
      </c>
      <c r="AG18" s="438"/>
      <c r="AH18" s="527">
        <f>IF(AG18="Yes",VLOOKUP(AG$1,_VRF!$L:$S,2,FALSE),0)</f>
        <v>0</v>
      </c>
      <c r="AI18" s="527">
        <f>IF(AG18="Yes",VLOOKUP(AG$1,_VRF!$L:$S,3,FALSE),0)</f>
        <v>0</v>
      </c>
      <c r="AJ18" s="114" t="str">
        <f t="shared" si="9"/>
        <v/>
      </c>
      <c r="AN18" s="114">
        <f>VLOOKUP($R18,_VRF!$A$26:$G$31, 2, FALSE)</f>
        <v>1</v>
      </c>
      <c r="AO18" s="114">
        <f>VLOOKUP($R18,_VRF!$A$26:$G$31, 3, FALSE)</f>
        <v>1</v>
      </c>
      <c r="AP18" s="114">
        <f>VLOOKUP($R18,_VRF!$A$26:$G$31, 4, FALSE)</f>
        <v>0</v>
      </c>
      <c r="AQ18" s="114">
        <f>VLOOKUP($R18,_VRF!$A$26:$G$31, 5, FALSE)</f>
        <v>0</v>
      </c>
      <c r="AR18" s="114">
        <f>VLOOKUP($R18,_VRF!$A$26:$G$31, 6, FALSE)</f>
        <v>0</v>
      </c>
      <c r="AS18" s="114">
        <f>VLOOKUP($R18,_VRF!$A$26:$G$31, 7, FALSE)</f>
        <v>0</v>
      </c>
      <c r="AU18" s="114" t="str">
        <f t="shared" si="10"/>
        <v>MSSB</v>
      </c>
      <c r="AV18" s="114">
        <f t="shared" si="11"/>
        <v>0</v>
      </c>
      <c r="AW18" s="114">
        <f t="shared" si="12"/>
        <v>0</v>
      </c>
      <c r="AX18" s="114">
        <f t="shared" si="13"/>
        <v>0</v>
      </c>
      <c r="AY18" s="114">
        <f t="shared" si="14"/>
        <v>0</v>
      </c>
      <c r="AZ18" s="114">
        <f t="shared" ref="AZ18:AZ19" si="24">IF(AG18="Yes",AS18, 0)</f>
        <v>0</v>
      </c>
      <c r="BD18" s="432" t="str">
        <f t="shared" si="16"/>
        <v/>
      </c>
      <c r="BE18" s="114">
        <f t="shared" si="17"/>
        <v>0</v>
      </c>
      <c r="BF18" s="114" t="str">
        <f>_xlfn.CONCAT(E18," (",VLOOKUP(E18,[1]Backend!C:D,2,FALSE),")")</f>
        <v xml:space="preserve"> (Zero)</v>
      </c>
      <c r="BG18" s="114" t="str">
        <f>_xlfn.CONCAT(BE18," - Electrical power supply and controls to ",BF18," ",VLOOKUP(R18,_VRF!$A$39:$G$48,2,FALSE))</f>
        <v xml:space="preserve">0 - Electrical power supply and controls to  (Zero) </v>
      </c>
      <c r="BH18" s="114" t="str">
        <f t="shared" si="18"/>
        <v xml:space="preserve"> </v>
      </c>
      <c r="BI18" s="114" t="str">
        <f t="shared" si="19"/>
        <v/>
      </c>
      <c r="BJ18" s="114" t="str">
        <f t="shared" si="20"/>
        <v>from MSSB Power Supply</v>
      </c>
      <c r="BK18" s="114" t="str">
        <f t="shared" si="21"/>
        <v>0 - Electrical power supply and controls to  (Zero)  from MSSB Power Supply</v>
      </c>
      <c r="BL18" s="114" t="str">
        <f t="shared" si="22"/>
        <v>0.1 - This includes supply and install of power and controls.</v>
      </c>
      <c r="BM18" s="114" t="str">
        <f>_xlfn.CONCAT(BE18,".2 - Power for system includes: ",VLOOKUP(O18,_VRF!L:O,4,FALSE))</f>
        <v xml:space="preserve">0.2 - Power for system includes: CB and cabling to unit from MSSB, and local isolator, </v>
      </c>
      <c r="BN18" s="114" t="str">
        <f t="shared" si="23"/>
        <v/>
      </c>
      <c r="BO18" s="114" t="str">
        <f>_xlfn.CONCAT(
IF(R18="Yes",VLOOKUP(R$1,_VRF!L:Z,4,FALSE),""),
IF(U18="Yes",VLOOKUP(U$1,_VRF!L:Z,4,FALSE),""),
IF(X18="Yes",VLOOKUP(X$1,_VRF!L:Z,4,FALSE),""),
IF(AA18="Yes",VLOOKUP(AA$1,_VRF!L:Z,4,FALSE),""),
IF(AD18="Yes",VLOOKUP(AD$1,_VRF!L:Z,4,FALSE),""),
IF(AG18="Yes",VLOOKUP(AG$1,_VRF!L:Z,4,FALSE),""))</f>
        <v/>
      </c>
      <c r="BQ18" s="114" t="str">
        <f>_xlfn.CONCAT(VLOOKUP(R18,_VRF!$A$39:$G$48,2,FALSE),BH18,BI18,)</f>
        <v xml:space="preserve"> </v>
      </c>
    </row>
    <row r="19" spans="1:69" x14ac:dyDescent="0.4">
      <c r="A19" s="429" t="str">
        <f t="shared" si="0"/>
        <v>INVALID</v>
      </c>
      <c r="B19" s="430" t="str">
        <f t="shared" si="2"/>
        <v>VRF 18</v>
      </c>
      <c r="C19" s="431">
        <f t="shared" si="3"/>
        <v>0</v>
      </c>
      <c r="D19" s="430">
        <f t="shared" si="4"/>
        <v>0</v>
      </c>
      <c r="E19" s="430"/>
      <c r="F19" s="430">
        <f t="shared" si="1"/>
        <v>20</v>
      </c>
      <c r="G19" s="438"/>
      <c r="H19" s="439"/>
      <c r="I19" s="438">
        <f t="shared" si="5"/>
        <v>553.25</v>
      </c>
      <c r="J19" s="438">
        <f t="shared" si="6"/>
        <v>2</v>
      </c>
      <c r="K19" s="527">
        <f>VLOOKUP(R19,_VRF!$A$39:$G$52,4,FALSE)</f>
        <v>0</v>
      </c>
      <c r="L19" s="527">
        <f t="shared" si="7"/>
        <v>0</v>
      </c>
      <c r="M19" s="527">
        <f>VLOOKUP(R19,_VRF!$A$39:$G$52,5,FALSE)</f>
        <v>0</v>
      </c>
      <c r="N19" s="430">
        <f t="shared" si="8"/>
        <v>0</v>
      </c>
      <c r="O19" s="438" t="s">
        <v>678</v>
      </c>
      <c r="P19" s="527">
        <f>IFERROR(VLOOKUP(O19,_VRF!$L:$S,2,FALSE),0)</f>
        <v>553.25</v>
      </c>
      <c r="Q19" s="439">
        <f>IFERROR(VLOOKUP(O19,_VRF!$L:$S,3,FALSE),0)</f>
        <v>2</v>
      </c>
      <c r="R19" s="438"/>
      <c r="S19" s="527">
        <f>IFERROR(VLOOKUP(R19,_VRF!$L:$S,2,FALSE),0)</f>
        <v>0</v>
      </c>
      <c r="T19" s="439">
        <f>IFERROR(VLOOKUP(R19,_VRF!$L:$S,3,FALSE),0)</f>
        <v>0</v>
      </c>
      <c r="U19" s="438"/>
      <c r="V19" s="527">
        <f>IF(U19="Yes",VLOOKUP(U$1,_VRF!$L:$S,2,FALSE),0)</f>
        <v>0</v>
      </c>
      <c r="W19" s="527">
        <f>IF(U19="Yes",VLOOKUP(U$1,_VRF!$L:$S,3,FALSE),0)</f>
        <v>0</v>
      </c>
      <c r="X19" s="438"/>
      <c r="Y19" s="527">
        <f>IF(X19="Yes",VLOOKUP(X$1,_VRF!$L:$S,2,FALSE),0)</f>
        <v>0</v>
      </c>
      <c r="Z19" s="527">
        <f>IF(X19="Yes",VLOOKUP(X$1,_VRF!$L:$S,3,FALSE),0)</f>
        <v>0</v>
      </c>
      <c r="AA19" s="438"/>
      <c r="AB19" s="527">
        <f>IF(AA19="Yes",VLOOKUP(AA$1,_VRF!$L:$S,2,FALSE),0)</f>
        <v>0</v>
      </c>
      <c r="AC19" s="527">
        <f>IF(AA19="Yes",VLOOKUP(AA$1,_VRF!$L:$S,3,FALSE),0)</f>
        <v>0</v>
      </c>
      <c r="AD19" s="438"/>
      <c r="AE19" s="527">
        <f>IF(AD19="Yes",VLOOKUP(AD$1,_VRF!$L:$S,2,FALSE),0)</f>
        <v>0</v>
      </c>
      <c r="AF19" s="527">
        <f>IF(AD19="Yes",VLOOKUP(AD$1,_VRF!$L:$S,3,FALSE),0)</f>
        <v>0</v>
      </c>
      <c r="AG19" s="438"/>
      <c r="AH19" s="527">
        <f>IF(AG19="Yes",VLOOKUP(AG$1,_VRF!$L:$S,2,FALSE),0)</f>
        <v>0</v>
      </c>
      <c r="AI19" s="527">
        <f>IF(AG19="Yes",VLOOKUP(AG$1,_VRF!$L:$S,3,FALSE),0)</f>
        <v>0</v>
      </c>
      <c r="AJ19" s="114" t="str">
        <f t="shared" si="9"/>
        <v/>
      </c>
      <c r="AN19" s="114">
        <f>VLOOKUP($R19,_VRF!$A$26:$G$31, 2, FALSE)</f>
        <v>1</v>
      </c>
      <c r="AO19" s="114">
        <f>VLOOKUP($R19,_VRF!$A$26:$G$31, 3, FALSE)</f>
        <v>1</v>
      </c>
      <c r="AP19" s="114">
        <f>VLOOKUP($R19,_VRF!$A$26:$G$31, 4, FALSE)</f>
        <v>0</v>
      </c>
      <c r="AQ19" s="114">
        <f>VLOOKUP($R19,_VRF!$A$26:$G$31, 5, FALSE)</f>
        <v>0</v>
      </c>
      <c r="AR19" s="114">
        <f>VLOOKUP($R19,_VRF!$A$26:$G$31, 6, FALSE)</f>
        <v>0</v>
      </c>
      <c r="AS19" s="114">
        <f>VLOOKUP($R19,_VRF!$A$26:$G$31, 7, FALSE)</f>
        <v>0</v>
      </c>
      <c r="AU19" s="114" t="str">
        <f t="shared" si="10"/>
        <v>MSSB</v>
      </c>
      <c r="AV19" s="114">
        <f t="shared" si="11"/>
        <v>0</v>
      </c>
      <c r="AW19" s="114">
        <f t="shared" si="12"/>
        <v>0</v>
      </c>
      <c r="AX19" s="114">
        <f t="shared" si="13"/>
        <v>0</v>
      </c>
      <c r="AY19" s="114">
        <f t="shared" si="14"/>
        <v>0</v>
      </c>
      <c r="AZ19" s="114">
        <f t="shared" si="24"/>
        <v>0</v>
      </c>
      <c r="BD19" s="432" t="str">
        <f t="shared" si="16"/>
        <v/>
      </c>
      <c r="BE19" s="114">
        <f t="shared" si="17"/>
        <v>0</v>
      </c>
      <c r="BF19" s="114" t="str">
        <f>_xlfn.CONCAT(E19," (",VLOOKUP(E19,[1]Backend!C:D,2,FALSE),")")</f>
        <v xml:space="preserve"> (Zero)</v>
      </c>
      <c r="BG19" s="114" t="str">
        <f>_xlfn.CONCAT(BE19," - Electrical power supply and controls to ",BF19," ",VLOOKUP(R19,_VRF!$A$39:$G$48,2,FALSE))</f>
        <v xml:space="preserve">0 - Electrical power supply and controls to  (Zero) </v>
      </c>
      <c r="BH19" s="114" t="str">
        <f t="shared" si="18"/>
        <v xml:space="preserve"> </v>
      </c>
      <c r="BI19" s="114" t="str">
        <f t="shared" si="19"/>
        <v/>
      </c>
      <c r="BJ19" s="114" t="str">
        <f t="shared" si="20"/>
        <v>from MSSB Power Supply</v>
      </c>
      <c r="BK19" s="114" t="str">
        <f t="shared" si="21"/>
        <v>0 - Electrical power supply and controls to  (Zero)  from MSSB Power Supply</v>
      </c>
      <c r="BL19" s="114" t="str">
        <f t="shared" si="22"/>
        <v>0.1 - This includes supply and install of power and controls.</v>
      </c>
      <c r="BM19" s="114" t="str">
        <f>_xlfn.CONCAT(BE19,".2 - Power for system includes: ",VLOOKUP(O19,_VRF!L:O,4,FALSE))</f>
        <v xml:space="preserve">0.2 - Power for system includes: CB and cabling to unit from MSSB, and local isolator, </v>
      </c>
      <c r="BN19" s="114" t="str">
        <f t="shared" si="23"/>
        <v/>
      </c>
      <c r="BO19" s="114" t="str">
        <f>_xlfn.CONCAT(
IF(R19="Yes",VLOOKUP(R$1,_VRF!L:Z,4,FALSE),""),
IF(U19="Yes",VLOOKUP(U$1,_VRF!L:Z,4,FALSE),""),
IF(X19="Yes",VLOOKUP(X$1,_VRF!L:Z,4,FALSE),""),
IF(AA19="Yes",VLOOKUP(AA$1,_VRF!L:Z,4,FALSE),""),
IF(AD19="Yes",VLOOKUP(AD$1,_VRF!L:Z,4,FALSE),""),
IF(AG19="Yes",VLOOKUP(AG$1,_VRF!L:Z,4,FALSE),""))</f>
        <v/>
      </c>
      <c r="BQ19" s="114" t="str">
        <f>_xlfn.CONCAT(VLOOKUP(R19,_VRF!$A$39:$G$48,2,FALSE),BH19,BI19,)</f>
        <v xml:space="preserve"> </v>
      </c>
    </row>
    <row r="20" spans="1:69" x14ac:dyDescent="0.4">
      <c r="A20" s="429" t="str">
        <f t="shared" si="0"/>
        <v>INVALID</v>
      </c>
      <c r="B20" s="430" t="str">
        <f t="shared" si="2"/>
        <v>VRF 19</v>
      </c>
      <c r="C20" s="431">
        <f t="shared" si="3"/>
        <v>0</v>
      </c>
      <c r="D20" s="430">
        <f t="shared" si="4"/>
        <v>0</v>
      </c>
      <c r="E20" s="430"/>
      <c r="F20" s="430">
        <f t="shared" si="1"/>
        <v>20</v>
      </c>
      <c r="G20" s="438"/>
      <c r="H20" s="439"/>
      <c r="I20" s="438">
        <f t="shared" si="5"/>
        <v>553.25</v>
      </c>
      <c r="J20" s="438">
        <f t="shared" si="6"/>
        <v>2</v>
      </c>
      <c r="K20" s="527">
        <f>VLOOKUP(R20,_VRF!$A$39:$G$52,4,FALSE)</f>
        <v>0</v>
      </c>
      <c r="L20" s="527">
        <f t="shared" si="7"/>
        <v>0</v>
      </c>
      <c r="M20" s="527">
        <f>VLOOKUP(R20,_VRF!$A$39:$G$52,5,FALSE)</f>
        <v>0</v>
      </c>
      <c r="N20" s="430">
        <f t="shared" si="8"/>
        <v>0</v>
      </c>
      <c r="O20" s="438" t="s">
        <v>678</v>
      </c>
      <c r="P20" s="527">
        <f>IFERROR(VLOOKUP(O20,_VRF!$L:$S,2,FALSE),0)</f>
        <v>553.25</v>
      </c>
      <c r="Q20" s="439">
        <f>IFERROR(VLOOKUP(O20,_VRF!$L:$S,3,FALSE),0)</f>
        <v>2</v>
      </c>
      <c r="R20" s="438"/>
      <c r="S20" s="527">
        <f>IFERROR(VLOOKUP(R20,_VRF!$L:$S,2,FALSE),0)</f>
        <v>0</v>
      </c>
      <c r="T20" s="439">
        <f>IFERROR(VLOOKUP(R20,_VRF!$L:$S,3,FALSE),0)</f>
        <v>0</v>
      </c>
      <c r="U20" s="438"/>
      <c r="V20" s="527">
        <f>IF(U20="Yes",VLOOKUP(U$1,_VRF!$L:$S,2,FALSE),0)</f>
        <v>0</v>
      </c>
      <c r="W20" s="527">
        <f>IF(U20="Yes",VLOOKUP(U$1,_VRF!$L:$S,3,FALSE),0)</f>
        <v>0</v>
      </c>
      <c r="X20" s="438"/>
      <c r="Y20" s="527">
        <f>IF(X20="Yes",VLOOKUP(X$1,_VRF!$L:$S,2,FALSE),0)</f>
        <v>0</v>
      </c>
      <c r="Z20" s="527">
        <f>IF(X20="Yes",VLOOKUP(X$1,_VRF!$L:$S,3,FALSE),0)</f>
        <v>0</v>
      </c>
      <c r="AA20" s="438"/>
      <c r="AB20" s="527">
        <f>IF(AA20="Yes",VLOOKUP(AA$1,_VRF!$L:$S,2,FALSE),0)</f>
        <v>0</v>
      </c>
      <c r="AC20" s="527">
        <f>IF(AA20="Yes",VLOOKUP(AA$1,_VRF!$L:$S,3,FALSE),0)</f>
        <v>0</v>
      </c>
      <c r="AD20" s="438"/>
      <c r="AE20" s="527">
        <f>IF(AD20="Yes",VLOOKUP(AD$1,_VRF!$L:$S,2,FALSE),0)</f>
        <v>0</v>
      </c>
      <c r="AF20" s="527">
        <f>IF(AD20="Yes",VLOOKUP(AD$1,_VRF!$L:$S,3,FALSE),0)</f>
        <v>0</v>
      </c>
      <c r="AG20" s="438"/>
      <c r="AH20" s="527">
        <f>IF(AG20="Yes",VLOOKUP(AG$1,_VRF!$L:$S,2,FALSE),0)</f>
        <v>0</v>
      </c>
      <c r="AI20" s="527">
        <f>IF(AG20="Yes",VLOOKUP(AG$1,_VRF!$L:$S,3,FALSE),0)</f>
        <v>0</v>
      </c>
      <c r="AJ20" s="114" t="str">
        <f t="shared" si="9"/>
        <v/>
      </c>
      <c r="AN20" s="114">
        <f>VLOOKUP($R20,_VRF!$A$26:$G$31, 2, FALSE)</f>
        <v>1</v>
      </c>
      <c r="AO20" s="114">
        <f>VLOOKUP($R20,_VRF!$A$26:$G$31, 3, FALSE)</f>
        <v>1</v>
      </c>
      <c r="AP20" s="114">
        <f>VLOOKUP($R20,_VRF!$A$26:$G$31, 4, FALSE)</f>
        <v>0</v>
      </c>
      <c r="AQ20" s="114">
        <f>VLOOKUP($R20,_VRF!$A$26:$G$31, 5, FALSE)</f>
        <v>0</v>
      </c>
      <c r="AR20" s="114">
        <f>VLOOKUP($R20,_VRF!$A$26:$G$31, 6, FALSE)</f>
        <v>0</v>
      </c>
      <c r="AS20" s="114">
        <f>VLOOKUP($R20,_VRF!$A$26:$G$31, 7, FALSE)</f>
        <v>0</v>
      </c>
      <c r="AU20" s="114" t="str">
        <f t="shared" si="10"/>
        <v>MSSB</v>
      </c>
      <c r="AV20" s="114">
        <f t="shared" si="11"/>
        <v>0</v>
      </c>
      <c r="AW20" s="114">
        <f t="shared" si="12"/>
        <v>0</v>
      </c>
      <c r="AX20" s="114">
        <f t="shared" si="13"/>
        <v>0</v>
      </c>
      <c r="AY20" s="114">
        <f t="shared" si="14"/>
        <v>0</v>
      </c>
      <c r="AZ20" s="114">
        <f t="shared" ref="AZ20:AZ23" si="25">IF(AG20="Yes",AS20, 0)</f>
        <v>0</v>
      </c>
      <c r="BD20" s="432" t="str">
        <f t="shared" si="16"/>
        <v/>
      </c>
      <c r="BE20" s="114">
        <f t="shared" si="17"/>
        <v>0</v>
      </c>
      <c r="BF20" s="114" t="str">
        <f>_xlfn.CONCAT(E20," (",VLOOKUP(E20,[1]Backend!C:D,2,FALSE),")")</f>
        <v xml:space="preserve"> (Zero)</v>
      </c>
      <c r="BG20" s="114" t="str">
        <f>_xlfn.CONCAT(BE20," - Electrical power supply and controls to ",BF20," ",VLOOKUP(R20,_VRF!$A$39:$G$48,2,FALSE))</f>
        <v xml:space="preserve">0 - Electrical power supply and controls to  (Zero) </v>
      </c>
      <c r="BH20" s="114" t="str">
        <f t="shared" si="18"/>
        <v xml:space="preserve"> </v>
      </c>
      <c r="BI20" s="114" t="str">
        <f t="shared" si="19"/>
        <v/>
      </c>
      <c r="BJ20" s="114" t="str">
        <f t="shared" si="20"/>
        <v>from MSSB Power Supply</v>
      </c>
      <c r="BK20" s="114" t="str">
        <f t="shared" si="21"/>
        <v>0 - Electrical power supply and controls to  (Zero)  from MSSB Power Supply</v>
      </c>
      <c r="BL20" s="114" t="str">
        <f t="shared" si="22"/>
        <v>0.1 - This includes supply and install of power and controls.</v>
      </c>
      <c r="BM20" s="114" t="str">
        <f>_xlfn.CONCAT(BE20,".2 - Power for system includes: ",VLOOKUP(O20,_VRF!L:O,4,FALSE))</f>
        <v xml:space="preserve">0.2 - Power for system includes: CB and cabling to unit from MSSB, and local isolator, </v>
      </c>
      <c r="BN20" s="114" t="str">
        <f t="shared" si="23"/>
        <v/>
      </c>
      <c r="BO20" s="114" t="str">
        <f>_xlfn.CONCAT(
IF(R20="Yes",VLOOKUP(R$1,_VRF!L:Z,4,FALSE),""),
IF(U20="Yes",VLOOKUP(U$1,_VRF!L:Z,4,FALSE),""),
IF(X20="Yes",VLOOKUP(X$1,_VRF!L:Z,4,FALSE),""),
IF(AA20="Yes",VLOOKUP(AA$1,_VRF!L:Z,4,FALSE),""),
IF(AD20="Yes",VLOOKUP(AD$1,_VRF!L:Z,4,FALSE),""),
IF(AG20="Yes",VLOOKUP(AG$1,_VRF!L:Z,4,FALSE),""))</f>
        <v/>
      </c>
      <c r="BQ20" s="114" t="str">
        <f>_xlfn.CONCAT(VLOOKUP(R20,_VRF!$A$39:$G$48,2,FALSE),BH20,BI20,)</f>
        <v xml:space="preserve"> </v>
      </c>
    </row>
    <row r="21" spans="1:69" x14ac:dyDescent="0.4">
      <c r="A21" s="429" t="str">
        <f t="shared" si="0"/>
        <v>INVALID</v>
      </c>
      <c r="B21" s="430" t="str">
        <f t="shared" si="2"/>
        <v>VRF 20</v>
      </c>
      <c r="C21" s="431">
        <f t="shared" si="3"/>
        <v>0</v>
      </c>
      <c r="D21" s="430">
        <f t="shared" si="4"/>
        <v>0</v>
      </c>
      <c r="E21" s="430"/>
      <c r="F21" s="430">
        <f t="shared" si="1"/>
        <v>20</v>
      </c>
      <c r="G21" s="438"/>
      <c r="H21" s="439"/>
      <c r="I21" s="438">
        <f t="shared" si="5"/>
        <v>553.25</v>
      </c>
      <c r="J21" s="438">
        <f t="shared" si="6"/>
        <v>2</v>
      </c>
      <c r="K21" s="527">
        <f>VLOOKUP(R21,_VRF!$A$39:$G$52,4,FALSE)</f>
        <v>0</v>
      </c>
      <c r="L21" s="527">
        <f t="shared" si="7"/>
        <v>0</v>
      </c>
      <c r="M21" s="527">
        <f>VLOOKUP(R21,_VRF!$A$39:$G$52,5,FALSE)</f>
        <v>0</v>
      </c>
      <c r="N21" s="430">
        <f t="shared" si="8"/>
        <v>0</v>
      </c>
      <c r="O21" s="438" t="s">
        <v>678</v>
      </c>
      <c r="P21" s="527">
        <f>IFERROR(VLOOKUP(O21,_VRF!$L:$S,2,FALSE),0)</f>
        <v>553.25</v>
      </c>
      <c r="Q21" s="439">
        <f>IFERROR(VLOOKUP(O21,_VRF!$L:$S,3,FALSE),0)</f>
        <v>2</v>
      </c>
      <c r="R21" s="438"/>
      <c r="S21" s="527">
        <f>IFERROR(VLOOKUP(R21,_VRF!$L:$S,2,FALSE),0)</f>
        <v>0</v>
      </c>
      <c r="T21" s="439">
        <f>IFERROR(VLOOKUP(R21,_VRF!$L:$S,3,FALSE),0)</f>
        <v>0</v>
      </c>
      <c r="U21" s="438"/>
      <c r="V21" s="527">
        <f>IF(U21="Yes",VLOOKUP(U$1,_VRF!$L:$S,2,FALSE),0)</f>
        <v>0</v>
      </c>
      <c r="W21" s="527">
        <f>IF(U21="Yes",VLOOKUP(U$1,_VRF!$L:$S,3,FALSE),0)</f>
        <v>0</v>
      </c>
      <c r="X21" s="438"/>
      <c r="Y21" s="527">
        <f>IF(X21="Yes",VLOOKUP(X$1,_VRF!$L:$S,2,FALSE),0)</f>
        <v>0</v>
      </c>
      <c r="Z21" s="527">
        <f>IF(X21="Yes",VLOOKUP(X$1,_VRF!$L:$S,3,FALSE),0)</f>
        <v>0</v>
      </c>
      <c r="AA21" s="438"/>
      <c r="AB21" s="527">
        <f>IF(AA21="Yes",VLOOKUP(AA$1,_VRF!$L:$S,2,FALSE),0)</f>
        <v>0</v>
      </c>
      <c r="AC21" s="527">
        <f>IF(AA21="Yes",VLOOKUP(AA$1,_VRF!$L:$S,3,FALSE),0)</f>
        <v>0</v>
      </c>
      <c r="AD21" s="438"/>
      <c r="AE21" s="527">
        <f>IF(AD21="Yes",VLOOKUP(AD$1,_VRF!$L:$S,2,FALSE),0)</f>
        <v>0</v>
      </c>
      <c r="AF21" s="527">
        <f>IF(AD21="Yes",VLOOKUP(AD$1,_VRF!$L:$S,3,FALSE),0)</f>
        <v>0</v>
      </c>
      <c r="AG21" s="438"/>
      <c r="AH21" s="527">
        <f>IF(AG21="Yes",VLOOKUP(AG$1,_VRF!$L:$S,2,FALSE),0)</f>
        <v>0</v>
      </c>
      <c r="AI21" s="527">
        <f>IF(AG21="Yes",VLOOKUP(AG$1,_VRF!$L:$S,3,FALSE),0)</f>
        <v>0</v>
      </c>
      <c r="AJ21" s="114" t="str">
        <f t="shared" si="9"/>
        <v/>
      </c>
      <c r="AN21" s="114">
        <f>VLOOKUP($R21,_VRF!$A$26:$G$31, 2, FALSE)</f>
        <v>1</v>
      </c>
      <c r="AO21" s="114">
        <f>VLOOKUP($R21,_VRF!$A$26:$G$31, 3, FALSE)</f>
        <v>1</v>
      </c>
      <c r="AP21" s="114">
        <f>VLOOKUP($R21,_VRF!$A$26:$G$31, 4, FALSE)</f>
        <v>0</v>
      </c>
      <c r="AQ21" s="114">
        <f>VLOOKUP($R21,_VRF!$A$26:$G$31, 5, FALSE)</f>
        <v>0</v>
      </c>
      <c r="AR21" s="114">
        <f>VLOOKUP($R21,_VRF!$A$26:$G$31, 6, FALSE)</f>
        <v>0</v>
      </c>
      <c r="AS21" s="114">
        <f>VLOOKUP($R21,_VRF!$A$26:$G$31, 7, FALSE)</f>
        <v>0</v>
      </c>
      <c r="AU21" s="114" t="str">
        <f t="shared" si="10"/>
        <v>MSSB</v>
      </c>
      <c r="AV21" s="114">
        <f t="shared" si="11"/>
        <v>0</v>
      </c>
      <c r="AW21" s="114">
        <f t="shared" si="12"/>
        <v>0</v>
      </c>
      <c r="AX21" s="114">
        <f t="shared" si="13"/>
        <v>0</v>
      </c>
      <c r="AY21" s="114">
        <f t="shared" si="14"/>
        <v>0</v>
      </c>
      <c r="AZ21" s="114">
        <f t="shared" si="25"/>
        <v>0</v>
      </c>
      <c r="BD21" s="432" t="str">
        <f t="shared" si="16"/>
        <v/>
      </c>
      <c r="BE21" s="114">
        <f t="shared" si="17"/>
        <v>0</v>
      </c>
      <c r="BF21" s="114" t="str">
        <f>_xlfn.CONCAT(E21," (",VLOOKUP(E21,[1]Backend!C:D,2,FALSE),")")</f>
        <v xml:space="preserve"> (Zero)</v>
      </c>
      <c r="BG21" s="114" t="str">
        <f>_xlfn.CONCAT(BE21," - Electrical power supply and controls to ",BF21," ",VLOOKUP(R21,_VRF!$A$39:$G$48,2,FALSE))</f>
        <v xml:space="preserve">0 - Electrical power supply and controls to  (Zero) </v>
      </c>
      <c r="BH21" s="114" t="str">
        <f t="shared" si="18"/>
        <v xml:space="preserve"> </v>
      </c>
      <c r="BI21" s="114" t="str">
        <f t="shared" si="19"/>
        <v/>
      </c>
      <c r="BJ21" s="114" t="str">
        <f t="shared" si="20"/>
        <v>from MSSB Power Supply</v>
      </c>
      <c r="BK21" s="114" t="str">
        <f t="shared" si="21"/>
        <v>0 - Electrical power supply and controls to  (Zero)  from MSSB Power Supply</v>
      </c>
      <c r="BL21" s="114" t="str">
        <f t="shared" si="22"/>
        <v>0.1 - This includes supply and install of power and controls.</v>
      </c>
      <c r="BM21" s="114" t="str">
        <f>_xlfn.CONCAT(BE21,".2 - Power for system includes: ",VLOOKUP(O21,_VRF!L:O,4,FALSE))</f>
        <v xml:space="preserve">0.2 - Power for system includes: CB and cabling to unit from MSSB, and local isolator, </v>
      </c>
      <c r="BN21" s="114" t="str">
        <f t="shared" si="23"/>
        <v/>
      </c>
      <c r="BO21" s="114" t="str">
        <f>_xlfn.CONCAT(
IF(R21="Yes",VLOOKUP(R$1,_VRF!L:Z,4,FALSE),""),
IF(U21="Yes",VLOOKUP(U$1,_VRF!L:Z,4,FALSE),""),
IF(X21="Yes",VLOOKUP(X$1,_VRF!L:Z,4,FALSE),""),
IF(AA21="Yes",VLOOKUP(AA$1,_VRF!L:Z,4,FALSE),""),
IF(AD21="Yes",VLOOKUP(AD$1,_VRF!L:Z,4,FALSE),""),
IF(AG21="Yes",VLOOKUP(AG$1,_VRF!L:Z,4,FALSE),""))</f>
        <v/>
      </c>
      <c r="BQ21" s="114" t="str">
        <f>_xlfn.CONCAT(VLOOKUP(R21,_VRF!$A$39:$G$48,2,FALSE),BH21,BI21,)</f>
        <v xml:space="preserve"> </v>
      </c>
    </row>
    <row r="22" spans="1:69" x14ac:dyDescent="0.4">
      <c r="A22" s="429" t="str">
        <f t="shared" si="0"/>
        <v>INVALID</v>
      </c>
      <c r="B22" s="430" t="str">
        <f t="shared" si="2"/>
        <v>VRF 21</v>
      </c>
      <c r="C22" s="431">
        <f t="shared" si="3"/>
        <v>0</v>
      </c>
      <c r="D22" s="430">
        <f t="shared" si="4"/>
        <v>0</v>
      </c>
      <c r="E22" s="430"/>
      <c r="F22" s="430">
        <f t="shared" si="1"/>
        <v>20</v>
      </c>
      <c r="G22" s="438"/>
      <c r="H22" s="439"/>
      <c r="I22" s="438">
        <f t="shared" si="5"/>
        <v>553.25</v>
      </c>
      <c r="J22" s="438">
        <f t="shared" si="6"/>
        <v>2</v>
      </c>
      <c r="K22" s="527">
        <f>VLOOKUP(R22,_VRF!$A$39:$G$52,4,FALSE)</f>
        <v>0</v>
      </c>
      <c r="L22" s="527">
        <f t="shared" si="7"/>
        <v>0</v>
      </c>
      <c r="M22" s="527">
        <f>VLOOKUP(R22,_VRF!$A$39:$G$52,5,FALSE)</f>
        <v>0</v>
      </c>
      <c r="N22" s="430">
        <f t="shared" si="8"/>
        <v>0</v>
      </c>
      <c r="O22" s="438" t="s">
        <v>678</v>
      </c>
      <c r="P22" s="527">
        <f>IFERROR(VLOOKUP(O22,_VRF!$L:$S,2,FALSE),0)</f>
        <v>553.25</v>
      </c>
      <c r="Q22" s="439">
        <f>IFERROR(VLOOKUP(O22,_VRF!$L:$S,3,FALSE),0)</f>
        <v>2</v>
      </c>
      <c r="R22" s="438"/>
      <c r="S22" s="527">
        <f>IFERROR(VLOOKUP(R22,_VRF!$L:$S,2,FALSE),0)</f>
        <v>0</v>
      </c>
      <c r="T22" s="439">
        <f>IFERROR(VLOOKUP(R22,_VRF!$L:$S,3,FALSE),0)</f>
        <v>0</v>
      </c>
      <c r="U22" s="438"/>
      <c r="V22" s="527">
        <f>IF(U22="Yes",VLOOKUP(U$1,_VRF!$L:$S,2,FALSE),0)</f>
        <v>0</v>
      </c>
      <c r="W22" s="527">
        <f>IF(U22="Yes",VLOOKUP(U$1,_VRF!$L:$S,3,FALSE),0)</f>
        <v>0</v>
      </c>
      <c r="X22" s="438"/>
      <c r="Y22" s="527">
        <f>IF(X22="Yes",VLOOKUP(X$1,_VRF!$L:$S,2,FALSE),0)</f>
        <v>0</v>
      </c>
      <c r="Z22" s="527">
        <f>IF(X22="Yes",VLOOKUP(X$1,_VRF!$L:$S,3,FALSE),0)</f>
        <v>0</v>
      </c>
      <c r="AA22" s="438"/>
      <c r="AB22" s="527">
        <f>IF(AA22="Yes",VLOOKUP(AA$1,_VRF!$L:$S,2,FALSE),0)</f>
        <v>0</v>
      </c>
      <c r="AC22" s="527">
        <f>IF(AA22="Yes",VLOOKUP(AA$1,_VRF!$L:$S,3,FALSE),0)</f>
        <v>0</v>
      </c>
      <c r="AD22" s="438"/>
      <c r="AE22" s="527">
        <f>IF(AD22="Yes",VLOOKUP(AD$1,_VRF!$L:$S,2,FALSE),0)</f>
        <v>0</v>
      </c>
      <c r="AF22" s="527">
        <f>IF(AD22="Yes",VLOOKUP(AD$1,_VRF!$L:$S,3,FALSE),0)</f>
        <v>0</v>
      </c>
      <c r="AG22" s="438"/>
      <c r="AH22" s="527">
        <f>IF(AG22="Yes",VLOOKUP(AG$1,_VRF!$L:$S,2,FALSE),0)</f>
        <v>0</v>
      </c>
      <c r="AI22" s="527">
        <f>IF(AG22="Yes",VLOOKUP(AG$1,_VRF!$L:$S,3,FALSE),0)</f>
        <v>0</v>
      </c>
      <c r="AJ22" s="114" t="str">
        <f t="shared" si="9"/>
        <v/>
      </c>
      <c r="AN22" s="114">
        <f>VLOOKUP($R22,_VRF!$A$26:$G$31, 2, FALSE)</f>
        <v>1</v>
      </c>
      <c r="AO22" s="114">
        <f>VLOOKUP($R22,_VRF!$A$26:$G$31, 3, FALSE)</f>
        <v>1</v>
      </c>
      <c r="AP22" s="114">
        <f>VLOOKUP($R22,_VRF!$A$26:$G$31, 4, FALSE)</f>
        <v>0</v>
      </c>
      <c r="AQ22" s="114">
        <f>VLOOKUP($R22,_VRF!$A$26:$G$31, 5, FALSE)</f>
        <v>0</v>
      </c>
      <c r="AR22" s="114">
        <f>VLOOKUP($R22,_VRF!$A$26:$G$31, 6, FALSE)</f>
        <v>0</v>
      </c>
      <c r="AS22" s="114">
        <f>VLOOKUP($R22,_VRF!$A$26:$G$31, 7, FALSE)</f>
        <v>0</v>
      </c>
      <c r="AU22" s="114" t="str">
        <f t="shared" si="10"/>
        <v>MSSB</v>
      </c>
      <c r="AV22" s="114">
        <f t="shared" si="11"/>
        <v>0</v>
      </c>
      <c r="AW22" s="114">
        <f t="shared" si="12"/>
        <v>0</v>
      </c>
      <c r="AX22" s="114">
        <f t="shared" si="13"/>
        <v>0</v>
      </c>
      <c r="AY22" s="114">
        <f t="shared" si="14"/>
        <v>0</v>
      </c>
      <c r="AZ22" s="114">
        <f t="shared" si="25"/>
        <v>0</v>
      </c>
      <c r="BD22" s="432" t="str">
        <f t="shared" si="16"/>
        <v/>
      </c>
      <c r="BE22" s="114">
        <f t="shared" si="17"/>
        <v>0</v>
      </c>
      <c r="BF22" s="114" t="str">
        <f>_xlfn.CONCAT(E22," (",VLOOKUP(E22,[1]Backend!C:D,2,FALSE),")")</f>
        <v xml:space="preserve"> (Zero)</v>
      </c>
      <c r="BG22" s="114" t="str">
        <f>_xlfn.CONCAT(BE22," - Electrical power supply and controls to ",BF22," ",VLOOKUP(R22,_VRF!$A$39:$G$48,2,FALSE))</f>
        <v xml:space="preserve">0 - Electrical power supply and controls to  (Zero) </v>
      </c>
      <c r="BH22" s="114" t="str">
        <f t="shared" si="18"/>
        <v xml:space="preserve"> </v>
      </c>
      <c r="BI22" s="114" t="str">
        <f t="shared" si="19"/>
        <v/>
      </c>
      <c r="BJ22" s="114" t="str">
        <f t="shared" si="20"/>
        <v>from MSSB Power Supply</v>
      </c>
      <c r="BK22" s="114" t="str">
        <f t="shared" si="21"/>
        <v>0 - Electrical power supply and controls to  (Zero)  from MSSB Power Supply</v>
      </c>
      <c r="BL22" s="114" t="str">
        <f t="shared" si="22"/>
        <v>0.1 - This includes supply and install of power and controls.</v>
      </c>
      <c r="BM22" s="114" t="str">
        <f>_xlfn.CONCAT(BE22,".2 - Power for system includes: ",VLOOKUP(O22,_VRF!L:O,4,FALSE))</f>
        <v xml:space="preserve">0.2 - Power for system includes: CB and cabling to unit from MSSB, and local isolator, </v>
      </c>
      <c r="BN22" s="114" t="str">
        <f t="shared" si="23"/>
        <v/>
      </c>
      <c r="BO22" s="114" t="str">
        <f>_xlfn.CONCAT(
IF(R22="Yes",VLOOKUP(R$1,_VRF!L:Z,4,FALSE),""),
IF(U22="Yes",VLOOKUP(U$1,_VRF!L:Z,4,FALSE),""),
IF(X22="Yes",VLOOKUP(X$1,_VRF!L:Z,4,FALSE),""),
IF(AA22="Yes",VLOOKUP(AA$1,_VRF!L:Z,4,FALSE),""),
IF(AD22="Yes",VLOOKUP(AD$1,_VRF!L:Z,4,FALSE),""),
IF(AG22="Yes",VLOOKUP(AG$1,_VRF!L:Z,4,FALSE),""))</f>
        <v/>
      </c>
      <c r="BQ22" s="114" t="str">
        <f>_xlfn.CONCAT(VLOOKUP(R22,_VRF!$A$39:$G$48,2,FALSE),BH22,BI22,)</f>
        <v xml:space="preserve"> </v>
      </c>
    </row>
    <row r="23" spans="1:69" x14ac:dyDescent="0.4">
      <c r="A23" s="429" t="str">
        <f t="shared" si="0"/>
        <v>INVALID</v>
      </c>
      <c r="B23" s="430" t="str">
        <f t="shared" si="2"/>
        <v>VRF 22</v>
      </c>
      <c r="C23" s="431">
        <f t="shared" si="3"/>
        <v>0</v>
      </c>
      <c r="D23" s="430">
        <f t="shared" si="4"/>
        <v>0</v>
      </c>
      <c r="E23" s="430"/>
      <c r="F23" s="430">
        <f t="shared" si="1"/>
        <v>20</v>
      </c>
      <c r="G23" s="438"/>
      <c r="H23" s="439"/>
      <c r="I23" s="438">
        <f t="shared" si="5"/>
        <v>553.25</v>
      </c>
      <c r="J23" s="438">
        <f t="shared" si="6"/>
        <v>2</v>
      </c>
      <c r="K23" s="527">
        <f>VLOOKUP(R23,_VRF!$A$39:$G$52,4,FALSE)</f>
        <v>0</v>
      </c>
      <c r="L23" s="527">
        <f t="shared" si="7"/>
        <v>0</v>
      </c>
      <c r="M23" s="527">
        <f>VLOOKUP(R23,_VRF!$A$39:$G$52,5,FALSE)</f>
        <v>0</v>
      </c>
      <c r="N23" s="430">
        <f t="shared" si="8"/>
        <v>0</v>
      </c>
      <c r="O23" s="438" t="s">
        <v>678</v>
      </c>
      <c r="P23" s="527">
        <f>IFERROR(VLOOKUP(O23,_VRF!$L:$S,2,FALSE),0)</f>
        <v>553.25</v>
      </c>
      <c r="Q23" s="439">
        <f>IFERROR(VLOOKUP(O23,_VRF!$L:$S,3,FALSE),0)</f>
        <v>2</v>
      </c>
      <c r="R23" s="438"/>
      <c r="S23" s="527">
        <f>IFERROR(VLOOKUP(R23,_VRF!$L:$S,2,FALSE),0)</f>
        <v>0</v>
      </c>
      <c r="T23" s="439">
        <f>IFERROR(VLOOKUP(R23,_VRF!$L:$S,3,FALSE),0)</f>
        <v>0</v>
      </c>
      <c r="U23" s="438"/>
      <c r="V23" s="527">
        <f>IF(U23="Yes",VLOOKUP(U$1,_VRF!$L:$S,2,FALSE),0)</f>
        <v>0</v>
      </c>
      <c r="W23" s="527">
        <f>IF(U23="Yes",VLOOKUP(U$1,_VRF!$L:$S,3,FALSE),0)</f>
        <v>0</v>
      </c>
      <c r="X23" s="438"/>
      <c r="Y23" s="527">
        <f>IF(X23="Yes",VLOOKUP(X$1,_VRF!$L:$S,2,FALSE),0)</f>
        <v>0</v>
      </c>
      <c r="Z23" s="527">
        <f>IF(X23="Yes",VLOOKUP(X$1,_VRF!$L:$S,3,FALSE),0)</f>
        <v>0</v>
      </c>
      <c r="AA23" s="438"/>
      <c r="AB23" s="527">
        <f>IF(AA23="Yes",VLOOKUP(AA$1,_VRF!$L:$S,2,FALSE),0)</f>
        <v>0</v>
      </c>
      <c r="AC23" s="527">
        <f>IF(AA23="Yes",VLOOKUP(AA$1,_VRF!$L:$S,3,FALSE),0)</f>
        <v>0</v>
      </c>
      <c r="AD23" s="438"/>
      <c r="AE23" s="527">
        <f>IF(AD23="Yes",VLOOKUP(AD$1,_VRF!$L:$S,2,FALSE),0)</f>
        <v>0</v>
      </c>
      <c r="AF23" s="527">
        <f>IF(AD23="Yes",VLOOKUP(AD$1,_VRF!$L:$S,3,FALSE),0)</f>
        <v>0</v>
      </c>
      <c r="AG23" s="438"/>
      <c r="AH23" s="527">
        <f>IF(AG23="Yes",VLOOKUP(AG$1,_VRF!$L:$S,2,FALSE),0)</f>
        <v>0</v>
      </c>
      <c r="AI23" s="527">
        <f>IF(AG23="Yes",VLOOKUP(AG$1,_VRF!$L:$S,3,FALSE),0)</f>
        <v>0</v>
      </c>
      <c r="AJ23" s="114" t="str">
        <f t="shared" si="9"/>
        <v/>
      </c>
      <c r="AN23" s="114">
        <f>VLOOKUP($R23,_VRF!$A$26:$G$31, 2, FALSE)</f>
        <v>1</v>
      </c>
      <c r="AO23" s="114">
        <f>VLOOKUP($R23,_VRF!$A$26:$G$31, 3, FALSE)</f>
        <v>1</v>
      </c>
      <c r="AP23" s="114">
        <f>VLOOKUP($R23,_VRF!$A$26:$G$31, 4, FALSE)</f>
        <v>0</v>
      </c>
      <c r="AQ23" s="114">
        <f>VLOOKUP($R23,_VRF!$A$26:$G$31, 5, FALSE)</f>
        <v>0</v>
      </c>
      <c r="AR23" s="114">
        <f>VLOOKUP($R23,_VRF!$A$26:$G$31, 6, FALSE)</f>
        <v>0</v>
      </c>
      <c r="AS23" s="114">
        <f>VLOOKUP($R23,_VRF!$A$26:$G$31, 7, FALSE)</f>
        <v>0</v>
      </c>
      <c r="AU23" s="114" t="str">
        <f t="shared" si="10"/>
        <v>MSSB</v>
      </c>
      <c r="AV23" s="114">
        <f t="shared" si="11"/>
        <v>0</v>
      </c>
      <c r="AW23" s="114">
        <f t="shared" si="12"/>
        <v>0</v>
      </c>
      <c r="AX23" s="114">
        <f t="shared" si="13"/>
        <v>0</v>
      </c>
      <c r="AY23" s="114">
        <f t="shared" si="14"/>
        <v>0</v>
      </c>
      <c r="AZ23" s="114">
        <f t="shared" si="25"/>
        <v>0</v>
      </c>
      <c r="BD23" s="432" t="str">
        <f t="shared" si="16"/>
        <v/>
      </c>
      <c r="BN23" s="114" t="str">
        <f t="shared" si="23"/>
        <v/>
      </c>
      <c r="BO23" s="114" t="str">
        <f>_xlfn.CONCAT(
IF(R23="Yes",VLOOKUP(R$1,_VRF!L:Z,4,FALSE),""),
IF(U23="Yes",VLOOKUP(U$1,_VRF!L:Z,4,FALSE),""),
IF(X23="Yes",VLOOKUP(X$1,_VRF!L:Z,4,FALSE),""),
IF(AA23="Yes",VLOOKUP(AA$1,_VRF!L:Z,4,FALSE),""),
IF(AD23="Yes",VLOOKUP(AD$1,_VRF!L:Z,4,FALSE),""),
IF(AG23="Yes",VLOOKUP(AG$1,_VRF!L:Z,4,FALSE),""))</f>
        <v/>
      </c>
      <c r="BQ23" s="114" t="str">
        <f>_xlfn.CONCAT(VLOOKUP(R23,_VRF!$A$39:$G$48,2,FALSE),BH23,BI23,)</f>
        <v/>
      </c>
    </row>
    <row r="29" spans="1:69" x14ac:dyDescent="0.4">
      <c r="O29" s="446"/>
    </row>
  </sheetData>
  <conditionalFormatting sqref="A2:A23">
    <cfRule type="cellIs" dxfId="197" priority="22" operator="equal">
      <formula>"INVALID"</formula>
    </cfRule>
    <cfRule type="cellIs" dxfId="196" priority="23" operator="equal">
      <formula>"VALID"</formula>
    </cfRule>
  </conditionalFormatting>
  <conditionalFormatting sqref="O3:O23 S2:T23 R3:T23">
    <cfRule type="cellIs" dxfId="195" priority="21" operator="equal">
      <formula>$AAW$2</formula>
    </cfRule>
  </conditionalFormatting>
  <conditionalFormatting sqref="BN2:BN1048576">
    <cfRule type="colorScale" priority="20">
      <colorScale>
        <cfvo type="min"/>
        <cfvo type="max"/>
        <color rgb="FF63BE7B"/>
        <color rgb="FFFCFCFF"/>
      </colorScale>
    </cfRule>
  </conditionalFormatting>
  <conditionalFormatting sqref="AW1">
    <cfRule type="colorScale" priority="19">
      <colorScale>
        <cfvo type="min"/>
        <cfvo type="max"/>
        <color rgb="FF63BE7B"/>
        <color rgb="FFFCFCFF"/>
      </colorScale>
    </cfRule>
  </conditionalFormatting>
  <conditionalFormatting sqref="P3:Q23 S3:T23 O2:T2 AG2 Y2:Z23 V2:W23 AG4:AG23">
    <cfRule type="cellIs" dxfId="194" priority="14" operator="equal">
      <formula>$AAW$2</formula>
    </cfRule>
  </conditionalFormatting>
  <conditionalFormatting sqref="AB2:AC23">
    <cfRule type="cellIs" dxfId="193" priority="13" operator="equal">
      <formula>$AAW$2</formula>
    </cfRule>
  </conditionalFormatting>
  <conditionalFormatting sqref="AE2:AF23">
    <cfRule type="cellIs" dxfId="192" priority="12" operator="equal">
      <formula>$AAW$2</formula>
    </cfRule>
  </conditionalFormatting>
  <conditionalFormatting sqref="AH2:AI23">
    <cfRule type="cellIs" dxfId="191" priority="11" operator="equal">
      <formula>$AAW$2</formula>
    </cfRule>
  </conditionalFormatting>
  <conditionalFormatting sqref="AD2:AD3 AD5:AD23">
    <cfRule type="cellIs" dxfId="190" priority="10" operator="equal">
      <formula>$AAW$2</formula>
    </cfRule>
  </conditionalFormatting>
  <conditionalFormatting sqref="AA2 AA4:AA23">
    <cfRule type="cellIs" dxfId="189" priority="9" operator="equal">
      <formula>$AAW$2</formula>
    </cfRule>
  </conditionalFormatting>
  <conditionalFormatting sqref="X2:X3 X5:X23">
    <cfRule type="cellIs" dxfId="188" priority="8" operator="equal">
      <formula>$AAW$2</formula>
    </cfRule>
  </conditionalFormatting>
  <conditionalFormatting sqref="U2:U23">
    <cfRule type="cellIs" dxfId="187" priority="7" operator="equal">
      <formula>$AAW$2</formula>
    </cfRule>
  </conditionalFormatting>
  <conditionalFormatting sqref="O29">
    <cfRule type="expression" dxfId="186" priority="6">
      <formula>IF(ROW() = ROW(), TRUE, FALSE)</formula>
    </cfRule>
  </conditionalFormatting>
  <conditionalFormatting sqref="X4">
    <cfRule type="cellIs" dxfId="185" priority="5" operator="equal">
      <formula>$AAW$2</formula>
    </cfRule>
  </conditionalFormatting>
  <conditionalFormatting sqref="AA3">
    <cfRule type="cellIs" dxfId="184" priority="4" operator="equal">
      <formula>$AAW$2</formula>
    </cfRule>
  </conditionalFormatting>
  <conditionalFormatting sqref="AD4">
    <cfRule type="cellIs" dxfId="183" priority="3" operator="equal">
      <formula>$AAW$2</formula>
    </cfRule>
  </conditionalFormatting>
  <conditionalFormatting sqref="AG3">
    <cfRule type="cellIs" dxfId="182" priority="2" operator="equal">
      <formula>$AAW$2</formula>
    </cfRule>
  </conditionalFormatting>
  <conditionalFormatting sqref="R1:AI23">
    <cfRule type="cellIs" dxfId="181"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K2:M23" xr:uid="{00000000-0002-0000-0A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'@Car Park'!$A$2:$A$3</xm:f>
          </x14:formula1>
          <xm:sqref>AD2:AD23 AA2:AA23 X2:X23 U2:U23 AG2:AG23</xm:sqref>
        </x14:dataValidation>
        <x14:dataValidation type="list" allowBlank="1" showInputMessage="1" showErrorMessage="1" xr:uid="{00000000-0002-0000-0A00-000003000000}">
          <x14:formula1>
            <xm:f>_VRF!$B$2:$B$9</xm:f>
          </x14:formula1>
          <xm:sqref>R2:R23</xm:sqref>
        </x14:dataValidation>
        <x14:dataValidation type="list" allowBlank="1" showInputMessage="1" showErrorMessage="1" xr:uid="{00000000-0002-0000-0A00-000004000000}">
          <x14:formula1>
            <xm:f>_VRF!$A$2:$A$3</xm:f>
          </x14:formula1>
          <xm:sqref>O2:O23</xm:sqref>
        </x14:dataValidation>
        <x14:dataValidation type="list" allowBlank="1" showInputMessage="1" showErrorMessage="1" xr:uid="{00000000-0002-0000-0A00-000001000000}">
          <x14:formula1>
            <xm:f>_Fan!I$2:I$3</xm:f>
          </x14:formula1>
          <xm:sqref>AK2:AL23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8"/>
  <sheetViews>
    <sheetView topLeftCell="A7" workbookViewId="0">
      <selection activeCell="D18" sqref="D18"/>
    </sheetView>
  </sheetViews>
  <sheetFormatPr defaultColWidth="9.23046875"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84375" style="114" customWidth="1"/>
    <col min="21" max="16384" width="9.23046875" style="114"/>
  </cols>
  <sheetData>
    <row r="1" spans="1:24" s="418" customFormat="1" ht="43.75" x14ac:dyDescent="0.4">
      <c r="A1" s="427" t="s">
        <v>676</v>
      </c>
      <c r="B1" s="427" t="s">
        <v>1032</v>
      </c>
      <c r="C1" s="427" t="s">
        <v>1020</v>
      </c>
      <c r="D1" s="427" t="s">
        <v>1021</v>
      </c>
      <c r="E1" s="427" t="s">
        <v>1022</v>
      </c>
      <c r="F1" s="418" t="s">
        <v>1023</v>
      </c>
      <c r="G1" s="418" t="s">
        <v>989</v>
      </c>
      <c r="L1" s="418" t="s">
        <v>994</v>
      </c>
      <c r="M1" s="418" t="s">
        <v>995</v>
      </c>
      <c r="N1" s="418" t="s">
        <v>996</v>
      </c>
    </row>
    <row r="2" spans="1:24" x14ac:dyDescent="0.4">
      <c r="A2" s="114" t="s">
        <v>990</v>
      </c>
      <c r="B2" s="114" t="s">
        <v>1027</v>
      </c>
      <c r="C2" s="114" t="s">
        <v>885</v>
      </c>
      <c r="D2" s="114" t="s">
        <v>885</v>
      </c>
      <c r="E2" s="114" t="s">
        <v>885</v>
      </c>
      <c r="F2" s="114" t="s">
        <v>885</v>
      </c>
      <c r="G2" s="114" t="s">
        <v>885</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1033</v>
      </c>
      <c r="P2" s="114" t="s">
        <v>253</v>
      </c>
      <c r="Q2" s="114" t="s">
        <v>998</v>
      </c>
      <c r="R2" s="114" t="s">
        <v>268</v>
      </c>
      <c r="S2" s="114" t="s">
        <v>999</v>
      </c>
      <c r="T2" s="114" t="s">
        <v>1000</v>
      </c>
    </row>
    <row r="3" spans="1:24" x14ac:dyDescent="0.4">
      <c r="A3" s="114" t="s">
        <v>678</v>
      </c>
      <c r="C3" s="114" t="s">
        <v>886</v>
      </c>
      <c r="D3" s="114" t="s">
        <v>886</v>
      </c>
      <c r="E3" s="114" t="s">
        <v>886</v>
      </c>
      <c r="F3" s="114" t="s">
        <v>886</v>
      </c>
      <c r="G3" s="114" t="s">
        <v>886</v>
      </c>
      <c r="P3" s="114">
        <v>1</v>
      </c>
      <c r="Q3" s="114">
        <v>1</v>
      </c>
      <c r="R3" s="114" t="s">
        <v>1001</v>
      </c>
      <c r="S3" s="114">
        <v>1</v>
      </c>
      <c r="T3" s="114">
        <v>1</v>
      </c>
    </row>
    <row r="4" spans="1:24" x14ac:dyDescent="0.4">
      <c r="B4" s="114" t="s">
        <v>1029</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1034</v>
      </c>
      <c r="P4" s="114" t="s">
        <v>253</v>
      </c>
      <c r="Q4" s="114" t="s">
        <v>998</v>
      </c>
      <c r="R4" s="114" t="s">
        <v>268</v>
      </c>
      <c r="S4" s="114" t="s">
        <v>304</v>
      </c>
      <c r="T4" s="114" t="s">
        <v>1344</v>
      </c>
      <c r="U4" s="114" t="s">
        <v>1003</v>
      </c>
      <c r="V4" s="114" t="s">
        <v>1004</v>
      </c>
      <c r="W4" s="114" t="s">
        <v>1000</v>
      </c>
    </row>
    <row r="5" spans="1:24" x14ac:dyDescent="0.4">
      <c r="B5" s="114" t="s">
        <v>1030</v>
      </c>
      <c r="J5" s="114">
        <v>2</v>
      </c>
      <c r="P5" s="114">
        <v>1</v>
      </c>
      <c r="Q5" s="114">
        <v>1</v>
      </c>
      <c r="R5" s="114" t="s">
        <v>1001</v>
      </c>
      <c r="S5" s="114">
        <v>1</v>
      </c>
      <c r="T5" s="114">
        <v>1</v>
      </c>
      <c r="U5" s="114">
        <v>1</v>
      </c>
      <c r="V5" s="114">
        <v>1</v>
      </c>
      <c r="W5" s="114">
        <v>1</v>
      </c>
      <c r="X5" s="114">
        <v>1</v>
      </c>
    </row>
    <row r="6" spans="1:24" x14ac:dyDescent="0.4">
      <c r="B6" s="114" t="s">
        <v>1026</v>
      </c>
      <c r="I6" s="114" t="s">
        <v>268</v>
      </c>
      <c r="J6" s="114" t="s">
        <v>269</v>
      </c>
      <c r="L6" s="114" t="s">
        <v>1027</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1033</v>
      </c>
      <c r="P6" s="114" t="s">
        <v>253</v>
      </c>
      <c r="Q6" s="114" t="s">
        <v>998</v>
      </c>
      <c r="R6" s="114" t="s">
        <v>268</v>
      </c>
      <c r="S6" s="114" t="s">
        <v>269</v>
      </c>
      <c r="T6" s="114" t="s">
        <v>1035</v>
      </c>
      <c r="U6" s="114" t="s">
        <v>239</v>
      </c>
    </row>
    <row r="7" spans="1:24" x14ac:dyDescent="0.4">
      <c r="B7" s="114" t="s">
        <v>1031</v>
      </c>
      <c r="P7" s="114">
        <v>1</v>
      </c>
      <c r="R7" s="114" t="s">
        <v>1001</v>
      </c>
      <c r="S7" s="114" t="s">
        <v>1001</v>
      </c>
      <c r="T7" s="114">
        <v>1</v>
      </c>
      <c r="U7" s="114">
        <v>1</v>
      </c>
    </row>
    <row r="8" spans="1:24" x14ac:dyDescent="0.4">
      <c r="B8" s="114" t="s">
        <v>1036</v>
      </c>
      <c r="J8" s="114" t="s">
        <v>267</v>
      </c>
      <c r="L8" s="114" t="s">
        <v>1036</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1037</v>
      </c>
      <c r="P8" s="114" t="s">
        <v>267</v>
      </c>
    </row>
    <row r="9" spans="1:24" x14ac:dyDescent="0.4">
      <c r="B9" s="114" t="s">
        <v>1048</v>
      </c>
      <c r="P9" s="114" t="s">
        <v>1001</v>
      </c>
    </row>
    <row r="10" spans="1:24" x14ac:dyDescent="0.4">
      <c r="I10" s="114" t="s">
        <v>266</v>
      </c>
      <c r="J10" s="114" t="s">
        <v>269</v>
      </c>
      <c r="L10" s="114" t="s">
        <v>1029</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1038</v>
      </c>
      <c r="Q10" s="114" t="s">
        <v>1018</v>
      </c>
      <c r="R10" s="114" t="s">
        <v>253</v>
      </c>
      <c r="S10" s="114" t="s">
        <v>998</v>
      </c>
    </row>
    <row r="11" spans="1:24" x14ac:dyDescent="0.4">
      <c r="P11" s="114">
        <v>1</v>
      </c>
      <c r="Q11" s="114">
        <v>1</v>
      </c>
      <c r="R11" s="114">
        <v>1</v>
      </c>
      <c r="S11" s="114">
        <v>1</v>
      </c>
    </row>
    <row r="12" spans="1:24" x14ac:dyDescent="0.4">
      <c r="I12" s="114" t="s">
        <v>266</v>
      </c>
      <c r="J12" s="114" t="s">
        <v>269</v>
      </c>
      <c r="L12" s="114" t="s">
        <v>1030</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100.46000000000001</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2</v>
      </c>
      <c r="P12" s="114" t="s">
        <v>266</v>
      </c>
      <c r="Q12" s="114" t="s">
        <v>1039</v>
      </c>
      <c r="R12" s="114" t="s">
        <v>1040</v>
      </c>
      <c r="S12" s="114" t="s">
        <v>1018</v>
      </c>
      <c r="T12" s="114" t="s">
        <v>269</v>
      </c>
    </row>
    <row r="13" spans="1:24" x14ac:dyDescent="0.4">
      <c r="P13" s="114" t="s">
        <v>1001</v>
      </c>
      <c r="Q13" s="114">
        <v>1</v>
      </c>
      <c r="R13" s="114">
        <v>1</v>
      </c>
      <c r="S13" s="114">
        <v>1</v>
      </c>
      <c r="T13" s="114">
        <v>10</v>
      </c>
    </row>
    <row r="14" spans="1:24" x14ac:dyDescent="0.4">
      <c r="A14" s="33" t="s">
        <v>974</v>
      </c>
      <c r="I14" s="114" t="s">
        <v>268</v>
      </c>
      <c r="J14" s="114" t="s">
        <v>269</v>
      </c>
      <c r="L14" s="114" t="s">
        <v>1026</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964</v>
      </c>
      <c r="B15" s="114" t="s">
        <v>976</v>
      </c>
      <c r="P15" s="114">
        <v>1</v>
      </c>
      <c r="Q15" s="114">
        <v>1</v>
      </c>
      <c r="R15" s="114" t="s">
        <v>1001</v>
      </c>
      <c r="S15" s="114" t="s">
        <v>1001</v>
      </c>
    </row>
    <row r="16" spans="1:24" x14ac:dyDescent="0.4">
      <c r="A16" s="114" t="s">
        <v>977</v>
      </c>
      <c r="B16" s="114" t="s">
        <v>978</v>
      </c>
      <c r="I16" s="114" t="s">
        <v>268</v>
      </c>
      <c r="J16" s="114" t="s">
        <v>269</v>
      </c>
      <c r="L16" s="114" t="s">
        <v>1031</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1033</v>
      </c>
      <c r="P16" s="114" t="s">
        <v>253</v>
      </c>
      <c r="Q16" s="114" t="s">
        <v>998</v>
      </c>
      <c r="R16" s="114" t="s">
        <v>268</v>
      </c>
      <c r="S16" s="114" t="s">
        <v>269</v>
      </c>
      <c r="T16" s="114" t="s">
        <v>1035</v>
      </c>
      <c r="U16" s="114" t="s">
        <v>239</v>
      </c>
      <c r="V16" s="114" t="s">
        <v>301</v>
      </c>
    </row>
    <row r="17" spans="1:22" x14ac:dyDescent="0.4">
      <c r="P17" s="114">
        <v>1</v>
      </c>
      <c r="R17" s="114" t="s">
        <v>1001</v>
      </c>
      <c r="S17" s="114" t="s">
        <v>1001</v>
      </c>
      <c r="T17" s="114">
        <v>1</v>
      </c>
      <c r="U17" s="114">
        <v>1</v>
      </c>
      <c r="V17" s="114">
        <v>1</v>
      </c>
    </row>
    <row r="18" spans="1:22" x14ac:dyDescent="0.4">
      <c r="A18" s="114" t="s">
        <v>1041</v>
      </c>
      <c r="B18" s="114" t="s">
        <v>1042</v>
      </c>
      <c r="L18" s="114" t="s">
        <v>1020</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32</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1043</v>
      </c>
      <c r="P18" s="114" t="s">
        <v>1003</v>
      </c>
    </row>
    <row r="19" spans="1:22" x14ac:dyDescent="0.4">
      <c r="A19" s="114" t="s">
        <v>1027</v>
      </c>
      <c r="B19" s="415" t="s">
        <v>1044</v>
      </c>
      <c r="C19" s="114" t="s">
        <v>639</v>
      </c>
      <c r="P19" s="114">
        <v>2</v>
      </c>
    </row>
    <row r="20" spans="1:22" x14ac:dyDescent="0.4">
      <c r="A20" s="114" t="s">
        <v>1028</v>
      </c>
      <c r="L20" s="114" t="s">
        <v>1021</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1014</v>
      </c>
      <c r="P20" s="114" t="s">
        <v>588</v>
      </c>
    </row>
    <row r="21" spans="1:22" x14ac:dyDescent="0.4">
      <c r="A21" s="114" t="s">
        <v>1029</v>
      </c>
      <c r="P21" s="114">
        <v>1</v>
      </c>
    </row>
    <row r="22" spans="1:22" x14ac:dyDescent="0.4">
      <c r="A22" s="114" t="s">
        <v>1030</v>
      </c>
      <c r="L22" s="114" t="s">
        <v>1022</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1045</v>
      </c>
      <c r="P22" s="114" t="s">
        <v>268</v>
      </c>
    </row>
    <row r="23" spans="1:22" x14ac:dyDescent="0.4">
      <c r="A23" s="114" t="s">
        <v>1026</v>
      </c>
      <c r="B23" s="415" t="s">
        <v>1046</v>
      </c>
      <c r="P23" s="114">
        <v>999999</v>
      </c>
    </row>
    <row r="24" spans="1:22" x14ac:dyDescent="0.4">
      <c r="L24" s="114" t="s">
        <v>1023</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1047</v>
      </c>
      <c r="P24" s="114" t="s">
        <v>268</v>
      </c>
      <c r="Q24" s="114" t="s">
        <v>1023</v>
      </c>
    </row>
    <row r="25" spans="1:22" x14ac:dyDescent="0.4">
      <c r="A25" s="114" t="s">
        <v>1032</v>
      </c>
      <c r="B25" s="114" t="s">
        <v>676</v>
      </c>
      <c r="C25" s="114" t="s">
        <v>1020</v>
      </c>
      <c r="D25" s="114" t="s">
        <v>1021</v>
      </c>
      <c r="E25" s="114" t="s">
        <v>1022</v>
      </c>
      <c r="F25" s="114" t="s">
        <v>1023</v>
      </c>
      <c r="G25" s="114" t="s">
        <v>989</v>
      </c>
      <c r="P25" s="114">
        <v>999999</v>
      </c>
      <c r="Q25" s="114">
        <v>1</v>
      </c>
    </row>
    <row r="26" spans="1:22" x14ac:dyDescent="0.4">
      <c r="A26" s="114" t="str">
        <f>B2</f>
        <v>Indoor</v>
      </c>
      <c r="B26" s="114">
        <v>1</v>
      </c>
      <c r="C26" s="114">
        <v>1</v>
      </c>
      <c r="D26" s="114">
        <v>1</v>
      </c>
      <c r="E26" s="114">
        <v>1</v>
      </c>
      <c r="F26" s="114">
        <v>1</v>
      </c>
      <c r="G26" s="114">
        <v>1</v>
      </c>
      <c r="L26" s="114" t="s">
        <v>989</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1016</v>
      </c>
      <c r="P26" s="114" t="s">
        <v>268</v>
      </c>
      <c r="Q26" s="114" t="s">
        <v>989</v>
      </c>
    </row>
    <row r="27" spans="1:22" x14ac:dyDescent="0.4">
      <c r="A27" s="114">
        <f t="shared" ref="A27:A35" si="0">B3</f>
        <v>0</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K28" s="114" t="s">
        <v>267</v>
      </c>
      <c r="L28" s="114" t="s">
        <v>1048</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1049</v>
      </c>
      <c r="P28" s="114" t="s">
        <v>267</v>
      </c>
      <c r="Q28" s="114" t="s">
        <v>1039</v>
      </c>
      <c r="R28" s="114" t="s">
        <v>1040</v>
      </c>
    </row>
    <row r="29" spans="1:22" x14ac:dyDescent="0.4">
      <c r="A29" s="114" t="str">
        <f t="shared" si="0"/>
        <v>PAC</v>
      </c>
      <c r="B29" s="114">
        <v>0</v>
      </c>
      <c r="C29" s="114">
        <v>1</v>
      </c>
      <c r="D29" s="114">
        <v>0</v>
      </c>
      <c r="E29" s="114">
        <v>1</v>
      </c>
      <c r="F29" s="114">
        <v>1</v>
      </c>
      <c r="G29" s="114">
        <v>1</v>
      </c>
      <c r="P29" s="114" t="s">
        <v>1001</v>
      </c>
      <c r="Q29" s="114">
        <v>1</v>
      </c>
      <c r="R29" s="114">
        <v>1</v>
      </c>
    </row>
    <row r="30" spans="1:22" x14ac:dyDescent="0.4">
      <c r="A30" s="114" t="str">
        <f t="shared" si="0"/>
        <v>Controller</v>
      </c>
      <c r="B30" s="114">
        <v>0</v>
      </c>
      <c r="C30" s="114">
        <v>0</v>
      </c>
      <c r="D30" s="114">
        <v>0</v>
      </c>
      <c r="E30" s="114">
        <v>0</v>
      </c>
      <c r="F30" s="114">
        <v>0</v>
      </c>
      <c r="G30" s="114">
        <v>0</v>
      </c>
      <c r="L30" s="114" t="s">
        <v>886</v>
      </c>
      <c r="M30" s="114">
        <v>0</v>
      </c>
      <c r="N30" s="114">
        <v>0</v>
      </c>
      <c r="O30" s="114" t="s">
        <v>1017</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t="str">
        <f t="shared" si="0"/>
        <v>Outdoor_Local</v>
      </c>
      <c r="L32" s="114" t="s">
        <v>1028</v>
      </c>
      <c r="M32" s="114">
        <v>0</v>
      </c>
      <c r="N32" s="114">
        <v>0</v>
      </c>
    </row>
    <row r="33" spans="1:9" x14ac:dyDescent="0.4">
      <c r="A33" s="114" t="str">
        <f t="shared" si="0"/>
        <v>Outdoor_MSSB</v>
      </c>
    </row>
    <row r="34" spans="1:9" x14ac:dyDescent="0.4">
      <c r="A34" s="114">
        <f t="shared" si="0"/>
        <v>0</v>
      </c>
    </row>
    <row r="35" spans="1:9" x14ac:dyDescent="0.4">
      <c r="A35" s="114">
        <f t="shared" si="0"/>
        <v>0</v>
      </c>
    </row>
    <row r="38" spans="1:9" x14ac:dyDescent="0.4">
      <c r="A38" s="114" t="str">
        <f>A25</f>
        <v>Type</v>
      </c>
    </row>
    <row r="39" spans="1:9" x14ac:dyDescent="0.4">
      <c r="A39" s="114" t="str">
        <f t="shared" ref="A39:A48" si="1">A26</f>
        <v>Indoor</v>
      </c>
      <c r="B39" s="114" t="s">
        <v>1050</v>
      </c>
      <c r="C39" s="114" t="s">
        <v>1051</v>
      </c>
      <c r="D39" s="114">
        <f>IFERROR(VLOOKUP(G39,'Part List'!A:G,3,FALSE),0)
+IFERROR(VLOOKUP(H39,'Part List'!A:G,3,FALSE),0)
+IFERROR(VLOOKUP(I39,'Part List'!A:G,3,FALSE),0)
+IFERROR(VLOOKUP(J39,'Part List'!A:G,3,FALSE),0)</f>
        <v>2.9620000000000002</v>
      </c>
      <c r="E39" s="114">
        <f>IFERROR(VLOOKUP(G39,'Part List'!A:G,5,FALSE),0)
+IFERROR(VLOOKUP(H39,'Part List'!A:G,5,FALSE),0)
+IFERROR(VLOOKUP(I39,'Part List'!A:G,5,FALSE),0)
+IFERROR(VLOOKUP(J39,'Part List'!A:G,5,FALSE),0)</f>
        <v>0.30000000000000004</v>
      </c>
      <c r="G39" s="114" t="s">
        <v>268</v>
      </c>
      <c r="H39" s="114" t="s">
        <v>269</v>
      </c>
      <c r="I39" s="114" t="s">
        <v>269</v>
      </c>
    </row>
    <row r="41" spans="1:9" x14ac:dyDescent="0.4">
      <c r="A41" s="114" t="str">
        <f t="shared" si="1"/>
        <v>Split</v>
      </c>
      <c r="B41" s="114" t="s">
        <v>1053</v>
      </c>
      <c r="C41" s="114" t="s">
        <v>1054</v>
      </c>
      <c r="D41" s="114">
        <f>IFERROR(VLOOKUP(G41,'Part List'!A:G,3,FALSE),0)
+IFERROR(VLOOKUP(H41,'Part List'!A:G,3,FALSE),0)
+IFERROR(VLOOKUP(I41,'Part List'!A:G,3,FALSE),0)
+IFERROR(VLOOKUP(J41,'Part List'!A:G,3,FALSE),0)</f>
        <v>5.6159999999999997</v>
      </c>
      <c r="E41" s="114">
        <f>IFERROR(VLOOKUP(G41,'Part List'!A:G,5,FALSE),0)
+IFERROR(VLOOKUP(H41,'Part List'!A:G,5,FALSE),0)
+IFERROR(VLOOKUP(I41,'Part List'!A:G,5,FALSE),0)
+IFERROR(VLOOKUP(J41,'Part List'!A:G,5,FALSE),0)</f>
        <v>0.2</v>
      </c>
      <c r="G41" s="114" t="s">
        <v>266</v>
      </c>
      <c r="H41" s="114" t="s">
        <v>269</v>
      </c>
    </row>
    <row r="42" spans="1:9" x14ac:dyDescent="0.4">
      <c r="A42" s="114" t="str">
        <f t="shared" si="1"/>
        <v>PAC</v>
      </c>
      <c r="B42" s="282" t="s">
        <v>1055</v>
      </c>
      <c r="C42" s="114" t="s">
        <v>1030</v>
      </c>
      <c r="D42" s="114">
        <f>IFERROR(VLOOKUP(G42,'Part List'!A:G,3,FALSE),0)
+IFERROR(VLOOKUP(H42,'Part List'!A:G,3,FALSE),0)
+IFERROR(VLOOKUP(I42,'Part List'!A:G,3,FALSE),0)
+IFERROR(VLOOKUP(J42,'Part List'!A:G,3,FALSE),0)</f>
        <v>5.6159999999999997</v>
      </c>
      <c r="E42" s="114">
        <f>IFERROR(VLOOKUP(G42,'Part List'!A:G,5,FALSE),0)
+IFERROR(VLOOKUP(H42,'Part List'!A:G,5,FALSE),0)
+IFERROR(VLOOKUP(I42,'Part List'!A:G,5,FALSE),0)
+IFERROR(VLOOKUP(J42,'Part List'!A:G,5,FALSE),0)</f>
        <v>0.2</v>
      </c>
      <c r="G42" s="114" t="s">
        <v>266</v>
      </c>
      <c r="H42" s="114" t="s">
        <v>269</v>
      </c>
    </row>
    <row r="43" spans="1:9" x14ac:dyDescent="0.4">
      <c r="A43" s="114" t="str">
        <f t="shared" si="1"/>
        <v>Controller</v>
      </c>
      <c r="B43" s="114" t="s">
        <v>1056</v>
      </c>
      <c r="C43" s="114" t="s">
        <v>1057</v>
      </c>
      <c r="D43" s="114">
        <f>IFERROR(VLOOKUP(G43,'Part List'!A:G,3,FALSE),0)
+IFERROR(VLOOKUP(H43,'Part List'!A:G,3,FALSE),0)
+IFERROR(VLOOKUP(I43,'Part List'!A:G,3,FALSE),0)
+IFERROR(VLOOKUP(J43,'Part List'!A:G,3,FALSE),0)</f>
        <v>1.9060000000000001</v>
      </c>
      <c r="E43" s="114">
        <f>IFERROR(VLOOKUP(G43,'Part List'!A:G,5,FALSE),0)
+IFERROR(VLOOKUP(H43,'Part List'!A:G,5,FALSE),0)
+IFERROR(VLOOKUP(I43,'Part List'!A:G,5,FALSE),0)
+IFERROR(VLOOKUP(J43,'Part List'!A:G,5,FALSE),0)</f>
        <v>0.2</v>
      </c>
      <c r="G43" s="114" t="s">
        <v>268</v>
      </c>
      <c r="H43" s="114" t="s">
        <v>269</v>
      </c>
    </row>
    <row r="44" spans="1:9" x14ac:dyDescent="0.4">
      <c r="A44" s="114" t="str">
        <f t="shared" si="1"/>
        <v>Branch Box</v>
      </c>
      <c r="B44" s="114" t="s">
        <v>1031</v>
      </c>
      <c r="C44" s="114" t="s">
        <v>1058</v>
      </c>
      <c r="D44" s="114">
        <f>IFERROR(VLOOKUP(G44,'Part List'!A:G,3,FALSE),0)
+IFERROR(VLOOKUP(H44,'Part List'!A:G,3,FALSE),0)
+IFERROR(VLOOKUP(I44,'Part List'!A:G,3,FALSE),0)
+IFERROR(VLOOKUP(J44,'Part List'!A:G,3,FALSE),0)</f>
        <v>1.9060000000000001</v>
      </c>
      <c r="E44" s="114">
        <f>IFERROR(VLOOKUP(G44,'Part List'!A:G,5,FALSE),0)
+IFERROR(VLOOKUP(H44,'Part List'!A:G,5,FALSE),0)
+IFERROR(VLOOKUP(I44,'Part List'!A:G,5,FALSE),0)
+IFERROR(VLOOKUP(J44,'Part List'!A:G,5,FALSE),0)</f>
        <v>0.2</v>
      </c>
      <c r="G44" s="114" t="s">
        <v>268</v>
      </c>
      <c r="H44" s="114" t="s">
        <v>269</v>
      </c>
    </row>
    <row r="45" spans="1:9" x14ac:dyDescent="0.4">
      <c r="A45" s="114" t="str">
        <f t="shared" si="1"/>
        <v>Outdoor_Local</v>
      </c>
      <c r="B45" s="114" t="s">
        <v>1269</v>
      </c>
      <c r="C45" s="114" t="s">
        <v>1052</v>
      </c>
      <c r="D45" s="114">
        <f>IFERROR(VLOOKUP(G45,'Part List'!A:G,3,FALSE),0)
+IFERROR(VLOOKUP(H45,'Part List'!A:G,3,FALSE),0)
+IFERROR(VLOOKUP(I45,'Part List'!A:G,3,FALSE),0)
+IFERROR(VLOOKUP(J45,'Part List'!A:G,3,FALSE),0)</f>
        <v>3.48</v>
      </c>
      <c r="E45" s="114">
        <f>IFERROR(VLOOKUP(G45,'Part List'!A:G,5,FALSE),0)
+IFERROR(VLOOKUP(H45,'Part List'!A:G,5,FALSE),0)
+IFERROR(VLOOKUP(I45,'Part List'!A:G,5,FALSE),0)
+IFERROR(VLOOKUP(J45,'Part List'!A:G,5,FALSE),0)</f>
        <v>0.1</v>
      </c>
      <c r="G45" s="114" t="s">
        <v>267</v>
      </c>
    </row>
    <row r="46" spans="1:9" x14ac:dyDescent="0.4">
      <c r="A46" s="114" t="str">
        <f t="shared" si="1"/>
        <v>Outdoor_MSSB</v>
      </c>
      <c r="B46" s="114" t="s">
        <v>1269</v>
      </c>
      <c r="C46" s="114" t="s">
        <v>1052</v>
      </c>
      <c r="D46" s="114">
        <f>IFERROR(VLOOKUP(G46,'Part List'!A:G,3,FALSE),0)
+IFERROR(VLOOKUP(H46,'Part List'!A:G,3,FALSE),0)
+IFERROR(VLOOKUP(I46,'Part List'!A:G,3,FALSE),0)
+IFERROR(VLOOKUP(J46,'Part List'!A:G,3,FALSE),0)</f>
        <v>3.48</v>
      </c>
      <c r="E46" s="114">
        <f>IFERROR(VLOOKUP(G46,'Part List'!A:G,5,FALSE),0)
+IFERROR(VLOOKUP(H46,'Part List'!A:G,5,FALSE),0)
+IFERROR(VLOOKUP(I46,'Part List'!A:G,5,FALSE),0)
+IFERROR(VLOOKUP(J46,'Part List'!A:G,5,FALSE),0)</f>
        <v>0.1</v>
      </c>
      <c r="G46" s="114" t="s">
        <v>267</v>
      </c>
    </row>
    <row r="47" spans="1:9" x14ac:dyDescent="0.4">
      <c r="A47" s="114">
        <f>A34</f>
        <v>0</v>
      </c>
    </row>
    <row r="48" spans="1:9"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'Part List'!$A:$A</xm:f>
          </x14:formula1>
          <xm:sqref>W4 G25 H23:H24 P10:Q10 E25 S12 F23:F24 P20 Q18:R18</xm:sqref>
        </x14:dataValidation>
        <x14:dataValidation type="list" allowBlank="1" showInputMessage="1" showErrorMessage="1" xr:uid="{00000000-0002-0000-0B00-000001000000}">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5"/>
  <sheetViews>
    <sheetView topLeftCell="C1"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2.23046875" style="114" customWidth="1"/>
    <col min="13" max="13" width="19.69140625" style="114" customWidth="1"/>
    <col min="14" max="21" width="12.23046875" style="114" customWidth="1"/>
    <col min="22" max="22" width="12.3046875" style="424" hidden="1" customWidth="1"/>
    <col min="23" max="23" width="12.3046875" style="114" hidden="1" customWidth="1"/>
    <col min="24" max="24" width="16" style="114" hidden="1" customWidth="1"/>
    <col min="25" max="25" width="79.07421875" style="114" hidden="1" customWidth="1"/>
    <col min="26" max="26" width="9.23046875" style="114" hidden="1" customWidth="1"/>
    <col min="27" max="27" width="53.3046875" style="114" hidden="1" customWidth="1"/>
    <col min="28" max="28" width="28.304687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91406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
        <v>676</v>
      </c>
      <c r="M1" s="427" t="s">
        <v>1032</v>
      </c>
      <c r="N1" s="427" t="s">
        <v>1293</v>
      </c>
      <c r="O1" s="427" t="s">
        <v>1294</v>
      </c>
      <c r="P1" s="427" t="s">
        <v>1296</v>
      </c>
      <c r="Q1" s="427" t="s">
        <v>1295</v>
      </c>
      <c r="R1" s="427" t="s">
        <v>1297</v>
      </c>
      <c r="S1" s="418" t="s">
        <v>986</v>
      </c>
      <c r="T1" s="418" t="s">
        <v>1023</v>
      </c>
      <c r="U1" s="418" t="s">
        <v>989</v>
      </c>
      <c r="V1" s="428"/>
      <c r="W1" s="299">
        <f>MAX('@VRF'!BE:BE)</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180" priority="15" operator="equal">
      <formula>"INVALID"</formula>
    </cfRule>
    <cfRule type="cellIs" dxfId="179" priority="16" operator="equal">
      <formula>"VALID"</formula>
    </cfRule>
  </conditionalFormatting>
  <conditionalFormatting sqref="L3:U22">
    <cfRule type="cellIs" dxfId="178" priority="14" operator="equal">
      <formula>$ZO$2</formula>
    </cfRule>
  </conditionalFormatting>
  <conditionalFormatting sqref="AF1:AF1048576">
    <cfRule type="colorScale" priority="13">
      <colorScale>
        <cfvo type="min"/>
        <cfvo type="max"/>
        <color rgb="FF63BE7B"/>
        <color rgb="FFFCFCFF"/>
      </colorScale>
    </cfRule>
  </conditionalFormatting>
  <conditionalFormatting sqref="L2:U2">
    <cfRule type="cellIs" dxfId="177" priority="2" operator="equal">
      <formula>$ZO$2</formula>
    </cfRule>
  </conditionalFormatting>
  <conditionalFormatting sqref="M2:U2">
    <cfRule type="cellIs" dxfId="176"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J2:J22" xr:uid="{00000000-0002-0000-0C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'C:\Users\Samuel\Desktop\[18-0010 - Gallipoli Barracks - MechElec - 2.3.xlsx]_Chiller'!#REF!</xm:f>
          </x14:formula1>
          <xm:sqref>M2:U2</xm:sqref>
        </x14:dataValidation>
        <x14:dataValidation type="list" allowBlank="1" showInputMessage="1" showErrorMessage="1" xr:uid="{00000000-0002-0000-0C00-000002000000}">
          <x14:formula1>
            <xm:f>'C:\Users\Samuel\Desktop\[18-0010 - Gallipoli Barracks - MechElec - 2.3.xlsx]_Fan'!#REF!</xm:f>
          </x14:formula1>
          <xm:sqref>L2</xm:sqref>
        </x14:dataValidation>
        <x14:dataValidation type="list" allowBlank="1" showInputMessage="1" showErrorMessage="1" xr:uid="{00000000-0002-0000-0C00-000003000000}">
          <x14:formula1>
            <xm:f>_Fan!A$2:A$3</xm:f>
          </x14:formula1>
          <xm:sqref>L3:L22</xm:sqref>
        </x14:dataValidation>
        <x14:dataValidation type="list" allowBlank="1" showInputMessage="1" showErrorMessage="1" xr:uid="{00000000-0002-0000-0C00-000004000000}">
          <x14:formula1>
            <xm:f>_Chiller!B$2:B$6</xm:f>
          </x14:formula1>
          <xm:sqref>M3:U22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38"/>
  <sheetViews>
    <sheetView topLeftCell="Q1"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994</v>
      </c>
      <c r="O1" s="418" t="s">
        <v>995</v>
      </c>
      <c r="P1" s="418" t="s">
        <v>996</v>
      </c>
      <c r="AG1" s="418" t="s">
        <v>1327</v>
      </c>
    </row>
    <row r="2" spans="1:33" x14ac:dyDescent="0.4">
      <c r="A2" s="114" t="s">
        <v>990</v>
      </c>
      <c r="B2" s="114" t="s">
        <v>1299</v>
      </c>
      <c r="C2" s="114" t="s">
        <v>1303</v>
      </c>
      <c r="D2" s="114" t="s">
        <v>885</v>
      </c>
      <c r="E2" s="114" t="s">
        <v>885</v>
      </c>
      <c r="F2" s="114" t="s">
        <v>885</v>
      </c>
      <c r="G2" s="114" t="s">
        <v>885</v>
      </c>
      <c r="H2" s="114" t="s">
        <v>885</v>
      </c>
      <c r="I2" s="114" t="s">
        <v>885</v>
      </c>
      <c r="J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997</v>
      </c>
      <c r="R2" s="114" t="s">
        <v>253</v>
      </c>
      <c r="S2" s="114" t="s">
        <v>998</v>
      </c>
      <c r="T2" s="114" t="s">
        <v>268</v>
      </c>
      <c r="U2" s="114" t="s">
        <v>999</v>
      </c>
      <c r="V2" s="114" t="s">
        <v>1000</v>
      </c>
      <c r="AF2" s="114" t="str">
        <f>N2</f>
        <v>Local</v>
      </c>
    </row>
    <row r="3" spans="1:33" x14ac:dyDescent="0.4">
      <c r="A3" s="114" t="s">
        <v>678</v>
      </c>
      <c r="B3" s="114" t="s">
        <v>1298</v>
      </c>
      <c r="C3" s="114" t="s">
        <v>1304</v>
      </c>
      <c r="D3" s="114" t="s">
        <v>886</v>
      </c>
      <c r="E3" s="114" t="s">
        <v>886</v>
      </c>
      <c r="F3" s="114" t="s">
        <v>886</v>
      </c>
      <c r="G3" s="114" t="s">
        <v>886</v>
      </c>
      <c r="H3" s="114" t="s">
        <v>886</v>
      </c>
      <c r="I3" s="114" t="s">
        <v>886</v>
      </c>
      <c r="J3" s="114" t="s">
        <v>886</v>
      </c>
      <c r="R3" s="114">
        <v>1</v>
      </c>
      <c r="S3" s="114">
        <v>1</v>
      </c>
      <c r="T3" s="114" t="s">
        <v>1001</v>
      </c>
      <c r="U3" s="114">
        <v>1</v>
      </c>
      <c r="V3" s="114">
        <v>1</v>
      </c>
    </row>
    <row r="4" spans="1:33" x14ac:dyDescent="0.4">
      <c r="B4" s="114" t="s">
        <v>1300</v>
      </c>
      <c r="C4" s="114" t="s">
        <v>1305</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1034</v>
      </c>
      <c r="R4" s="114" t="s">
        <v>253</v>
      </c>
      <c r="S4" s="114" t="s">
        <v>998</v>
      </c>
      <c r="T4" s="114" t="s">
        <v>268</v>
      </c>
      <c r="U4" s="114" t="s">
        <v>304</v>
      </c>
      <c r="V4" s="114" t="s">
        <v>1344</v>
      </c>
      <c r="W4" s="114" t="s">
        <v>1003</v>
      </c>
      <c r="X4" s="114" t="s">
        <v>1004</v>
      </c>
      <c r="Y4" s="114" t="s">
        <v>1000</v>
      </c>
      <c r="AF4" s="114" t="str">
        <f t="shared" ref="AF4:AF38" si="0">N4</f>
        <v>MSSB</v>
      </c>
    </row>
    <row r="5" spans="1:33" x14ac:dyDescent="0.4">
      <c r="B5" s="114" t="s">
        <v>1301</v>
      </c>
      <c r="C5" s="480" t="s">
        <v>886</v>
      </c>
      <c r="R5" s="114">
        <v>1</v>
      </c>
      <c r="S5" s="114">
        <v>1</v>
      </c>
      <c r="T5" s="114" t="s">
        <v>1001</v>
      </c>
      <c r="U5" s="114">
        <v>1</v>
      </c>
      <c r="V5" s="114">
        <v>1</v>
      </c>
      <c r="W5" s="114">
        <v>1</v>
      </c>
      <c r="X5" s="114">
        <v>1</v>
      </c>
      <c r="Y5" s="114">
        <v>1</v>
      </c>
      <c r="Z5" s="114">
        <v>1</v>
      </c>
    </row>
    <row r="6" spans="1:33" x14ac:dyDescent="0.4">
      <c r="B6" s="114" t="s">
        <v>1302</v>
      </c>
      <c r="N6" s="114" t="s">
        <v>1302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1039</v>
      </c>
      <c r="S6" s="114" t="s">
        <v>1040</v>
      </c>
      <c r="T6" s="114" t="s">
        <v>1004</v>
      </c>
      <c r="U6" s="114" t="s">
        <v>476</v>
      </c>
      <c r="V6" s="114" t="s">
        <v>477</v>
      </c>
      <c r="W6" s="114" t="s">
        <v>1344</v>
      </c>
      <c r="X6" s="114" t="s">
        <v>1003</v>
      </c>
      <c r="Y6" s="114" t="s">
        <v>322</v>
      </c>
      <c r="Z6" s="441"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1001</v>
      </c>
      <c r="AA7" s="114" t="s">
        <v>1001</v>
      </c>
    </row>
    <row r="8" spans="1:33" x14ac:dyDescent="0.4">
      <c r="N8" s="114" t="s">
        <v>1299</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1039</v>
      </c>
      <c r="S8" s="114" t="s">
        <v>1040</v>
      </c>
      <c r="T8" s="114" t="s">
        <v>304</v>
      </c>
      <c r="U8" s="114" t="s">
        <v>1344</v>
      </c>
      <c r="V8" s="114" t="s">
        <v>1003</v>
      </c>
      <c r="W8" s="114" t="s">
        <v>1004</v>
      </c>
      <c r="X8" s="114" t="s">
        <v>1253</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1001</v>
      </c>
      <c r="AB9" s="114" t="s">
        <v>1001</v>
      </c>
    </row>
    <row r="10" spans="1:33" x14ac:dyDescent="0.4">
      <c r="N10" s="114" t="s">
        <v>1298</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1309</v>
      </c>
      <c r="S10" s="114" t="s">
        <v>1040</v>
      </c>
      <c r="T10" s="114" t="s">
        <v>304</v>
      </c>
      <c r="U10" s="114" t="s">
        <v>1344</v>
      </c>
      <c r="V10" s="114" t="s">
        <v>1003</v>
      </c>
      <c r="W10" s="114" t="s">
        <v>1004</v>
      </c>
      <c r="X10" s="114" t="s">
        <v>1253</v>
      </c>
      <c r="Y10" s="114" t="s">
        <v>322</v>
      </c>
      <c r="Z10" s="441"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1" t="s">
        <v>1001</v>
      </c>
      <c r="AA11" s="114" t="s">
        <v>1001</v>
      </c>
    </row>
    <row r="12" spans="1:33" x14ac:dyDescent="0.4">
      <c r="N12" s="114" t="s">
        <v>1300</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1310</v>
      </c>
      <c r="AF12" s="114" t="str">
        <f t="shared" si="0"/>
        <v>Air Cooled Chiller</v>
      </c>
      <c r="AG12" s="114" t="s">
        <v>1343</v>
      </c>
    </row>
    <row r="13" spans="1:33" x14ac:dyDescent="0.4">
      <c r="Q13" s="114" t="str">
        <f t="shared" si="1"/>
        <v/>
      </c>
      <c r="S13" s="114">
        <v>1</v>
      </c>
    </row>
    <row r="14" spans="1:33" x14ac:dyDescent="0.4">
      <c r="A14" s="33" t="s">
        <v>974</v>
      </c>
      <c r="N14" s="114" t="s">
        <v>1301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1040</v>
      </c>
      <c r="T14" s="114" t="s">
        <v>304</v>
      </c>
      <c r="U14" s="114" t="s">
        <v>1344</v>
      </c>
      <c r="V14" s="114" t="s">
        <v>1003</v>
      </c>
      <c r="W14" s="114" t="s">
        <v>1004</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964</v>
      </c>
      <c r="B15" s="114" t="s">
        <v>976</v>
      </c>
      <c r="Q15" s="114" t="str">
        <f t="shared" si="1"/>
        <v/>
      </c>
      <c r="S15" s="114">
        <v>1</v>
      </c>
      <c r="T15" s="114">
        <v>1</v>
      </c>
      <c r="U15" s="114">
        <v>1</v>
      </c>
      <c r="V15" s="114">
        <v>2</v>
      </c>
      <c r="W15" s="114">
        <v>1</v>
      </c>
      <c r="X15" s="114" t="s">
        <v>1001</v>
      </c>
      <c r="Y15" s="114" t="s">
        <v>1001</v>
      </c>
    </row>
    <row r="16" spans="1:33" x14ac:dyDescent="0.4">
      <c r="A16" s="114" t="s">
        <v>977</v>
      </c>
      <c r="B16" s="114" t="s">
        <v>978</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1299</v>
      </c>
      <c r="B18" s="114" t="s">
        <v>1321</v>
      </c>
      <c r="C18" s="114" t="s">
        <v>1313</v>
      </c>
      <c r="D18" s="114" t="s">
        <v>1311</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1298</v>
      </c>
      <c r="B19" s="114" t="s">
        <v>1322</v>
      </c>
      <c r="C19" s="114" t="s">
        <v>1314</v>
      </c>
      <c r="D19" s="114" t="s">
        <v>1312</v>
      </c>
      <c r="Q19" s="114" t="str">
        <f t="shared" si="1"/>
        <v/>
      </c>
      <c r="R19" s="114">
        <v>1</v>
      </c>
      <c r="S19" s="114">
        <v>1</v>
      </c>
    </row>
    <row r="20" spans="1:33" x14ac:dyDescent="0.4">
      <c r="A20" s="114" t="s">
        <v>1300</v>
      </c>
      <c r="B20" s="114" t="s">
        <v>1323</v>
      </c>
      <c r="C20" s="114" t="s">
        <v>1317</v>
      </c>
      <c r="D20" s="114" t="s">
        <v>1326</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1301</v>
      </c>
      <c r="B21" s="114" t="s">
        <v>1324</v>
      </c>
      <c r="C21" s="114" t="s">
        <v>1315</v>
      </c>
      <c r="D21" s="114" t="s">
        <v>1301</v>
      </c>
      <c r="Q21" s="114" t="str">
        <f t="shared" si="1"/>
        <v/>
      </c>
    </row>
    <row r="22" spans="1:33" x14ac:dyDescent="0.4">
      <c r="A22" s="114" t="s">
        <v>1302</v>
      </c>
      <c r="B22" s="114" t="s">
        <v>1325</v>
      </c>
      <c r="C22" s="114" t="s">
        <v>1316</v>
      </c>
      <c r="D22" s="114" t="s">
        <v>1302</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1306</v>
      </c>
      <c r="S24" s="114" t="s">
        <v>1039</v>
      </c>
      <c r="AF24" s="114" t="str">
        <f t="shared" si="0"/>
        <v>Small</v>
      </c>
      <c r="AG24" s="114" t="str">
        <f>_xlfn.CONCAT(R24,", ",S24,", ")</f>
        <v xml:space="preserve">VSD Small (2k2), 3 Phase Isolator, </v>
      </c>
    </row>
    <row r="25" spans="1:33" x14ac:dyDescent="0.4">
      <c r="A25" s="114" t="s">
        <v>1303</v>
      </c>
      <c r="B25" s="114" t="s">
        <v>1318</v>
      </c>
      <c r="Q25" s="114" t="str">
        <f t="shared" si="1"/>
        <v/>
      </c>
      <c r="R25" s="114">
        <v>1</v>
      </c>
      <c r="S25" s="114">
        <v>1</v>
      </c>
    </row>
    <row r="26" spans="1:33" x14ac:dyDescent="0.4">
      <c r="A26" s="114" t="s">
        <v>1304</v>
      </c>
      <c r="B26" s="114" t="s">
        <v>1319</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1307</v>
      </c>
      <c r="S26" s="114" t="s">
        <v>1039</v>
      </c>
      <c r="AF26" s="114" t="str">
        <f t="shared" si="0"/>
        <v>Medium</v>
      </c>
      <c r="AG26" s="114" t="str">
        <f>_xlfn.CONCAT(R26,", ",S26,", ")</f>
        <v xml:space="preserve">VSD Medium (5k5), 3 Phase Isolator, </v>
      </c>
    </row>
    <row r="27" spans="1:33" x14ac:dyDescent="0.4">
      <c r="A27" s="114" t="s">
        <v>1305</v>
      </c>
      <c r="B27" s="114" t="s">
        <v>1320</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1308</v>
      </c>
      <c r="S28" s="114" t="s">
        <v>1039</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1013</v>
      </c>
      <c r="R32" s="114" t="s">
        <v>986</v>
      </c>
      <c r="X32" s="117"/>
      <c r="Z32" s="135"/>
      <c r="AF32" s="114" t="str">
        <f t="shared" si="0"/>
        <v>Run On Timer</v>
      </c>
      <c r="AG32" s="114" t="str">
        <f>_xlfn.CONCAT(R32,", ",)</f>
        <v xml:space="preserve">Run On Timer, </v>
      </c>
    </row>
    <row r="33" spans="14:33" x14ac:dyDescent="0.4">
      <c r="R33" s="114">
        <v>1</v>
      </c>
      <c r="W33" s="117"/>
      <c r="X33" s="446"/>
      <c r="Y33" s="446"/>
      <c r="Z33" s="446"/>
      <c r="AA33" s="446"/>
      <c r="AB33" s="446"/>
      <c r="AF33" s="114">
        <f t="shared" si="0"/>
        <v>0</v>
      </c>
    </row>
    <row r="34" spans="14:33" x14ac:dyDescent="0.4">
      <c r="N34" s="114" t="s">
        <v>1023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1047</v>
      </c>
      <c r="R34" s="114" t="s">
        <v>268</v>
      </c>
      <c r="S34" s="114" t="s">
        <v>1023</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1016</v>
      </c>
      <c r="R36" s="114" t="s">
        <v>268</v>
      </c>
      <c r="S36" s="114" t="s">
        <v>989</v>
      </c>
      <c r="AA36" s="117"/>
      <c r="AB36" s="446"/>
      <c r="AE36" s="446"/>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175" priority="4">
      <formula>IF(ROW() = ROW(), TRUE, FALSE)</formula>
    </cfRule>
  </conditionalFormatting>
  <conditionalFormatting sqref="X32">
    <cfRule type="expression" dxfId="174" priority="3">
      <formula>IF(ROW() = ROW(), TRUE, FALSE)</formula>
    </cfRule>
  </conditionalFormatting>
  <conditionalFormatting sqref="AA36:AB36">
    <cfRule type="expression" dxfId="173" priority="2">
      <formula>IF(ROW() = ROW(), TRUE, FALSE)</formula>
    </cfRule>
  </conditionalFormatting>
  <conditionalFormatting sqref="AE36">
    <cfRule type="expression" dxfId="172"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9.69140625" style="114" customWidth="1"/>
    <col min="13" max="13" width="12.23046875" style="114" customWidth="1"/>
    <col min="14" max="14" width="12.3046875" style="424" hidden="1" customWidth="1"/>
    <col min="15" max="15" width="12.3046875" style="114" hidden="1" customWidth="1"/>
    <col min="16" max="16" width="16" style="114" hidden="1" customWidth="1"/>
    <col min="17" max="17" width="79.07421875" style="114" hidden="1" customWidth="1"/>
    <col min="18" max="18" width="9.23046875" style="114" hidden="1" customWidth="1"/>
    <col min="19" max="19" width="53.3046875" style="114" hidden="1" customWidth="1"/>
    <col min="20" max="20" width="28.304687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91406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171" priority="3" operator="equal">
      <formula>"INVALID"</formula>
    </cfRule>
    <cfRule type="cellIs" dxfId="170"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169"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E00-000000000000}">
          <x14:formula1>
            <xm:f>_Chiller!B$2:B$6</xm:f>
          </x14:formula1>
          <xm:sqref>L16:M22</xm:sqref>
        </x14:dataValidation>
        <x14:dataValidation type="list" allowBlank="1" showInputMessage="1" showErrorMessage="1" xr:uid="{00000000-0002-0000-0E00-000001000000}">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36"/>
  <sheetViews>
    <sheetView topLeftCell="A13"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1333</v>
      </c>
      <c r="N1" s="418" t="s">
        <v>994</v>
      </c>
      <c r="O1" s="418" t="s">
        <v>995</v>
      </c>
      <c r="P1" s="418" t="s">
        <v>996</v>
      </c>
      <c r="AG1" s="418" t="s">
        <v>1327</v>
      </c>
    </row>
    <row r="2" spans="1:33" x14ac:dyDescent="0.4">
      <c r="B2" s="114" t="s">
        <v>1330</v>
      </c>
      <c r="C2" s="114" t="s">
        <v>886</v>
      </c>
      <c r="AF2" s="114">
        <f>N2</f>
        <v>0</v>
      </c>
      <c r="AG2" s="114" t="str">
        <f>_xlfn.CONCAT("{ CONTROLS FOR: ",AF2,"}, ")</f>
        <v xml:space="preserve">{ CONTROLS FOR: 0}, </v>
      </c>
    </row>
    <row r="3" spans="1:33" x14ac:dyDescent="0.4">
      <c r="B3" s="114" t="s">
        <v>1331</v>
      </c>
      <c r="C3" s="114" t="s">
        <v>1334</v>
      </c>
      <c r="AG3" s="114" t="str">
        <f t="shared" ref="AG3:AG30" si="0">_xlfn.CONCAT("{ CONTROLS FOR: ",AF3,"}, ")</f>
        <v xml:space="preserve">{ CONTROLS FOR: }, </v>
      </c>
    </row>
    <row r="4" spans="1:33" x14ac:dyDescent="0.4">
      <c r="B4" s="114" t="s">
        <v>1332</v>
      </c>
      <c r="C4" s="114" t="s">
        <v>1335</v>
      </c>
      <c r="AF4" s="114">
        <f t="shared" ref="AF4:AF30" si="1">N4</f>
        <v>0</v>
      </c>
      <c r="AG4" s="114" t="str">
        <f t="shared" si="0"/>
        <v xml:space="preserve">{ CONTROLS FOR: 0}, </v>
      </c>
    </row>
    <row r="5" spans="1:33" x14ac:dyDescent="0.4">
      <c r="C5" s="480"/>
      <c r="AG5" s="114" t="str">
        <f t="shared" si="0"/>
        <v xml:space="preserve">{ CONTROLS FOR: }, </v>
      </c>
    </row>
    <row r="6" spans="1:33" x14ac:dyDescent="0.4">
      <c r="Z6" s="441"/>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1"/>
      <c r="AF10" s="114">
        <f t="shared" si="1"/>
        <v>0</v>
      </c>
      <c r="AG10" s="114" t="str">
        <f t="shared" si="0"/>
        <v xml:space="preserve">{ CONTROLS FOR: 0}, </v>
      </c>
    </row>
    <row r="11" spans="1:33" x14ac:dyDescent="0.4">
      <c r="Z11" s="441"/>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974</v>
      </c>
      <c r="AF14" s="114">
        <f t="shared" si="1"/>
        <v>0</v>
      </c>
      <c r="AG14" s="114" t="str">
        <f t="shared" si="0"/>
        <v xml:space="preserve">{ CONTROLS FOR: 0}, </v>
      </c>
    </row>
    <row r="15" spans="1:33" x14ac:dyDescent="0.4">
      <c r="A15" s="114" t="s">
        <v>964</v>
      </c>
      <c r="B15" s="114" t="s">
        <v>976</v>
      </c>
      <c r="AG15" s="114" t="str">
        <f t="shared" si="0"/>
        <v xml:space="preserve">{ CONTROLS FOR: }, </v>
      </c>
    </row>
    <row r="16" spans="1:33" x14ac:dyDescent="0.4">
      <c r="A16" s="114" t="s">
        <v>977</v>
      </c>
      <c r="B16" s="114" t="s">
        <v>978</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1339</v>
      </c>
      <c r="C18" s="114" t="s">
        <v>1336</v>
      </c>
      <c r="AF18" s="114">
        <f t="shared" si="1"/>
        <v>0</v>
      </c>
      <c r="AG18" s="114" t="str">
        <f t="shared" si="0"/>
        <v xml:space="preserve">{ CONTROLS FOR: 0}, </v>
      </c>
    </row>
    <row r="19" spans="1:33" x14ac:dyDescent="0.4">
      <c r="A19" s="114" t="str">
        <f t="shared" ref="A19:A20" si="2">B3</f>
        <v>Smoke Damper</v>
      </c>
      <c r="B19" s="114" t="s">
        <v>1340</v>
      </c>
      <c r="C19" s="114" t="s">
        <v>1337</v>
      </c>
      <c r="AG19" s="114" t="str">
        <f t="shared" si="0"/>
        <v xml:space="preserve">{ CONTROLS FOR: }, </v>
      </c>
    </row>
    <row r="20" spans="1:33" x14ac:dyDescent="0.4">
      <c r="A20" s="114" t="str">
        <f t="shared" si="2"/>
        <v>Make Safe &amp; Disconnect</v>
      </c>
      <c r="B20" s="114" t="s">
        <v>1341</v>
      </c>
      <c r="C20" s="114" t="s">
        <v>1338</v>
      </c>
      <c r="N20" s="114" t="s">
        <v>1330</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1334</v>
      </c>
      <c r="C21" s="114">
        <v>1</v>
      </c>
      <c r="AG21" s="114" t="str">
        <f t="shared" si="0"/>
        <v xml:space="preserve">{ CONTROLS FOR: }, </v>
      </c>
    </row>
    <row r="22" spans="1:33" x14ac:dyDescent="0.4">
      <c r="A22" s="114" t="s">
        <v>1335</v>
      </c>
      <c r="C22" s="114">
        <v>3</v>
      </c>
      <c r="N22" s="114" t="s">
        <v>1331</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886</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6"/>
      <c r="Y33" s="446"/>
      <c r="Z33" s="446"/>
      <c r="AA33" s="446"/>
      <c r="AB33" s="446"/>
    </row>
    <row r="36" spans="23:31" x14ac:dyDescent="0.4">
      <c r="AA36" s="117"/>
      <c r="AB36" s="446"/>
      <c r="AE36" s="446"/>
    </row>
  </sheetData>
  <conditionalFormatting sqref="W33:AB33">
    <cfRule type="expression" dxfId="168" priority="4">
      <formula>IF(ROW() = ROW(), TRUE, FALSE)</formula>
    </cfRule>
  </conditionalFormatting>
  <conditionalFormatting sqref="X32">
    <cfRule type="expression" dxfId="167" priority="3">
      <formula>IF(ROW() = ROW(), TRUE, FALSE)</formula>
    </cfRule>
  </conditionalFormatting>
  <conditionalFormatting sqref="AA36:AB36">
    <cfRule type="expression" dxfId="166" priority="2">
      <formula>IF(ROW() = ROW(), TRUE, FALSE)</formula>
    </cfRule>
  </conditionalFormatting>
  <conditionalFormatting sqref="AE36">
    <cfRule type="expression" dxfId="16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89"/>
  <sheetViews>
    <sheetView zoomScale="85" zoomScaleNormal="85" workbookViewId="0">
      <selection activeCell="J2" sqref="J2"/>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046875" style="114" customWidth="1"/>
    <col min="44" max="16384" width="9.3046875" style="114"/>
  </cols>
  <sheetData>
    <row r="1" spans="1:43" ht="20.149999999999999" x14ac:dyDescent="0.5">
      <c r="A1" s="342">
        <f>ROUNDUP(C1/6,0)</f>
        <v>0</v>
      </c>
      <c r="B1" s="341" t="s">
        <v>795</v>
      </c>
      <c r="C1" s="306">
        <v>0</v>
      </c>
      <c r="H1" s="310" t="s">
        <v>847</v>
      </c>
      <c r="I1" s="114" t="str">
        <f>_xlfn.CONCAT(VLOOKUP(C1,[5]Sheet2!D:E,2,TRUE)," (",C1,")",IF(C1=1,L12,M12))</f>
        <v>Zero (0) CO Detectors</v>
      </c>
      <c r="J1" s="330" t="s">
        <v>863</v>
      </c>
      <c r="L1" s="307" t="s">
        <v>880</v>
      </c>
      <c r="M1" s="307"/>
      <c r="N1" s="307"/>
      <c r="O1" s="307"/>
      <c r="AE1" s="114" t="b">
        <f>NOT((AG1+1)=AG14)</f>
        <v>0</v>
      </c>
      <c r="AF1" s="114" t="s">
        <v>1257</v>
      </c>
      <c r="AG1" s="114">
        <f>MAX('@Other'!O:O)</f>
        <v>0</v>
      </c>
      <c r="AH1" s="114" t="s">
        <v>1265</v>
      </c>
      <c r="AI1" s="114" t="s">
        <v>1262</v>
      </c>
      <c r="AJ1" s="114" t="s">
        <v>1263</v>
      </c>
      <c r="AK1" s="114" t="s">
        <v>1264</v>
      </c>
      <c r="AL1" s="114">
        <v>0.1</v>
      </c>
      <c r="AM1" s="114">
        <v>0.2</v>
      </c>
      <c r="AN1" s="114">
        <v>0.3</v>
      </c>
      <c r="AO1" s="114">
        <v>0.4</v>
      </c>
    </row>
    <row r="2" spans="1:43" ht="20.149999999999999" x14ac:dyDescent="0.5">
      <c r="A2" s="343" t="s">
        <v>885</v>
      </c>
      <c r="B2" s="341" t="s">
        <v>862</v>
      </c>
      <c r="C2" s="306">
        <v>0</v>
      </c>
      <c r="E2" s="310" t="s">
        <v>717</v>
      </c>
      <c r="F2" s="339" t="s">
        <v>716</v>
      </c>
      <c r="G2" s="339" t="s">
        <v>893</v>
      </c>
      <c r="J2" s="330" t="s">
        <v>863</v>
      </c>
      <c r="L2" s="328" t="s">
        <v>0</v>
      </c>
      <c r="M2" s="328"/>
      <c r="N2" s="328" t="s">
        <v>353</v>
      </c>
      <c r="O2" s="328"/>
      <c r="AF2" s="114" t="s">
        <v>1258</v>
      </c>
      <c r="AG2" s="114">
        <f>IF(C2*D7&gt;0, AG1+1, AG1)</f>
        <v>0</v>
      </c>
      <c r="AH2" s="114" t="s">
        <v>1266</v>
      </c>
      <c r="AI2" s="114">
        <f>C2</f>
        <v>0</v>
      </c>
      <c r="AK2" s="114" t="s">
        <v>1270</v>
      </c>
      <c r="AL2" s="415" t="s">
        <v>1272</v>
      </c>
      <c r="AM2" s="415" t="s">
        <v>1282</v>
      </c>
      <c r="AN2" s="114" t="s">
        <v>1275</v>
      </c>
      <c r="AQ2" s="114" t="str">
        <f>IF(AG1=AG2,"",_xlfn.CONCAT("
",AG2," - ",AK2,AI2," ",AH2, "
",REPT(" ",8),AG2,".1 - ",AL2,  "
",REPT(" ",8),AG2,".2 - ",AM2,  "
",REPT(" ",8),AG2,".3 - ",AN2))</f>
        <v/>
      </c>
    </row>
    <row r="3" spans="1:43" ht="20.6" thickBot="1" x14ac:dyDescent="0.55000000000000004">
      <c r="A3" s="344" t="s">
        <v>886</v>
      </c>
      <c r="B3" s="341" t="s">
        <v>908</v>
      </c>
      <c r="C3" s="306">
        <v>0</v>
      </c>
      <c r="E3" s="348">
        <f>SUM(E7:E12)-E8</f>
        <v>0</v>
      </c>
      <c r="F3" s="349">
        <f>SUM(F7:F12)</f>
        <v>0</v>
      </c>
      <c r="G3" s="348">
        <f>SUM(G7:G12)</f>
        <v>0</v>
      </c>
      <c r="J3" s="330" t="s">
        <v>863</v>
      </c>
      <c r="L3" s="328"/>
      <c r="M3" s="328"/>
      <c r="N3" s="328" t="s">
        <v>797</v>
      </c>
      <c r="O3" s="328">
        <v>80</v>
      </c>
      <c r="AF3" s="114" t="s">
        <v>1259</v>
      </c>
      <c r="AG3" s="114">
        <f>IF(C4*D7&gt;0, AG2+1, AG2)</f>
        <v>0</v>
      </c>
      <c r="AH3" s="114" t="s">
        <v>1273</v>
      </c>
      <c r="AI3" s="114">
        <f>C4</f>
        <v>0</v>
      </c>
      <c r="AK3" s="114" t="s">
        <v>1270</v>
      </c>
      <c r="AL3" s="415" t="s">
        <v>1272</v>
      </c>
      <c r="AM3" s="415" t="s">
        <v>1271</v>
      </c>
      <c r="AN3" s="415" t="s">
        <v>1274</v>
      </c>
      <c r="AQ3" s="114" t="str">
        <f>IF(AG2=AG3,"",_xlfn.CONCAT("
",AG3," - ",AK3,AI3," ",AH3, "
",REPT(" ",8),AG3,".1 - ",AL3,  "
",REPT(" ",8),AG3,".2 - ",AM3,  "
",REPT(" ",8),AG3,".3 - ",AN3))</f>
        <v/>
      </c>
    </row>
    <row r="4" spans="1:43" ht="20.149999999999999" x14ac:dyDescent="0.5">
      <c r="B4" s="341" t="s">
        <v>1237</v>
      </c>
      <c r="C4" s="306">
        <v>0</v>
      </c>
      <c r="J4" s="330" t="s">
        <v>863</v>
      </c>
      <c r="L4" s="328" t="str">
        <f>N4</f>
        <v>Gas (0ppm)</v>
      </c>
      <c r="M4" s="328">
        <v>1</v>
      </c>
      <c r="N4" s="328" t="s">
        <v>845</v>
      </c>
      <c r="O4" s="328">
        <f>'[5]MJS Controls'!D20</f>
        <v>55</v>
      </c>
      <c r="AF4" s="114" t="s">
        <v>1260</v>
      </c>
      <c r="AG4" s="114">
        <f>IF(C1*D7&gt;0, AG3+1, AG3)</f>
        <v>0</v>
      </c>
      <c r="AH4" s="114" t="s">
        <v>1267</v>
      </c>
      <c r="AI4" s="114">
        <f>C1</f>
        <v>0</v>
      </c>
      <c r="AK4" s="114" t="s">
        <v>1270</v>
      </c>
      <c r="AL4" s="415" t="s">
        <v>799</v>
      </c>
      <c r="AM4" s="415" t="s">
        <v>639</v>
      </c>
      <c r="AQ4" s="114" t="str">
        <f>IF(AG3=AG4,"",_xlfn.CONCAT("
",AG4," - ",AK4,AI4," ",AH4,"
",REPT(" ",8),AG4,".1 - ",AL4))</f>
        <v/>
      </c>
    </row>
    <row r="5" spans="1:43" x14ac:dyDescent="0.4">
      <c r="J5" s="330" t="s">
        <v>863</v>
      </c>
      <c r="L5" s="328" t="str">
        <f>N5</f>
        <v>Gas (50ppm)</v>
      </c>
      <c r="M5" s="328">
        <v>1</v>
      </c>
      <c r="N5" s="328" t="s">
        <v>846</v>
      </c>
      <c r="O5" s="328">
        <f>'[5]MJS Controls'!D21</f>
        <v>55</v>
      </c>
      <c r="AF5" s="114" t="s">
        <v>1261</v>
      </c>
      <c r="AG5" s="114">
        <f>IF(C3*D8&gt;0,AG4+1,AG4)</f>
        <v>0</v>
      </c>
      <c r="AH5" s="114" t="str">
        <f>AH4</f>
        <v>CO Sensor</v>
      </c>
      <c r="AI5" s="114">
        <f>C3</f>
        <v>0</v>
      </c>
      <c r="AJ5" s="114">
        <f>C1</f>
        <v>0</v>
      </c>
      <c r="AK5" s="114" t="s">
        <v>798</v>
      </c>
      <c r="AL5" s="415" t="s">
        <v>799</v>
      </c>
      <c r="AM5" s="415" t="s">
        <v>1280</v>
      </c>
      <c r="AN5" s="415" t="s">
        <v>1281</v>
      </c>
      <c r="AQ5" s="114" t="str">
        <f>IF(AG4=AG5,"",_xlfn.CONCAT("
",AG5," - ",AK5,AJ5," ",AH5,AM5,AI5,AN5,"
",REPT(" ",8),AG5,".1 - ",AL5))</f>
        <v/>
      </c>
    </row>
    <row r="6" spans="1:43" ht="20.149999999999999" x14ac:dyDescent="0.5">
      <c r="D6" s="310" t="s">
        <v>843</v>
      </c>
      <c r="E6" s="310" t="s">
        <v>717</v>
      </c>
      <c r="F6" s="339" t="s">
        <v>716</v>
      </c>
      <c r="G6" s="339" t="s">
        <v>893</v>
      </c>
      <c r="I6" s="350" t="s">
        <v>903</v>
      </c>
      <c r="J6" s="330" t="s">
        <v>863</v>
      </c>
      <c r="L6" s="328" t="s">
        <v>716</v>
      </c>
      <c r="M6" s="328">
        <v>1</v>
      </c>
      <c r="N6" s="328" t="s">
        <v>716</v>
      </c>
      <c r="O6" s="328">
        <f>'[5]MJS Controls'!D19</f>
        <v>110</v>
      </c>
      <c r="AF6" s="114" t="str">
        <f>B9</f>
        <v>Smoke Detector</v>
      </c>
      <c r="AG6" s="114">
        <f>IF(D9&gt;0,AG5+1,AG5)</f>
        <v>0</v>
      </c>
      <c r="AH6" s="114" t="str">
        <f>AF6</f>
        <v>Smoke Detector</v>
      </c>
      <c r="AI6" s="114">
        <f>D9</f>
        <v>0</v>
      </c>
      <c r="AK6" s="114" t="s">
        <v>1270</v>
      </c>
      <c r="AL6" s="415" t="s">
        <v>1272</v>
      </c>
      <c r="AM6" s="415" t="s">
        <v>639</v>
      </c>
      <c r="AQ6" s="114" t="str">
        <f>IF(AG5=AG6,"",_xlfn.CONCAT("
",AG6," - ",AK6,AI6," ",AH6, "
",REPT(" ",8),AG6,".1 - ",AL6,  "
",REPT(" ",8),AG6,".2 - ",AM6,  "
",REPT(" ",8),AG6,".3 - ",AN6))</f>
        <v/>
      </c>
    </row>
    <row r="7" spans="1:43" ht="20.149999999999999" x14ac:dyDescent="0.5">
      <c r="B7" s="310" t="s">
        <v>890</v>
      </c>
      <c r="C7" s="305" t="s">
        <v>886</v>
      </c>
      <c r="D7" s="286">
        <f>IF(C7="Yes", 1, 0)</f>
        <v>0</v>
      </c>
      <c r="E7" s="291">
        <f>E15+E52+E34</f>
        <v>0</v>
      </c>
      <c r="F7" s="340">
        <f>C26+C63+C47</f>
        <v>0</v>
      </c>
      <c r="G7" s="291">
        <f>E15+E26+E52+E63+E34+E47</f>
        <v>0</v>
      </c>
      <c r="I7" s="351">
        <f>F3-F8-C27</f>
        <v>0</v>
      </c>
      <c r="J7" s="330" t="s">
        <v>863</v>
      </c>
      <c r="L7" s="328" t="s">
        <v>848</v>
      </c>
      <c r="M7" s="328">
        <v>2</v>
      </c>
      <c r="N7" s="328" t="s">
        <v>851</v>
      </c>
      <c r="O7" s="328">
        <v>72.5</v>
      </c>
      <c r="AF7" s="114" t="str">
        <f t="shared" ref="AF7:AF9" si="0">B10</f>
        <v>Occupancy Sensor</v>
      </c>
      <c r="AG7" s="114">
        <f t="shared" ref="AG7:AG9" si="1">IF(D10&gt;0,AG6+1,AG6)</f>
        <v>0</v>
      </c>
      <c r="AH7" s="114" t="str">
        <f t="shared" ref="AH7:AH9" si="2">AF7</f>
        <v>Occupancy Sensor</v>
      </c>
      <c r="AI7" s="114">
        <f t="shared" ref="AI7:AI9" si="3">D10</f>
        <v>0</v>
      </c>
      <c r="AK7" s="114" t="s">
        <v>1270</v>
      </c>
      <c r="AL7" s="415" t="s">
        <v>1272</v>
      </c>
      <c r="AM7" s="415" t="s">
        <v>639</v>
      </c>
      <c r="AQ7" s="114" t="str">
        <f t="shared" ref="AQ7:AQ9" si="4">IF(AG6=AG7,"",_xlfn.CONCAT("
",AG7," - ",AK7,AI7," ",AH7, "
",REPT(" ",8),AG7,".1 - ",AL7,  "
",REPT(" ",8),AG7,".2 - ",AM7,  "
",REPT(" ",8),AG7,".3 - ",AN7))</f>
        <v/>
      </c>
    </row>
    <row r="8" spans="1:43" ht="20.149999999999999" x14ac:dyDescent="0.5">
      <c r="B8" s="310" t="s">
        <v>909</v>
      </c>
      <c r="C8" s="305" t="s">
        <v>886</v>
      </c>
      <c r="D8" s="286">
        <f>IF(C8="Yes", C3, 0)</f>
        <v>0</v>
      </c>
      <c r="E8" s="291">
        <f>IF(D8=0,0,E77+E73+E69+E68)</f>
        <v>0</v>
      </c>
      <c r="F8" s="340">
        <f>IF(D8=0,0,D82)</f>
        <v>0</v>
      </c>
      <c r="G8" s="291">
        <f>IF(D8=0,0,E82+E8)</f>
        <v>0</v>
      </c>
      <c r="J8" s="330" t="s">
        <v>863</v>
      </c>
      <c r="L8" s="328" t="s">
        <v>801</v>
      </c>
      <c r="M8" s="328">
        <v>2</v>
      </c>
      <c r="N8" s="328" t="s">
        <v>801</v>
      </c>
      <c r="O8" s="328">
        <f>'[5]MJS Controls'!D18</f>
        <v>110</v>
      </c>
      <c r="AF8" s="114" t="str">
        <f t="shared" si="0"/>
        <v>IO-IRM-A</v>
      </c>
      <c r="AG8" s="114">
        <f t="shared" si="1"/>
        <v>0</v>
      </c>
      <c r="AH8" s="114" t="s">
        <v>1268</v>
      </c>
      <c r="AI8" s="114">
        <f t="shared" si="3"/>
        <v>0</v>
      </c>
      <c r="AK8" s="114" t="s">
        <v>1270</v>
      </c>
      <c r="AL8" s="415" t="s">
        <v>1272</v>
      </c>
      <c r="AM8" s="415" t="s">
        <v>639</v>
      </c>
      <c r="AQ8" s="114" t="str">
        <f t="shared" si="4"/>
        <v/>
      </c>
    </row>
    <row r="9" spans="1:43" ht="20.149999999999999" x14ac:dyDescent="0.5">
      <c r="B9" s="310" t="s">
        <v>868</v>
      </c>
      <c r="C9" s="305" t="s">
        <v>886</v>
      </c>
      <c r="D9" s="286">
        <f>IF(C9="Yes", 1, 0)</f>
        <v>0</v>
      </c>
      <c r="E9" s="291">
        <f>O39*D9</f>
        <v>0</v>
      </c>
      <c r="F9" s="340"/>
      <c r="G9" s="291">
        <f>E9</f>
        <v>0</v>
      </c>
      <c r="I9" s="350" t="s">
        <v>906</v>
      </c>
      <c r="J9" s="330" t="s">
        <v>863</v>
      </c>
      <c r="AF9" s="114" t="str">
        <f t="shared" si="0"/>
        <v>Stand Alone Fire Panel</v>
      </c>
      <c r="AG9" s="114">
        <f t="shared" si="1"/>
        <v>0</v>
      </c>
      <c r="AH9" s="114" t="str">
        <f t="shared" si="2"/>
        <v>Stand Alone Fire Panel</v>
      </c>
      <c r="AI9" s="114">
        <f t="shared" si="3"/>
        <v>0</v>
      </c>
      <c r="AK9" s="114" t="s">
        <v>1270</v>
      </c>
      <c r="AL9" s="415" t="s">
        <v>1272</v>
      </c>
      <c r="AM9" s="415" t="s">
        <v>639</v>
      </c>
      <c r="AQ9" s="114" t="str">
        <f t="shared" si="4"/>
        <v/>
      </c>
    </row>
    <row r="10" spans="1:43" ht="20.149999999999999" x14ac:dyDescent="0.5">
      <c r="B10" s="310" t="s">
        <v>888</v>
      </c>
      <c r="C10" s="305" t="s">
        <v>886</v>
      </c>
      <c r="D10" s="286">
        <f t="shared" ref="D10:D12" si="5">IF(C10="Yes", 1, 0)</f>
        <v>0</v>
      </c>
      <c r="E10" s="291">
        <f>O44*D10</f>
        <v>0</v>
      </c>
      <c r="F10" s="340"/>
      <c r="G10" s="291">
        <f t="shared" ref="G10:G11" si="6">E10</f>
        <v>0</v>
      </c>
      <c r="I10" s="352">
        <f>E82</f>
        <v>0</v>
      </c>
      <c r="J10" s="330" t="s">
        <v>863</v>
      </c>
      <c r="AG10" s="114">
        <f>AG9</f>
        <v>0</v>
      </c>
      <c r="AQ10" s="114" t="str">
        <f t="shared" ref="AQ10:AQ11" si="7">IF(AG9=AG10,"",_xlfn.CONCAT("
",AG10," - ",AK10,AI10," ",AH10, "
",REPT(" ",8),AG10,".1 - ",AL10,  "
",REPT(" ",8),AG10,".2 - ",AM10,  "
",REPT(" ",8),AG10,".3 - ",AN10))</f>
        <v/>
      </c>
    </row>
    <row r="11" spans="1:43" ht="20.149999999999999" x14ac:dyDescent="0.5">
      <c r="B11" s="310" t="s">
        <v>884</v>
      </c>
      <c r="C11" s="305" t="s">
        <v>886</v>
      </c>
      <c r="D11" s="286">
        <f t="shared" si="5"/>
        <v>0</v>
      </c>
      <c r="E11" s="291">
        <f>O34*D11</f>
        <v>0</v>
      </c>
      <c r="F11" s="340"/>
      <c r="G11" s="291">
        <f t="shared" si="6"/>
        <v>0</v>
      </c>
      <c r="I11" s="350" t="s">
        <v>907</v>
      </c>
      <c r="J11" s="330" t="s">
        <v>863</v>
      </c>
      <c r="L11" s="328" t="s">
        <v>798</v>
      </c>
      <c r="AG11" s="114">
        <f t="shared" ref="AG11:AG13" si="8">AG10</f>
        <v>0</v>
      </c>
      <c r="AQ11" s="114" t="str">
        <f t="shared" si="7"/>
        <v/>
      </c>
    </row>
    <row r="12" spans="1:43" ht="20.149999999999999" x14ac:dyDescent="0.5">
      <c r="B12" s="310" t="s">
        <v>889</v>
      </c>
      <c r="C12" s="305" t="s">
        <v>886</v>
      </c>
      <c r="D12" s="286">
        <f t="shared" si="5"/>
        <v>0</v>
      </c>
      <c r="E12" s="291">
        <f>IF(D12=0,0,E85)</f>
        <v>0</v>
      </c>
      <c r="F12" s="340">
        <f>IF(D12=0,0,C89)</f>
        <v>0</v>
      </c>
      <c r="G12" s="291">
        <f>IF(D12=0,0,E89+E12)</f>
        <v>0</v>
      </c>
      <c r="I12" s="352">
        <f>E8</f>
        <v>0</v>
      </c>
      <c r="J12" s="330" t="s">
        <v>863</v>
      </c>
      <c r="L12" s="328" t="s">
        <v>852</v>
      </c>
      <c r="M12" s="329" t="s">
        <v>853</v>
      </c>
      <c r="AG12" s="114">
        <f t="shared" si="8"/>
        <v>0</v>
      </c>
      <c r="AQ12" s="114" t="str">
        <f t="shared" ref="AQ12" si="9">IF(AG11=AG12,"",_xlfn.CONCAT("
",AG12," - ",AK12,AI12,AH12, "
",REPT(" ",8),AG12,".1 - ",AL12,  "
",REPT(" ",8),AG12,".2 - ",AM12,  "
",REPT(" ",8),AG12,".3 - ",AN12))</f>
        <v/>
      </c>
    </row>
    <row r="13" spans="1:43" ht="43.75" x14ac:dyDescent="0.4">
      <c r="J13" s="330" t="s">
        <v>863</v>
      </c>
      <c r="L13" s="328" t="s">
        <v>799</v>
      </c>
      <c r="AG13" s="114">
        <f t="shared" si="8"/>
        <v>0</v>
      </c>
      <c r="AQ13" s="282" t="s">
        <v>1283</v>
      </c>
    </row>
    <row r="14" spans="1:43" ht="20.149999999999999" x14ac:dyDescent="0.5">
      <c r="B14" s="310" t="s">
        <v>891</v>
      </c>
      <c r="C14" s="565" t="s">
        <v>1251</v>
      </c>
      <c r="D14" s="566"/>
      <c r="E14" s="567"/>
      <c r="J14" s="330" t="s">
        <v>863</v>
      </c>
      <c r="AF14" s="114" t="s">
        <v>1018</v>
      </c>
      <c r="AG14" s="114">
        <f>AG13+1</f>
        <v>1</v>
      </c>
      <c r="AH14" s="114" t="s">
        <v>1018</v>
      </c>
      <c r="AK14" s="114" t="s">
        <v>1279</v>
      </c>
      <c r="AL14" s="114" t="s">
        <v>1277</v>
      </c>
      <c r="AM14" s="114" t="s">
        <v>1278</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894</v>
      </c>
      <c r="D15" s="309" t="s">
        <v>895</v>
      </c>
      <c r="E15" s="308">
        <f>SUM(E16:E23)</f>
        <v>0</v>
      </c>
      <c r="I15" s="444"/>
      <c r="J15" s="330" t="s">
        <v>863</v>
      </c>
      <c r="L15" s="307" t="s">
        <v>881</v>
      </c>
      <c r="M15" s="307"/>
      <c r="N15" s="307"/>
      <c r="O15" s="307"/>
      <c r="P15" s="307" t="s">
        <v>882</v>
      </c>
      <c r="Q15" s="307" t="s">
        <v>883</v>
      </c>
    </row>
    <row r="16" spans="1:43" x14ac:dyDescent="0.4">
      <c r="B16" s="338" t="str">
        <f>IF($C$1&gt;5, M16,M17)</f>
        <v>ECB-350</v>
      </c>
      <c r="C16" s="338">
        <f>IF($C$7="Yes",IF($C$1&gt;5,N16,N17),0)</f>
        <v>0</v>
      </c>
      <c r="D16" s="338">
        <f>IF($C$1&gt;5, O16,O17)</f>
        <v>725</v>
      </c>
      <c r="E16" s="338">
        <f>D16*C16</f>
        <v>0</v>
      </c>
      <c r="H16" s="444"/>
      <c r="J16" s="330" t="s">
        <v>863</v>
      </c>
      <c r="L16" s="114" t="s">
        <v>770</v>
      </c>
      <c r="M16" s="114" t="s">
        <v>892</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863</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863</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863</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863</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863</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863</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863</v>
      </c>
    </row>
    <row r="25" spans="2:26" x14ac:dyDescent="0.4">
      <c r="B25" s="338"/>
      <c r="C25" s="338"/>
      <c r="D25" s="338"/>
      <c r="E25" s="338"/>
      <c r="J25" s="330" t="s">
        <v>863</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896</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897</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898</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899</v>
      </c>
      <c r="C30" s="338">
        <f>IF($C$7="Yes",N29,0)</f>
        <v>0</v>
      </c>
      <c r="D30" s="338">
        <f>O29</f>
        <v>85</v>
      </c>
      <c r="E30" s="338">
        <f t="shared" si="13"/>
        <v>0</v>
      </c>
    </row>
    <row r="31" spans="2:26" x14ac:dyDescent="0.4">
      <c r="B31" s="338" t="s">
        <v>900</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65" t="s">
        <v>1252</v>
      </c>
      <c r="D33" s="566"/>
      <c r="E33" s="567"/>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884</v>
      </c>
      <c r="N34" s="114">
        <v>1</v>
      </c>
      <c r="O34" s="114">
        <v>200</v>
      </c>
      <c r="Y34" s="66" t="s">
        <v>406</v>
      </c>
      <c r="AA34" s="122" t="s">
        <v>245</v>
      </c>
    </row>
    <row r="35" spans="2:30" x14ac:dyDescent="0.4">
      <c r="B35" s="338" t="s">
        <v>1040</v>
      </c>
      <c r="C35" s="338">
        <f>$C$2*$D$7*1</f>
        <v>0</v>
      </c>
      <c r="D35" s="338">
        <f>VLOOKUP(B35,'Part List'!A:G,3,FALSE)</f>
        <v>43.44</v>
      </c>
      <c r="E35" s="338">
        <f>D35*C35</f>
        <v>0</v>
      </c>
      <c r="Y35" s="66" t="s">
        <v>328</v>
      </c>
      <c r="Z35" s="121" t="s">
        <v>242</v>
      </c>
    </row>
    <row r="36" spans="2:30" x14ac:dyDescent="0.4">
      <c r="B36" s="338" t="s">
        <v>1250</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1039</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1236</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1344</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1253</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1003</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887</v>
      </c>
      <c r="N44" s="114">
        <v>1</v>
      </c>
      <c r="O44" s="114">
        <v>120</v>
      </c>
      <c r="Y44" s="66" t="s">
        <v>402</v>
      </c>
      <c r="AB44" s="121" t="s">
        <v>274</v>
      </c>
    </row>
    <row r="45" spans="2:30" x14ac:dyDescent="0.4">
      <c r="B45" s="338" t="s">
        <v>267</v>
      </c>
      <c r="C45" s="458">
        <f>IF(ISNUMBER(F45),F45,$C$2*$D$7*15)</f>
        <v>0</v>
      </c>
      <c r="D45" s="338">
        <f>VLOOKUP(B45,'Part List'!A:G,3,FALSE)</f>
        <v>3.48</v>
      </c>
      <c r="E45" s="338">
        <f t="shared" si="21"/>
        <v>0</v>
      </c>
      <c r="F45" s="458" t="s">
        <v>1255</v>
      </c>
      <c r="Y45" s="66" t="s">
        <v>408</v>
      </c>
      <c r="Z45" s="121" t="s">
        <v>362</v>
      </c>
    </row>
    <row r="46" spans="2:30" x14ac:dyDescent="0.4">
      <c r="B46" s="338" t="s">
        <v>1254</v>
      </c>
      <c r="C46" s="458">
        <f>IF(ISNUMBER(F46),F46,$C$2*$D$7*35)</f>
        <v>0</v>
      </c>
      <c r="D46" s="338">
        <f>VLOOKUP(B46,'Part List'!A:G,3,FALSE)</f>
        <v>5.8</v>
      </c>
      <c r="E46" s="338">
        <f t="shared" si="21"/>
        <v>0</v>
      </c>
      <c r="F46" s="458" t="s">
        <v>1255</v>
      </c>
    </row>
    <row r="47" spans="2:30" x14ac:dyDescent="0.4">
      <c r="B47" s="309" t="s">
        <v>716</v>
      </c>
      <c r="C47" s="345">
        <f>SUM(C48:C49)</f>
        <v>0</v>
      </c>
      <c r="D47" s="308">
        <f>SUM(D48:D49)</f>
        <v>170</v>
      </c>
      <c r="E47" s="308">
        <f>SUM(E48:E49)</f>
        <v>0</v>
      </c>
    </row>
    <row r="48" spans="2:30" x14ac:dyDescent="0.4">
      <c r="B48" s="459" t="s">
        <v>890</v>
      </c>
      <c r="C48" s="458">
        <f>(C46+C45)/20</f>
        <v>0</v>
      </c>
      <c r="D48" s="338">
        <v>85</v>
      </c>
      <c r="E48" s="338">
        <f>C48*D48</f>
        <v>0</v>
      </c>
    </row>
    <row r="49" spans="2:6" x14ac:dyDescent="0.4">
      <c r="B49" s="459" t="s">
        <v>1018</v>
      </c>
      <c r="C49" s="458">
        <f>$C$2*$D$7*1</f>
        <v>0</v>
      </c>
      <c r="D49" s="338">
        <v>85</v>
      </c>
      <c r="E49" s="338">
        <f>C49*D49</f>
        <v>0</v>
      </c>
    </row>
    <row r="50" spans="2:6" x14ac:dyDescent="0.4">
      <c r="B50" s="114"/>
    </row>
    <row r="51" spans="2:6" ht="20.149999999999999" x14ac:dyDescent="0.5">
      <c r="B51" s="310" t="s">
        <v>1235</v>
      </c>
    </row>
    <row r="52" spans="2:6" x14ac:dyDescent="0.4">
      <c r="B52" s="309" t="s">
        <v>717</v>
      </c>
      <c r="C52" s="309" t="s">
        <v>894</v>
      </c>
      <c r="D52" s="309" t="s">
        <v>895</v>
      </c>
      <c r="E52" s="308">
        <f>SUM(E53:E62)</f>
        <v>0</v>
      </c>
    </row>
    <row r="53" spans="2:6" x14ac:dyDescent="0.4">
      <c r="B53" s="443" t="s">
        <v>1039</v>
      </c>
      <c r="C53" s="443">
        <f>1*$C$4</f>
        <v>0</v>
      </c>
      <c r="D53" s="443">
        <f>VLOOKUP(B53,'Part List'!A:G,3,FALSE)</f>
        <v>46.46</v>
      </c>
      <c r="E53" s="443">
        <f>C53*D53</f>
        <v>0</v>
      </c>
    </row>
    <row r="54" spans="2:6" x14ac:dyDescent="0.4">
      <c r="B54" s="443" t="s">
        <v>985</v>
      </c>
      <c r="C54" s="443">
        <f t="shared" ref="C54:C59" si="23">1*$C$4</f>
        <v>0</v>
      </c>
      <c r="D54" s="443">
        <f>VLOOKUP(B54,'Part List'!A:G,3,FALSE)</f>
        <v>307.2</v>
      </c>
      <c r="E54" s="443">
        <f t="shared" ref="E54:E61" si="24">C54*D54</f>
        <v>0</v>
      </c>
    </row>
    <row r="55" spans="2:6" x14ac:dyDescent="0.4">
      <c r="B55" s="443" t="s">
        <v>326</v>
      </c>
      <c r="C55" s="443">
        <f t="shared" si="23"/>
        <v>0</v>
      </c>
      <c r="D55" s="443">
        <f>VLOOKUP(B55,'Part List'!A:G,3,FALSE)</f>
        <v>24.2</v>
      </c>
      <c r="E55" s="443">
        <f t="shared" si="24"/>
        <v>0</v>
      </c>
    </row>
    <row r="56" spans="2:6" x14ac:dyDescent="0.4">
      <c r="B56" s="443" t="s">
        <v>1003</v>
      </c>
      <c r="C56" s="443">
        <f>2*$C$4</f>
        <v>0</v>
      </c>
      <c r="D56" s="443">
        <f>VLOOKUP(B56,'Part List'!A:G,3,FALSE)</f>
        <v>16</v>
      </c>
      <c r="E56" s="443">
        <f t="shared" si="24"/>
        <v>0</v>
      </c>
    </row>
    <row r="57" spans="2:6" x14ac:dyDescent="0.4">
      <c r="B57" s="443" t="s">
        <v>999</v>
      </c>
      <c r="C57" s="443">
        <f t="shared" si="23"/>
        <v>0</v>
      </c>
      <c r="D57" s="443">
        <f>VLOOKUP(B57,'Part List'!A:G,3,FALSE)</f>
        <v>60</v>
      </c>
      <c r="E57" s="443">
        <f t="shared" si="24"/>
        <v>0</v>
      </c>
    </row>
    <row r="58" spans="2:6" x14ac:dyDescent="0.4">
      <c r="B58" s="443" t="s">
        <v>304</v>
      </c>
      <c r="C58" s="443">
        <f t="shared" si="23"/>
        <v>0</v>
      </c>
      <c r="D58" s="443">
        <f>VLOOKUP(B58,'Part List'!A:G,3,FALSE)</f>
        <v>57.95</v>
      </c>
      <c r="E58" s="443">
        <f t="shared" si="24"/>
        <v>0</v>
      </c>
    </row>
    <row r="59" spans="2:6" x14ac:dyDescent="0.4">
      <c r="B59" s="443" t="s">
        <v>1236</v>
      </c>
      <c r="C59" s="443">
        <f t="shared" si="23"/>
        <v>0</v>
      </c>
      <c r="D59" s="443">
        <f>VLOOKUP(B59,'Part List'!A:G,3,FALSE)</f>
        <v>360</v>
      </c>
      <c r="E59" s="443">
        <f t="shared" si="24"/>
        <v>0</v>
      </c>
    </row>
    <row r="60" spans="2:6" x14ac:dyDescent="0.4">
      <c r="B60" s="443" t="s">
        <v>267</v>
      </c>
      <c r="C60" s="458">
        <f>IF(ISNUMBER(F62),F62,$C$4*$D$7*15)</f>
        <v>0</v>
      </c>
      <c r="D60" s="443">
        <f>VLOOKUP(B60,'Part List'!A:G,3,FALSE)</f>
        <v>3.48</v>
      </c>
      <c r="E60" s="443">
        <f t="shared" si="24"/>
        <v>0</v>
      </c>
    </row>
    <row r="61" spans="2:6" x14ac:dyDescent="0.4">
      <c r="B61" s="443" t="s">
        <v>269</v>
      </c>
      <c r="C61" s="458">
        <f>IF(ISNUMBER(F63),F63,$C$4*$D$7*10)</f>
        <v>0</v>
      </c>
      <c r="D61" s="443">
        <f>VLOOKUP(B61,'Part List'!A:G,3,FALSE)</f>
        <v>1.056</v>
      </c>
      <c r="E61" s="443">
        <f t="shared" si="24"/>
        <v>0</v>
      </c>
    </row>
    <row r="62" spans="2:6" x14ac:dyDescent="0.4">
      <c r="B62" s="443" t="s">
        <v>1344</v>
      </c>
      <c r="C62" s="443">
        <f>1*$C$4</f>
        <v>0</v>
      </c>
      <c r="D62" s="443">
        <f>VLOOKUP(B62,'Part List'!A:G,3,FALSE)</f>
        <v>91.05</v>
      </c>
      <c r="E62" s="443">
        <f t="shared" ref="E62" si="25">C62*D62</f>
        <v>0</v>
      </c>
      <c r="F62" s="458" t="s">
        <v>1255</v>
      </c>
    </row>
    <row r="63" spans="2:6" x14ac:dyDescent="0.4">
      <c r="B63" s="309" t="s">
        <v>716</v>
      </c>
      <c r="C63" s="345">
        <f>SUM(C64:C65)</f>
        <v>0</v>
      </c>
      <c r="D63" s="345">
        <f t="shared" ref="D63:E63" si="26">SUM(D64:D65)</f>
        <v>170</v>
      </c>
      <c r="E63" s="345">
        <f t="shared" si="26"/>
        <v>0</v>
      </c>
      <c r="F63" s="458" t="s">
        <v>1255</v>
      </c>
    </row>
    <row r="64" spans="2:6" x14ac:dyDescent="0.4">
      <c r="B64" s="443" t="s">
        <v>1238</v>
      </c>
      <c r="C64" s="443">
        <f>4*$C$4</f>
        <v>0</v>
      </c>
      <c r="D64" s="443">
        <v>85</v>
      </c>
      <c r="E64" s="443">
        <f>C64*D64</f>
        <v>0</v>
      </c>
    </row>
    <row r="65" spans="2:5" x14ac:dyDescent="0.4">
      <c r="B65" s="443" t="s">
        <v>1239</v>
      </c>
      <c r="C65" s="443">
        <f>4*$C$4</f>
        <v>0</v>
      </c>
      <c r="D65" s="443">
        <v>85</v>
      </c>
      <c r="E65" s="443">
        <f>C65*D65</f>
        <v>0</v>
      </c>
    </row>
    <row r="67" spans="2:5" ht="20.149999999999999" x14ac:dyDescent="0.5">
      <c r="B67" s="310" t="s">
        <v>848</v>
      </c>
    </row>
    <row r="68" spans="2:5" x14ac:dyDescent="0.4">
      <c r="B68" s="333" t="s">
        <v>796</v>
      </c>
      <c r="C68" s="334">
        <v>0</v>
      </c>
      <c r="D68" s="335"/>
      <c r="E68" s="308">
        <f>C68*$C$3</f>
        <v>0</v>
      </c>
    </row>
    <row r="69" spans="2:5" x14ac:dyDescent="0.4">
      <c r="B69" s="333" t="s">
        <v>800</v>
      </c>
      <c r="C69" s="334">
        <v>0</v>
      </c>
      <c r="D69" s="335"/>
      <c r="E69" s="308">
        <f>C69*$C$3*C1</f>
        <v>0</v>
      </c>
    </row>
    <row r="70" spans="2:5" x14ac:dyDescent="0.4">
      <c r="B70" s="335"/>
      <c r="C70" s="335"/>
      <c r="D70" s="335"/>
      <c r="E70" s="334"/>
    </row>
    <row r="71" spans="2:5" x14ac:dyDescent="0.4">
      <c r="B71" s="333" t="s">
        <v>742</v>
      </c>
      <c r="C71" s="335" t="str">
        <f>'Job Summary'!E2</f>
        <v>[LOCATION]</v>
      </c>
      <c r="D71" s="335"/>
      <c r="E71" s="334"/>
    </row>
    <row r="72" spans="2:5" x14ac:dyDescent="0.4">
      <c r="B72" s="333" t="s">
        <v>793</v>
      </c>
      <c r="C72" s="336">
        <v>0</v>
      </c>
      <c r="D72" s="335"/>
      <c r="E72" s="334"/>
    </row>
    <row r="73" spans="2:5" x14ac:dyDescent="0.4">
      <c r="B73" s="309" t="s">
        <v>794</v>
      </c>
      <c r="C73" s="308">
        <f>C72*O3</f>
        <v>0</v>
      </c>
      <c r="D73" s="309" t="s">
        <v>794</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850</v>
      </c>
      <c r="C79" s="336">
        <f>M7*A1</f>
        <v>0</v>
      </c>
      <c r="D79" s="336">
        <f>IF($C$3&gt;0,C79, 0)</f>
        <v>0</v>
      </c>
      <c r="E79" s="308">
        <f>D79*O7</f>
        <v>0</v>
      </c>
    </row>
    <row r="80" spans="2:5" x14ac:dyDescent="0.4">
      <c r="B80" s="336" t="s">
        <v>802</v>
      </c>
      <c r="C80" s="336">
        <f>M8*A1</f>
        <v>0</v>
      </c>
      <c r="D80" s="336">
        <f t="shared" ref="D80:D81" si="28">C80*$C$3</f>
        <v>0</v>
      </c>
      <c r="E80" s="308">
        <f>D80*O8</f>
        <v>0</v>
      </c>
    </row>
    <row r="81" spans="2:5" x14ac:dyDescent="0.4">
      <c r="B81" s="336" t="s">
        <v>849</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889</v>
      </c>
    </row>
    <row r="85" spans="2:5" x14ac:dyDescent="0.4">
      <c r="B85" s="309" t="s">
        <v>717</v>
      </c>
      <c r="C85" s="308" t="s">
        <v>894</v>
      </c>
      <c r="D85" s="309" t="s">
        <v>895</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64" priority="4">
      <formula>IF(ROW() = ROW(), TRUE, FALSE)</formula>
    </cfRule>
  </conditionalFormatting>
  <conditionalFormatting sqref="Y32">
    <cfRule type="expression" dxfId="163" priority="34">
      <formula>RIGHT(Y32,2)="  "</formula>
    </cfRule>
    <cfRule type="expression" dxfId="162" priority="35">
      <formula>RIGHT(Y32,1)=" "</formula>
    </cfRule>
  </conditionalFormatting>
  <conditionalFormatting sqref="Y32">
    <cfRule type="expression" dxfId="161" priority="33">
      <formula>IF(ROW() = ROW(), TRUE, FALSE)</formula>
    </cfRule>
  </conditionalFormatting>
  <conditionalFormatting sqref="Y33">
    <cfRule type="expression" dxfId="160" priority="31">
      <formula>RIGHT(Y33,2)="  "</formula>
    </cfRule>
    <cfRule type="expression" dxfId="159" priority="32">
      <formula>RIGHT(Y33,1)=" "</formula>
    </cfRule>
  </conditionalFormatting>
  <conditionalFormatting sqref="Y33">
    <cfRule type="expression" dxfId="158" priority="30">
      <formula>IF(ROW() = ROW(), TRUE, FALSE)</formula>
    </cfRule>
  </conditionalFormatting>
  <conditionalFormatting sqref="Y34">
    <cfRule type="expression" dxfId="157" priority="28">
      <formula>RIGHT(Y34,2)="  "</formula>
    </cfRule>
    <cfRule type="expression" dxfId="156" priority="29">
      <formula>RIGHT(Y34,1)=" "</formula>
    </cfRule>
  </conditionalFormatting>
  <conditionalFormatting sqref="Y34">
    <cfRule type="expression" dxfId="155" priority="27">
      <formula>IF(ROW() = ROW(), TRUE, FALSE)</formula>
    </cfRule>
  </conditionalFormatting>
  <conditionalFormatting sqref="Y35">
    <cfRule type="expression" dxfId="154" priority="25">
      <formula>RIGHT(Y35,2)="  "</formula>
    </cfRule>
    <cfRule type="expression" dxfId="153" priority="26">
      <formula>RIGHT(Y35,1)=" "</formula>
    </cfRule>
  </conditionalFormatting>
  <conditionalFormatting sqref="Y35">
    <cfRule type="expression" dxfId="152" priority="24">
      <formula>IF(ROW() = ROW(), TRUE, FALSE)</formula>
    </cfRule>
  </conditionalFormatting>
  <conditionalFormatting sqref="Y36:Y41">
    <cfRule type="expression" dxfId="151" priority="22">
      <formula>RIGHT(Y36,2)="  "</formula>
    </cfRule>
    <cfRule type="expression" dxfId="150" priority="23">
      <formula>RIGHT(Y36,1)=" "</formula>
    </cfRule>
  </conditionalFormatting>
  <conditionalFormatting sqref="Y36:Y41">
    <cfRule type="expression" dxfId="149" priority="21">
      <formula>IF(ROW() = ROW(), TRUE, FALSE)</formula>
    </cfRule>
  </conditionalFormatting>
  <conditionalFormatting sqref="Y42:Y45">
    <cfRule type="expression" dxfId="148" priority="19">
      <formula>RIGHT(Y42,2)="  "</formula>
    </cfRule>
    <cfRule type="expression" dxfId="147" priority="20">
      <formula>RIGHT(Y42,1)=" "</formula>
    </cfRule>
  </conditionalFormatting>
  <conditionalFormatting sqref="Y42:Y45">
    <cfRule type="expression" dxfId="146" priority="18">
      <formula>IF(ROW() = ROW(), TRUE, FALSE)</formula>
    </cfRule>
  </conditionalFormatting>
  <conditionalFormatting sqref="Z32:Z33">
    <cfRule type="expression" dxfId="145" priority="17">
      <formula>IF(ROW() = ROW(), TRUE, FALSE)</formula>
    </cfRule>
  </conditionalFormatting>
  <conditionalFormatting sqref="Z35">
    <cfRule type="expression" dxfId="144" priority="16">
      <formula>IF(ROW() = ROW(), TRUE, FALSE)</formula>
    </cfRule>
  </conditionalFormatting>
  <conditionalFormatting sqref="Z36:Z41">
    <cfRule type="expression" dxfId="143" priority="15">
      <formula>IF(ROW() = ROW(), TRUE, FALSE)</formula>
    </cfRule>
  </conditionalFormatting>
  <conditionalFormatting sqref="Z45">
    <cfRule type="expression" dxfId="142" priority="14">
      <formula>IF(ROW() = ROW(), TRUE, FALSE)</formula>
    </cfRule>
  </conditionalFormatting>
  <conditionalFormatting sqref="AA34">
    <cfRule type="expression" dxfId="141" priority="13">
      <formula>IF(ROW() = ROW(), TRUE, FALSE)</formula>
    </cfRule>
  </conditionalFormatting>
  <conditionalFormatting sqref="AB33">
    <cfRule type="expression" dxfId="140" priority="12">
      <formula>IF(ROW() = ROW(), TRUE, FALSE)</formula>
    </cfRule>
  </conditionalFormatting>
  <conditionalFormatting sqref="AA36">
    <cfRule type="expression" dxfId="139" priority="11">
      <formula>IF(ROW() = ROW(), TRUE, FALSE)</formula>
    </cfRule>
  </conditionalFormatting>
  <conditionalFormatting sqref="AB37">
    <cfRule type="expression" dxfId="138" priority="10">
      <formula>IF(ROW() = ROW(), TRUE, FALSE)</formula>
    </cfRule>
  </conditionalFormatting>
  <conditionalFormatting sqref="AB39">
    <cfRule type="expression" dxfId="137" priority="9">
      <formula>IF(ROW() = ROW(), TRUE, FALSE)</formula>
    </cfRule>
  </conditionalFormatting>
  <conditionalFormatting sqref="AB38">
    <cfRule type="expression" dxfId="136" priority="8">
      <formula>IF(ROW() = ROW(), TRUE, FALSE)</formula>
    </cfRule>
  </conditionalFormatting>
  <conditionalFormatting sqref="AA40">
    <cfRule type="expression" dxfId="135" priority="7">
      <formula>IF(ROW() = ROW(), TRUE, FALSE)</formula>
    </cfRule>
  </conditionalFormatting>
  <conditionalFormatting sqref="AA41">
    <cfRule type="expression" dxfId="134" priority="6">
      <formula>IF(ROW() = ROW(), TRUE, FALSE)</formula>
    </cfRule>
  </conditionalFormatting>
  <conditionalFormatting sqref="AB42:AB44">
    <cfRule type="expression" dxfId="133" priority="5">
      <formula>IF(ROW() = ROW(), TRUE, FALSE)</formula>
    </cfRule>
  </conditionalFormatting>
  <dataValidations count="2">
    <dataValidation type="list" allowBlank="1" showInputMessage="1" showErrorMessage="1" sqref="C7:C12" xr:uid="{00000000-0002-0000-1000-000000000000}">
      <formula1>$A$2:$A$3</formula1>
    </dataValidation>
    <dataValidation type="list" allowBlank="1" showInputMessage="1" showErrorMessage="1" sqref="AB42:AB44 Z32:Z33 Z35 Z38:Z41 AA34 AB33 AA36 AB37:AB39 AA40:AA41" xr:uid="{00000000-0002-0000-1000-000001000000}">
      <formula1>#REF!</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39"/>
  <sheetViews>
    <sheetView workbookViewId="0">
      <pane ySplit="1" topLeftCell="A8" activePane="bottomLeft" state="frozen"/>
      <selection activeCell="J2" sqref="J2"/>
      <selection pane="bottomLeft" activeCell="J2" sqref="J2"/>
    </sheetView>
  </sheetViews>
  <sheetFormatPr defaultColWidth="9.23046875"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749</v>
      </c>
      <c r="E1" s="33" t="s">
        <v>903</v>
      </c>
      <c r="F1" s="33" t="s">
        <v>929</v>
      </c>
      <c r="G1" s="33" t="s">
        <v>742</v>
      </c>
    </row>
    <row r="2" spans="1:7" x14ac:dyDescent="0.4">
      <c r="A2" s="114" t="s">
        <v>998</v>
      </c>
      <c r="B2" s="114" t="s">
        <v>744</v>
      </c>
      <c r="C2" s="423">
        <v>19.8</v>
      </c>
      <c r="D2" s="114" t="s">
        <v>833</v>
      </c>
      <c r="E2" s="114">
        <v>0</v>
      </c>
      <c r="G2" s="114" t="s">
        <v>747</v>
      </c>
    </row>
    <row r="3" spans="1:7" x14ac:dyDescent="0.4">
      <c r="A3" s="114" t="s">
        <v>1039</v>
      </c>
      <c r="B3" s="114" t="s">
        <v>743</v>
      </c>
      <c r="C3" s="423">
        <v>46.46</v>
      </c>
      <c r="D3" s="114" t="s">
        <v>833</v>
      </c>
      <c r="E3" s="114">
        <v>0</v>
      </c>
      <c r="G3" s="114" t="s">
        <v>747</v>
      </c>
    </row>
    <row r="4" spans="1:7" x14ac:dyDescent="0.4">
      <c r="A4" s="114" t="s">
        <v>268</v>
      </c>
      <c r="C4" s="423">
        <v>0.85</v>
      </c>
      <c r="D4" s="114" t="s">
        <v>773</v>
      </c>
      <c r="E4" s="332">
        <v>0.1</v>
      </c>
    </row>
    <row r="5" spans="1:7" x14ac:dyDescent="0.4">
      <c r="A5" s="114" t="s">
        <v>304</v>
      </c>
      <c r="B5" s="114" t="s">
        <v>765</v>
      </c>
      <c r="C5" s="423">
        <v>57.95</v>
      </c>
      <c r="D5" s="114" t="s">
        <v>833</v>
      </c>
      <c r="E5" s="114">
        <v>1</v>
      </c>
      <c r="G5" s="114" t="s">
        <v>760</v>
      </c>
    </row>
    <row r="6" spans="1:7" x14ac:dyDescent="0.4">
      <c r="A6" s="114" t="s">
        <v>253</v>
      </c>
      <c r="B6" s="114" t="s">
        <v>756</v>
      </c>
      <c r="C6" s="423">
        <v>8.4499999999999993</v>
      </c>
      <c r="D6" s="114" t="s">
        <v>833</v>
      </c>
      <c r="E6" s="114">
        <v>0</v>
      </c>
      <c r="G6" s="114" t="s">
        <v>762</v>
      </c>
    </row>
    <row r="7" spans="1:7" x14ac:dyDescent="0.4">
      <c r="A7" s="114" t="s">
        <v>1040</v>
      </c>
      <c r="B7" s="114" t="s">
        <v>758</v>
      </c>
      <c r="C7" s="423">
        <v>43.44</v>
      </c>
      <c r="D7" s="114" t="s">
        <v>833</v>
      </c>
      <c r="E7" s="114">
        <v>0</v>
      </c>
      <c r="G7" s="114" t="s">
        <v>762</v>
      </c>
    </row>
    <row r="8" spans="1:7" x14ac:dyDescent="0.4">
      <c r="A8" s="114" t="s">
        <v>1000</v>
      </c>
      <c r="C8" s="423">
        <v>0</v>
      </c>
      <c r="E8" s="114">
        <v>1</v>
      </c>
    </row>
    <row r="9" spans="1:7" ht="43.75" x14ac:dyDescent="0.4">
      <c r="A9" s="114" t="s">
        <v>1344</v>
      </c>
      <c r="B9" s="282" t="s">
        <v>778</v>
      </c>
      <c r="C9" s="423">
        <f>37.8 +
53.25</f>
        <v>91.05</v>
      </c>
    </row>
    <row r="10" spans="1:7" x14ac:dyDescent="0.4">
      <c r="A10" s="117" t="s">
        <v>326</v>
      </c>
      <c r="B10" s="114" t="s">
        <v>768</v>
      </c>
      <c r="C10" s="423">
        <v>24.2</v>
      </c>
      <c r="D10" s="114" t="s">
        <v>833</v>
      </c>
      <c r="G10" s="114" t="s">
        <v>767</v>
      </c>
    </row>
    <row r="11" spans="1:7" x14ac:dyDescent="0.4">
      <c r="A11" s="440" t="s">
        <v>588</v>
      </c>
      <c r="C11" s="423">
        <v>80</v>
      </c>
      <c r="E11" s="114">
        <v>2</v>
      </c>
    </row>
    <row r="12" spans="1:7" x14ac:dyDescent="0.4">
      <c r="A12" s="114" t="s">
        <v>669</v>
      </c>
      <c r="C12" s="423">
        <v>60</v>
      </c>
    </row>
    <row r="13" spans="1:7" x14ac:dyDescent="0.4">
      <c r="A13" s="114" t="s">
        <v>1003</v>
      </c>
      <c r="B13" s="114" t="s">
        <v>754</v>
      </c>
      <c r="C13" s="423">
        <v>16</v>
      </c>
      <c r="D13" s="114" t="s">
        <v>833</v>
      </c>
      <c r="G13" s="114" t="s">
        <v>753</v>
      </c>
    </row>
    <row r="14" spans="1:7" x14ac:dyDescent="0.4">
      <c r="A14" s="114" t="s">
        <v>418</v>
      </c>
      <c r="C14" s="423">
        <v>0.28000000000000003</v>
      </c>
      <c r="E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D19" s="114" t="s">
        <v>833</v>
      </c>
    </row>
    <row r="20" spans="1:7" x14ac:dyDescent="0.4">
      <c r="A20" s="441" t="s">
        <v>986</v>
      </c>
      <c r="C20" s="423">
        <v>60</v>
      </c>
      <c r="E20" s="114">
        <v>1</v>
      </c>
    </row>
    <row r="21" spans="1:7" x14ac:dyDescent="0.4">
      <c r="A21" s="441"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1035</v>
      </c>
      <c r="E24" s="114">
        <v>0.5</v>
      </c>
      <c r="F24" s="282"/>
    </row>
    <row r="25" spans="1:7" x14ac:dyDescent="0.4">
      <c r="A25" s="441" t="s">
        <v>1018</v>
      </c>
      <c r="E25" s="114">
        <v>1</v>
      </c>
      <c r="F25" s="282"/>
    </row>
    <row r="26" spans="1:7" x14ac:dyDescent="0.4">
      <c r="A26" s="441" t="s">
        <v>1038</v>
      </c>
      <c r="E26" s="114">
        <v>1</v>
      </c>
      <c r="F26" s="282"/>
    </row>
    <row r="27" spans="1:7" x14ac:dyDescent="0.4">
      <c r="A27" s="114" t="s">
        <v>1236</v>
      </c>
      <c r="C27" s="423">
        <v>360</v>
      </c>
      <c r="F27" s="282"/>
    </row>
    <row r="28" spans="1:7" x14ac:dyDescent="0.4">
      <c r="A28" s="441" t="s">
        <v>1250</v>
      </c>
      <c r="B28" s="297" t="s">
        <v>786</v>
      </c>
      <c r="C28" s="423">
        <v>971.52</v>
      </c>
      <c r="E28" s="114">
        <v>2</v>
      </c>
      <c r="F28" s="282"/>
    </row>
    <row r="29" spans="1:7" x14ac:dyDescent="0.4">
      <c r="A29" s="114" t="s">
        <v>1061</v>
      </c>
      <c r="B29" s="114" t="s">
        <v>960</v>
      </c>
      <c r="C29" s="423">
        <v>243.55</v>
      </c>
      <c r="D29" s="114" t="s">
        <v>833</v>
      </c>
      <c r="E29" s="114">
        <v>4</v>
      </c>
      <c r="G29" s="282"/>
    </row>
    <row r="30" spans="1:7" x14ac:dyDescent="0.4">
      <c r="A30" s="114" t="s">
        <v>1062</v>
      </c>
      <c r="B30" s="114" t="s">
        <v>745</v>
      </c>
      <c r="C30" s="423">
        <v>294.60000000000002</v>
      </c>
      <c r="D30" s="114" t="s">
        <v>833</v>
      </c>
      <c r="E30" s="114">
        <v>4</v>
      </c>
    </row>
    <row r="31" spans="1:7" x14ac:dyDescent="0.4">
      <c r="A31" s="114" t="s">
        <v>1063</v>
      </c>
      <c r="B31" s="114" t="s">
        <v>963</v>
      </c>
      <c r="C31" s="423">
        <v>488.25</v>
      </c>
      <c r="D31" s="114" t="s">
        <v>833</v>
      </c>
      <c r="E31" s="114">
        <v>4</v>
      </c>
      <c r="F31" s="282"/>
    </row>
    <row r="32" spans="1:7" x14ac:dyDescent="0.4">
      <c r="A32" s="114" t="s">
        <v>1064</v>
      </c>
      <c r="B32" s="114" t="s">
        <v>969</v>
      </c>
      <c r="C32" s="423">
        <v>700.9</v>
      </c>
      <c r="D32" s="114" t="s">
        <v>833</v>
      </c>
      <c r="E32" s="114">
        <v>4</v>
      </c>
    </row>
    <row r="33" spans="1:5" x14ac:dyDescent="0.4">
      <c r="A33" s="114" t="s">
        <v>1065</v>
      </c>
      <c r="B33" s="114" t="s">
        <v>970</v>
      </c>
      <c r="C33" s="423">
        <v>243.55</v>
      </c>
      <c r="D33" s="114" t="s">
        <v>833</v>
      </c>
      <c r="E33" s="114">
        <v>4</v>
      </c>
    </row>
    <row r="34" spans="1:5" x14ac:dyDescent="0.4">
      <c r="A34" s="114" t="s">
        <v>1066</v>
      </c>
      <c r="B34" s="114" t="s">
        <v>971</v>
      </c>
      <c r="C34" s="423">
        <v>356.4</v>
      </c>
      <c r="D34" s="114" t="s">
        <v>833</v>
      </c>
      <c r="E34" s="114">
        <v>4</v>
      </c>
    </row>
    <row r="35" spans="1:5" x14ac:dyDescent="0.4">
      <c r="A35" s="114" t="s">
        <v>1067</v>
      </c>
      <c r="B35" s="114" t="s">
        <v>972</v>
      </c>
      <c r="C35" s="423">
        <v>541.75</v>
      </c>
      <c r="D35" s="114" t="s">
        <v>833</v>
      </c>
      <c r="E35" s="114">
        <v>4</v>
      </c>
    </row>
    <row r="36" spans="1:5" x14ac:dyDescent="0.4">
      <c r="A36" s="114" t="s">
        <v>1068</v>
      </c>
      <c r="B36" s="114" t="s">
        <v>973</v>
      </c>
      <c r="C36" s="423">
        <v>651</v>
      </c>
      <c r="D36" s="114" t="s">
        <v>833</v>
      </c>
      <c r="E36" s="114">
        <v>4</v>
      </c>
    </row>
    <row r="37" spans="1:5" x14ac:dyDescent="0.4">
      <c r="A37" s="114" t="s">
        <v>1069</v>
      </c>
      <c r="B37" s="114" t="s">
        <v>969</v>
      </c>
      <c r="C37" s="423">
        <v>700.9</v>
      </c>
      <c r="D37" s="114" t="s">
        <v>833</v>
      </c>
      <c r="E37" s="114">
        <v>4</v>
      </c>
    </row>
    <row r="38" spans="1:5" x14ac:dyDescent="0.4">
      <c r="A38" s="114" t="s">
        <v>1070</v>
      </c>
      <c r="B38" s="114" t="s">
        <v>1071</v>
      </c>
      <c r="C38" s="423">
        <v>999999</v>
      </c>
      <c r="D38" s="114" t="s">
        <v>1072</v>
      </c>
      <c r="E38" s="114">
        <v>999999</v>
      </c>
    </row>
    <row r="39" spans="1:5" x14ac:dyDescent="0.4">
      <c r="A39" s="114" t="s">
        <v>1073</v>
      </c>
      <c r="B39" s="114" t="s">
        <v>1074</v>
      </c>
      <c r="C39" s="423">
        <v>999999</v>
      </c>
      <c r="D39" s="114" t="s">
        <v>1072</v>
      </c>
      <c r="E39" s="114">
        <v>999999</v>
      </c>
    </row>
    <row r="40" spans="1:5" x14ac:dyDescent="0.4">
      <c r="A40" s="114" t="s">
        <v>1075</v>
      </c>
      <c r="B40" s="114" t="s">
        <v>1076</v>
      </c>
      <c r="C40" s="423">
        <v>999999</v>
      </c>
      <c r="D40" s="114" t="s">
        <v>1072</v>
      </c>
      <c r="E40" s="114">
        <v>999999</v>
      </c>
    </row>
    <row r="41" spans="1:5" x14ac:dyDescent="0.4">
      <c r="A41" s="114" t="s">
        <v>1077</v>
      </c>
      <c r="B41" s="114" t="s">
        <v>1078</v>
      </c>
      <c r="C41" s="423">
        <v>999999</v>
      </c>
      <c r="D41" s="114" t="s">
        <v>1072</v>
      </c>
      <c r="E41" s="114">
        <v>999999</v>
      </c>
    </row>
    <row r="42" spans="1:5" x14ac:dyDescent="0.4">
      <c r="A42" s="114" t="s">
        <v>1079</v>
      </c>
      <c r="B42" s="114" t="s">
        <v>1080</v>
      </c>
      <c r="C42" s="423">
        <v>999999</v>
      </c>
      <c r="D42" s="114" t="s">
        <v>1072</v>
      </c>
      <c r="E42" s="114">
        <v>999999</v>
      </c>
    </row>
    <row r="43" spans="1:5" x14ac:dyDescent="0.4">
      <c r="A43" s="114" t="s">
        <v>1081</v>
      </c>
      <c r="B43" s="114" t="s">
        <v>1082</v>
      </c>
      <c r="C43" s="423">
        <v>999999</v>
      </c>
      <c r="D43" s="114" t="s">
        <v>1072</v>
      </c>
      <c r="E43" s="114">
        <v>999999</v>
      </c>
    </row>
    <row r="44" spans="1:5" x14ac:dyDescent="0.4">
      <c r="A44" s="114" t="s">
        <v>1083</v>
      </c>
      <c r="B44" s="114" t="s">
        <v>1084</v>
      </c>
      <c r="C44" s="423">
        <v>999999</v>
      </c>
      <c r="D44" s="114" t="s">
        <v>1072</v>
      </c>
      <c r="E44" s="114">
        <v>999999</v>
      </c>
    </row>
    <row r="45" spans="1:5" x14ac:dyDescent="0.4">
      <c r="A45" s="114" t="s">
        <v>1085</v>
      </c>
      <c r="B45" s="114" t="s">
        <v>1086</v>
      </c>
      <c r="C45" s="423">
        <v>999999</v>
      </c>
      <c r="D45" s="114" t="s">
        <v>1072</v>
      </c>
      <c r="E45" s="114">
        <v>999999</v>
      </c>
    </row>
    <row r="46" spans="1:5" x14ac:dyDescent="0.4">
      <c r="A46" s="114" t="s">
        <v>1087</v>
      </c>
      <c r="B46" s="114" t="s">
        <v>1088</v>
      </c>
      <c r="C46" s="423">
        <v>999999</v>
      </c>
      <c r="D46" s="114" t="s">
        <v>1072</v>
      </c>
      <c r="E46" s="114">
        <v>999999</v>
      </c>
    </row>
    <row r="47" spans="1:5" x14ac:dyDescent="0.4">
      <c r="A47" s="114" t="s">
        <v>1089</v>
      </c>
      <c r="B47" s="114" t="s">
        <v>1090</v>
      </c>
      <c r="C47" s="423">
        <v>999999</v>
      </c>
      <c r="D47" s="114" t="s">
        <v>1072</v>
      </c>
      <c r="E47" s="114">
        <v>999999</v>
      </c>
    </row>
    <row r="48" spans="1:5" x14ac:dyDescent="0.4">
      <c r="A48" s="114" t="s">
        <v>1091</v>
      </c>
      <c r="B48" s="114" t="s">
        <v>1092</v>
      </c>
      <c r="C48" s="423">
        <v>999999</v>
      </c>
      <c r="D48" s="114" t="s">
        <v>1072</v>
      </c>
      <c r="E48" s="114">
        <v>999999</v>
      </c>
    </row>
    <row r="49" spans="1:5" x14ac:dyDescent="0.4">
      <c r="A49" s="114" t="s">
        <v>1093</v>
      </c>
      <c r="B49" s="114" t="s">
        <v>1094</v>
      </c>
      <c r="C49" s="423">
        <v>999999</v>
      </c>
      <c r="D49" s="114" t="s">
        <v>1072</v>
      </c>
      <c r="E49" s="114">
        <v>999999</v>
      </c>
    </row>
    <row r="50" spans="1:5" x14ac:dyDescent="0.4">
      <c r="A50" s="114" t="s">
        <v>1095</v>
      </c>
      <c r="B50" s="114" t="s">
        <v>1096</v>
      </c>
      <c r="C50" s="423">
        <v>999999</v>
      </c>
      <c r="D50" s="114" t="s">
        <v>1072</v>
      </c>
      <c r="E50" s="114">
        <v>999999</v>
      </c>
    </row>
    <row r="51" spans="1:5" x14ac:dyDescent="0.4">
      <c r="A51" s="114" t="s">
        <v>1097</v>
      </c>
      <c r="B51" s="114" t="s">
        <v>1098</v>
      </c>
      <c r="C51" s="423">
        <v>999999</v>
      </c>
      <c r="D51" s="114" t="s">
        <v>1072</v>
      </c>
      <c r="E51" s="114">
        <v>999999</v>
      </c>
    </row>
    <row r="52" spans="1:5" x14ac:dyDescent="0.4">
      <c r="A52" s="114" t="s">
        <v>1099</v>
      </c>
      <c r="B52" s="114" t="s">
        <v>1100</v>
      </c>
      <c r="C52" s="423">
        <v>999999</v>
      </c>
      <c r="D52" s="114" t="s">
        <v>1072</v>
      </c>
      <c r="E52" s="114">
        <v>999999</v>
      </c>
    </row>
    <row r="53" spans="1:5" x14ac:dyDescent="0.4">
      <c r="A53" s="114" t="s">
        <v>1101</v>
      </c>
      <c r="B53" s="114" t="s">
        <v>1102</v>
      </c>
      <c r="C53" s="423">
        <v>999999</v>
      </c>
      <c r="D53" s="114" t="s">
        <v>1072</v>
      </c>
      <c r="E53" s="114">
        <v>999999</v>
      </c>
    </row>
    <row r="54" spans="1:5" x14ac:dyDescent="0.4">
      <c r="A54" s="114" t="s">
        <v>1103</v>
      </c>
      <c r="B54" s="114" t="s">
        <v>1104</v>
      </c>
      <c r="C54" s="423">
        <v>999999</v>
      </c>
      <c r="D54" s="114" t="s">
        <v>1072</v>
      </c>
      <c r="E54" s="114">
        <v>999999</v>
      </c>
    </row>
    <row r="55" spans="1:5" x14ac:dyDescent="0.4">
      <c r="A55" s="114" t="s">
        <v>1105</v>
      </c>
      <c r="B55" s="114" t="s">
        <v>1106</v>
      </c>
      <c r="C55" s="423">
        <v>999999</v>
      </c>
      <c r="D55" s="114" t="s">
        <v>1072</v>
      </c>
      <c r="E55" s="114">
        <v>999999</v>
      </c>
    </row>
    <row r="56" spans="1:5" x14ac:dyDescent="0.4">
      <c r="A56" s="114" t="s">
        <v>1107</v>
      </c>
      <c r="B56" s="114" t="s">
        <v>1108</v>
      </c>
      <c r="C56" s="423">
        <v>999999</v>
      </c>
      <c r="D56" s="114" t="s">
        <v>1072</v>
      </c>
      <c r="E56" s="114">
        <v>999999</v>
      </c>
    </row>
    <row r="57" spans="1:5" x14ac:dyDescent="0.4">
      <c r="A57" s="114" t="s">
        <v>1109</v>
      </c>
      <c r="B57" s="114" t="s">
        <v>1110</v>
      </c>
      <c r="C57" s="423">
        <v>999999</v>
      </c>
      <c r="D57" s="114" t="s">
        <v>1072</v>
      </c>
      <c r="E57" s="114">
        <v>999999</v>
      </c>
    </row>
    <row r="58" spans="1:5" x14ac:dyDescent="0.4">
      <c r="A58" s="114" t="s">
        <v>1111</v>
      </c>
      <c r="B58" s="114" t="s">
        <v>1112</v>
      </c>
      <c r="C58" s="423">
        <v>999999</v>
      </c>
      <c r="D58" s="114" t="s">
        <v>1072</v>
      </c>
      <c r="E58" s="114">
        <v>999999</v>
      </c>
    </row>
    <row r="59" spans="1:5" x14ac:dyDescent="0.4">
      <c r="A59" s="114" t="s">
        <v>1113</v>
      </c>
      <c r="B59" s="114" t="s">
        <v>1114</v>
      </c>
      <c r="C59" s="423">
        <v>999999</v>
      </c>
      <c r="D59" s="114" t="s">
        <v>1072</v>
      </c>
      <c r="E59" s="114">
        <v>999999</v>
      </c>
    </row>
    <row r="60" spans="1:5" x14ac:dyDescent="0.4">
      <c r="A60" s="114" t="s">
        <v>1115</v>
      </c>
      <c r="B60" s="114" t="s">
        <v>1116</v>
      </c>
      <c r="C60" s="423">
        <v>999999</v>
      </c>
      <c r="D60" s="114" t="s">
        <v>1072</v>
      </c>
      <c r="E60" s="114">
        <v>999999</v>
      </c>
    </row>
    <row r="61" spans="1:5" x14ac:dyDescent="0.4">
      <c r="A61" s="114" t="s">
        <v>1117</v>
      </c>
      <c r="B61" s="114" t="s">
        <v>1118</v>
      </c>
      <c r="C61" s="423">
        <v>999999</v>
      </c>
      <c r="D61" s="114" t="s">
        <v>1072</v>
      </c>
      <c r="E61" s="114">
        <v>999999</v>
      </c>
    </row>
    <row r="62" spans="1:5" x14ac:dyDescent="0.4">
      <c r="A62" s="114" t="s">
        <v>1119</v>
      </c>
      <c r="B62" s="114" t="s">
        <v>1120</v>
      </c>
      <c r="C62" s="423">
        <v>999999</v>
      </c>
      <c r="D62" s="114" t="s">
        <v>1072</v>
      </c>
      <c r="E62" s="114">
        <v>999999</v>
      </c>
    </row>
    <row r="63" spans="1:5" x14ac:dyDescent="0.4">
      <c r="A63" s="114" t="s">
        <v>1121</v>
      </c>
      <c r="B63" s="114" t="s">
        <v>1122</v>
      </c>
      <c r="C63" s="423">
        <v>999999</v>
      </c>
      <c r="D63" s="114" t="s">
        <v>1072</v>
      </c>
      <c r="E63" s="114">
        <v>999999</v>
      </c>
    </row>
    <row r="64" spans="1:5" x14ac:dyDescent="0.4">
      <c r="A64" s="114" t="s">
        <v>1123</v>
      </c>
      <c r="B64" s="114" t="s">
        <v>1124</v>
      </c>
      <c r="C64" s="423">
        <v>999999</v>
      </c>
      <c r="D64" s="114" t="s">
        <v>1072</v>
      </c>
      <c r="E64" s="114">
        <v>999999</v>
      </c>
    </row>
    <row r="65" spans="1:5" x14ac:dyDescent="0.4">
      <c r="A65" s="114" t="s">
        <v>1125</v>
      </c>
      <c r="B65" s="114" t="s">
        <v>1126</v>
      </c>
      <c r="C65" s="423">
        <v>999999</v>
      </c>
      <c r="D65" s="114" t="s">
        <v>1072</v>
      </c>
      <c r="E65" s="114">
        <v>999999</v>
      </c>
    </row>
    <row r="66" spans="1:5" x14ac:dyDescent="0.4">
      <c r="A66" s="114" t="s">
        <v>1127</v>
      </c>
      <c r="B66" s="114" t="s">
        <v>1128</v>
      </c>
      <c r="C66" s="423">
        <v>999999</v>
      </c>
      <c r="D66" s="114" t="s">
        <v>1072</v>
      </c>
      <c r="E66" s="114">
        <v>999999</v>
      </c>
    </row>
    <row r="67" spans="1:5" x14ac:dyDescent="0.4">
      <c r="A67" s="114" t="s">
        <v>1129</v>
      </c>
      <c r="B67" s="114" t="s">
        <v>1130</v>
      </c>
      <c r="C67" s="423">
        <v>999999</v>
      </c>
      <c r="D67" s="114" t="s">
        <v>1072</v>
      </c>
      <c r="E67" s="114">
        <v>999999</v>
      </c>
    </row>
    <row r="68" spans="1:5" x14ac:dyDescent="0.4">
      <c r="A68" s="114" t="s">
        <v>1131</v>
      </c>
      <c r="B68" s="114" t="s">
        <v>1132</v>
      </c>
      <c r="C68" s="423">
        <v>999999</v>
      </c>
      <c r="D68" s="114" t="s">
        <v>1072</v>
      </c>
      <c r="E68" s="114">
        <v>999999</v>
      </c>
    </row>
    <row r="69" spans="1:5" x14ac:dyDescent="0.4">
      <c r="A69" s="114" t="s">
        <v>1133</v>
      </c>
      <c r="B69" s="114" t="s">
        <v>1134</v>
      </c>
      <c r="C69" s="423">
        <v>999999</v>
      </c>
      <c r="D69" s="114" t="s">
        <v>1072</v>
      </c>
      <c r="E69" s="114">
        <v>999999</v>
      </c>
    </row>
    <row r="70" spans="1:5" x14ac:dyDescent="0.4">
      <c r="A70" s="114" t="s">
        <v>1135</v>
      </c>
      <c r="B70" s="114" t="s">
        <v>1136</v>
      </c>
      <c r="C70" s="423">
        <v>999999</v>
      </c>
      <c r="D70" s="114" t="s">
        <v>1072</v>
      </c>
      <c r="E70" s="114">
        <v>999999</v>
      </c>
    </row>
    <row r="71" spans="1:5" x14ac:dyDescent="0.4">
      <c r="A71" s="114" t="s">
        <v>1137</v>
      </c>
      <c r="B71" s="114" t="s">
        <v>1138</v>
      </c>
      <c r="C71" s="423">
        <v>999999</v>
      </c>
      <c r="D71" s="114" t="s">
        <v>1072</v>
      </c>
      <c r="E71" s="114">
        <v>999999</v>
      </c>
    </row>
    <row r="72" spans="1:5" x14ac:dyDescent="0.4">
      <c r="A72" s="114" t="s">
        <v>1139</v>
      </c>
      <c r="B72" s="114" t="s">
        <v>1140</v>
      </c>
      <c r="C72" s="423">
        <v>999999</v>
      </c>
      <c r="D72" s="114" t="s">
        <v>1072</v>
      </c>
      <c r="E72" s="114">
        <v>999999</v>
      </c>
    </row>
    <row r="73" spans="1:5" x14ac:dyDescent="0.4">
      <c r="A73" s="114" t="s">
        <v>1141</v>
      </c>
      <c r="B73" s="114" t="s">
        <v>1142</v>
      </c>
      <c r="C73" s="423">
        <v>999999</v>
      </c>
      <c r="D73" s="114" t="s">
        <v>1072</v>
      </c>
      <c r="E73" s="114">
        <v>999999</v>
      </c>
    </row>
    <row r="74" spans="1:5" x14ac:dyDescent="0.4">
      <c r="A74" s="114" t="s">
        <v>1143</v>
      </c>
      <c r="B74" s="114" t="s">
        <v>1144</v>
      </c>
      <c r="C74" s="423">
        <v>999999</v>
      </c>
      <c r="D74" s="114" t="s">
        <v>1072</v>
      </c>
      <c r="E74" s="114">
        <v>999999</v>
      </c>
    </row>
    <row r="75" spans="1:5" x14ac:dyDescent="0.4">
      <c r="A75" s="114" t="s">
        <v>1145</v>
      </c>
      <c r="B75" s="114" t="s">
        <v>1146</v>
      </c>
      <c r="C75" s="423">
        <v>999999</v>
      </c>
      <c r="D75" s="114" t="s">
        <v>1072</v>
      </c>
      <c r="E75" s="114">
        <v>999999</v>
      </c>
    </row>
    <row r="76" spans="1:5" x14ac:dyDescent="0.4">
      <c r="A76" s="114" t="s">
        <v>1147</v>
      </c>
      <c r="B76" s="114" t="s">
        <v>1148</v>
      </c>
      <c r="C76" s="423">
        <v>999999</v>
      </c>
      <c r="D76" s="114" t="s">
        <v>1072</v>
      </c>
      <c r="E76" s="114">
        <v>999999</v>
      </c>
    </row>
    <row r="77" spans="1:5" x14ac:dyDescent="0.4">
      <c r="A77" s="114" t="s">
        <v>1149</v>
      </c>
      <c r="B77" s="114" t="s">
        <v>1150</v>
      </c>
      <c r="C77" s="423">
        <v>999999</v>
      </c>
      <c r="D77" s="114" t="s">
        <v>1072</v>
      </c>
      <c r="E77" s="114">
        <v>999999</v>
      </c>
    </row>
    <row r="78" spans="1:5" x14ac:dyDescent="0.4">
      <c r="A78" s="114" t="s">
        <v>1151</v>
      </c>
      <c r="B78" s="114" t="s">
        <v>1152</v>
      </c>
      <c r="C78" s="423">
        <v>999999</v>
      </c>
      <c r="D78" s="114" t="s">
        <v>1072</v>
      </c>
      <c r="E78" s="114">
        <v>999999</v>
      </c>
    </row>
    <row r="79" spans="1:5" x14ac:dyDescent="0.4">
      <c r="A79" s="114" t="s">
        <v>1153</v>
      </c>
      <c r="B79" s="114" t="s">
        <v>1154</v>
      </c>
      <c r="C79" s="423">
        <v>999999</v>
      </c>
      <c r="D79" s="114" t="s">
        <v>1072</v>
      </c>
      <c r="E79" s="114">
        <v>999999</v>
      </c>
    </row>
    <row r="80" spans="1:5" x14ac:dyDescent="0.4">
      <c r="A80" s="114" t="s">
        <v>1155</v>
      </c>
      <c r="B80" s="114" t="s">
        <v>1156</v>
      </c>
      <c r="C80" s="423">
        <v>999999</v>
      </c>
      <c r="D80" s="114" t="s">
        <v>1072</v>
      </c>
      <c r="E80" s="114">
        <v>999999</v>
      </c>
    </row>
    <row r="81" spans="1:5" x14ac:dyDescent="0.4">
      <c r="A81" s="114" t="s">
        <v>1157</v>
      </c>
      <c r="B81" s="114" t="s">
        <v>1158</v>
      </c>
      <c r="C81" s="423">
        <v>999999</v>
      </c>
      <c r="D81" s="114" t="s">
        <v>1072</v>
      </c>
      <c r="E81" s="114">
        <v>999999</v>
      </c>
    </row>
    <row r="82" spans="1:5" x14ac:dyDescent="0.4">
      <c r="A82" s="114" t="s">
        <v>1159</v>
      </c>
      <c r="B82" s="114" t="s">
        <v>1160</v>
      </c>
      <c r="C82" s="423">
        <v>999999</v>
      </c>
      <c r="D82" s="114" t="s">
        <v>1072</v>
      </c>
      <c r="E82" s="114">
        <v>999999</v>
      </c>
    </row>
    <row r="83" spans="1:5" x14ac:dyDescent="0.4">
      <c r="A83" s="114" t="s">
        <v>1161</v>
      </c>
      <c r="B83" s="114" t="s">
        <v>1162</v>
      </c>
      <c r="C83" s="423">
        <v>999999</v>
      </c>
      <c r="D83" s="114" t="s">
        <v>1072</v>
      </c>
      <c r="E83" s="114">
        <v>999999</v>
      </c>
    </row>
    <row r="84" spans="1:5" x14ac:dyDescent="0.4">
      <c r="A84" s="114" t="s">
        <v>1163</v>
      </c>
      <c r="B84" s="114" t="s">
        <v>1164</v>
      </c>
      <c r="C84" s="423">
        <v>999999</v>
      </c>
      <c r="D84" s="114" t="s">
        <v>1072</v>
      </c>
      <c r="E84" s="114">
        <v>999999</v>
      </c>
    </row>
    <row r="85" spans="1:5" x14ac:dyDescent="0.4">
      <c r="A85" s="114" t="s">
        <v>1165</v>
      </c>
      <c r="B85" s="114" t="s">
        <v>1166</v>
      </c>
      <c r="C85" s="423">
        <v>999999</v>
      </c>
      <c r="D85" s="114" t="s">
        <v>1072</v>
      </c>
      <c r="E85" s="114">
        <v>999999</v>
      </c>
    </row>
    <row r="86" spans="1:5" x14ac:dyDescent="0.4">
      <c r="A86" s="114" t="s">
        <v>1167</v>
      </c>
      <c r="B86" s="114" t="s">
        <v>1168</v>
      </c>
      <c r="C86" s="423">
        <v>999999</v>
      </c>
      <c r="D86" s="114" t="s">
        <v>1072</v>
      </c>
      <c r="E86" s="114">
        <v>999999</v>
      </c>
    </row>
    <row r="87" spans="1:5" x14ac:dyDescent="0.4">
      <c r="A87" s="114" t="s">
        <v>1169</v>
      </c>
      <c r="B87" s="114" t="s">
        <v>1170</v>
      </c>
      <c r="C87" s="423">
        <v>999999</v>
      </c>
      <c r="D87" s="114" t="s">
        <v>1072</v>
      </c>
      <c r="E87" s="114">
        <v>999999</v>
      </c>
    </row>
    <row r="88" spans="1:5" x14ac:dyDescent="0.4">
      <c r="A88" s="114" t="s">
        <v>1171</v>
      </c>
      <c r="B88" s="114" t="s">
        <v>1172</v>
      </c>
      <c r="C88" s="423">
        <v>999999</v>
      </c>
      <c r="D88" s="114" t="s">
        <v>1072</v>
      </c>
      <c r="E88" s="114">
        <v>999999</v>
      </c>
    </row>
    <row r="89" spans="1:5" x14ac:dyDescent="0.4">
      <c r="A89" s="114" t="s">
        <v>1173</v>
      </c>
      <c r="B89" s="114" t="s">
        <v>1174</v>
      </c>
      <c r="C89" s="423">
        <v>999999</v>
      </c>
      <c r="D89" s="114" t="s">
        <v>1072</v>
      </c>
      <c r="E89" s="114">
        <v>999999</v>
      </c>
    </row>
    <row r="90" spans="1:5" x14ac:dyDescent="0.4">
      <c r="A90" s="114" t="s">
        <v>1175</v>
      </c>
      <c r="B90" s="114" t="s">
        <v>1176</v>
      </c>
      <c r="C90" s="423">
        <v>999999</v>
      </c>
      <c r="D90" s="114" t="s">
        <v>1072</v>
      </c>
      <c r="E90" s="114">
        <v>999999</v>
      </c>
    </row>
    <row r="91" spans="1:5" x14ac:dyDescent="0.4">
      <c r="A91" s="114" t="s">
        <v>1177</v>
      </c>
      <c r="B91" s="114" t="s">
        <v>1178</v>
      </c>
      <c r="C91" s="423">
        <v>999999</v>
      </c>
      <c r="D91" s="114" t="s">
        <v>1072</v>
      </c>
      <c r="E91" s="114">
        <v>999999</v>
      </c>
    </row>
    <row r="92" spans="1:5" x14ac:dyDescent="0.4">
      <c r="A92" s="114" t="s">
        <v>1179</v>
      </c>
      <c r="B92" s="114" t="s">
        <v>1180</v>
      </c>
      <c r="C92" s="423">
        <v>999999</v>
      </c>
      <c r="D92" s="114" t="s">
        <v>1072</v>
      </c>
      <c r="E92" s="114">
        <v>999999</v>
      </c>
    </row>
    <row r="93" spans="1:5" x14ac:dyDescent="0.4">
      <c r="A93" s="114" t="s">
        <v>1181</v>
      </c>
      <c r="B93" s="114" t="s">
        <v>1182</v>
      </c>
      <c r="C93" s="423">
        <v>999999</v>
      </c>
      <c r="D93" s="114" t="s">
        <v>1072</v>
      </c>
      <c r="E93" s="114">
        <v>999999</v>
      </c>
    </row>
    <row r="94" spans="1:5" x14ac:dyDescent="0.4">
      <c r="A94" s="114" t="s">
        <v>1183</v>
      </c>
      <c r="B94" s="114" t="s">
        <v>1184</v>
      </c>
      <c r="C94" s="423">
        <v>999999</v>
      </c>
      <c r="D94" s="114" t="s">
        <v>1072</v>
      </c>
      <c r="E94" s="114">
        <v>999999</v>
      </c>
    </row>
    <row r="95" spans="1:5" x14ac:dyDescent="0.4">
      <c r="A95" s="114" t="s">
        <v>1185</v>
      </c>
      <c r="B95" s="114" t="s">
        <v>1186</v>
      </c>
      <c r="C95" s="423">
        <v>999999</v>
      </c>
      <c r="D95" s="114" t="s">
        <v>1072</v>
      </c>
      <c r="E95" s="114">
        <v>999999</v>
      </c>
    </row>
    <row r="96" spans="1:5" x14ac:dyDescent="0.4">
      <c r="A96" s="114" t="s">
        <v>1187</v>
      </c>
      <c r="B96" s="114" t="s">
        <v>1188</v>
      </c>
      <c r="C96" s="423">
        <v>999999</v>
      </c>
      <c r="D96" s="114" t="s">
        <v>1072</v>
      </c>
      <c r="E96" s="114">
        <v>999999</v>
      </c>
    </row>
    <row r="97" spans="1:5" x14ac:dyDescent="0.4">
      <c r="A97" s="114" t="s">
        <v>1189</v>
      </c>
      <c r="B97" s="114" t="s">
        <v>1190</v>
      </c>
      <c r="C97" s="423">
        <v>999999</v>
      </c>
      <c r="D97" s="114" t="s">
        <v>1072</v>
      </c>
      <c r="E97" s="114">
        <v>999999</v>
      </c>
    </row>
    <row r="98" spans="1:5" x14ac:dyDescent="0.4">
      <c r="A98" s="114" t="s">
        <v>1191</v>
      </c>
      <c r="B98" s="114" t="s">
        <v>1192</v>
      </c>
      <c r="C98" s="423">
        <v>999999</v>
      </c>
      <c r="D98" s="114" t="s">
        <v>1072</v>
      </c>
      <c r="E98" s="114">
        <v>999999</v>
      </c>
    </row>
    <row r="99" spans="1:5" x14ac:dyDescent="0.4">
      <c r="A99" s="114" t="s">
        <v>1193</v>
      </c>
      <c r="B99" s="114" t="s">
        <v>1194</v>
      </c>
      <c r="C99" s="423">
        <v>999999</v>
      </c>
      <c r="D99" s="114" t="s">
        <v>1072</v>
      </c>
      <c r="E99" s="114">
        <v>999999</v>
      </c>
    </row>
    <row r="100" spans="1:5" x14ac:dyDescent="0.4">
      <c r="A100" s="114" t="s">
        <v>1195</v>
      </c>
      <c r="B100" s="114" t="s">
        <v>1196</v>
      </c>
      <c r="C100" s="423">
        <v>999999</v>
      </c>
      <c r="D100" s="114" t="s">
        <v>1072</v>
      </c>
      <c r="E100" s="114">
        <v>999999</v>
      </c>
    </row>
    <row r="101" spans="1:5" x14ac:dyDescent="0.4">
      <c r="A101" s="114" t="s">
        <v>1197</v>
      </c>
      <c r="B101" s="114" t="s">
        <v>1198</v>
      </c>
      <c r="C101" s="423">
        <v>999999</v>
      </c>
      <c r="D101" s="114" t="s">
        <v>1072</v>
      </c>
      <c r="E101" s="114">
        <v>999999</v>
      </c>
    </row>
    <row r="102" spans="1:5" x14ac:dyDescent="0.4">
      <c r="A102" s="114" t="s">
        <v>1199</v>
      </c>
      <c r="B102" s="114" t="s">
        <v>1200</v>
      </c>
      <c r="C102" s="423">
        <v>999999</v>
      </c>
      <c r="D102" s="114" t="s">
        <v>1072</v>
      </c>
      <c r="E102" s="114">
        <v>999999</v>
      </c>
    </row>
    <row r="103" spans="1:5" x14ac:dyDescent="0.4">
      <c r="A103" s="114" t="s">
        <v>1201</v>
      </c>
      <c r="B103" s="114" t="s">
        <v>1202</v>
      </c>
      <c r="C103" s="423">
        <v>999999</v>
      </c>
      <c r="D103" s="114" t="s">
        <v>1072</v>
      </c>
      <c r="E103" s="114">
        <v>999999</v>
      </c>
    </row>
    <row r="104" spans="1:5" x14ac:dyDescent="0.4">
      <c r="A104" s="114" t="s">
        <v>1203</v>
      </c>
      <c r="B104" s="114" t="s">
        <v>1204</v>
      </c>
      <c r="C104" s="423">
        <v>999999</v>
      </c>
      <c r="D104" s="114" t="s">
        <v>1072</v>
      </c>
      <c r="E104" s="114">
        <v>999999</v>
      </c>
    </row>
    <row r="105" spans="1:5" x14ac:dyDescent="0.4">
      <c r="A105" s="114" t="s">
        <v>1205</v>
      </c>
      <c r="B105" s="114" t="s">
        <v>1206</v>
      </c>
      <c r="C105" s="423">
        <v>999999</v>
      </c>
      <c r="D105" s="114" t="s">
        <v>1072</v>
      </c>
      <c r="E105" s="114">
        <v>999999</v>
      </c>
    </row>
    <row r="106" spans="1:5" x14ac:dyDescent="0.4">
      <c r="A106" s="114" t="s">
        <v>1207</v>
      </c>
      <c r="B106" s="114" t="s">
        <v>1208</v>
      </c>
      <c r="C106" s="423">
        <v>999999</v>
      </c>
      <c r="D106" s="114" t="s">
        <v>1072</v>
      </c>
      <c r="E106" s="114">
        <v>999999</v>
      </c>
    </row>
    <row r="107" spans="1:5" x14ac:dyDescent="0.4">
      <c r="A107" s="114" t="s">
        <v>1209</v>
      </c>
      <c r="B107" s="114" t="s">
        <v>1210</v>
      </c>
      <c r="C107" s="423">
        <v>999999</v>
      </c>
      <c r="D107" s="114" t="s">
        <v>1072</v>
      </c>
      <c r="E107" s="114">
        <v>999999</v>
      </c>
    </row>
    <row r="108" spans="1:5" x14ac:dyDescent="0.4">
      <c r="A108" s="114" t="s">
        <v>1211</v>
      </c>
      <c r="B108" s="114" t="s">
        <v>1212</v>
      </c>
      <c r="C108" s="423">
        <v>999999</v>
      </c>
      <c r="D108" s="114" t="s">
        <v>1072</v>
      </c>
      <c r="E108" s="114">
        <v>999999</v>
      </c>
    </row>
    <row r="109" spans="1:5" x14ac:dyDescent="0.4">
      <c r="A109" s="114" t="s">
        <v>1213</v>
      </c>
      <c r="B109" s="114" t="s">
        <v>1214</v>
      </c>
      <c r="C109" s="423">
        <v>999999</v>
      </c>
      <c r="D109" s="114" t="s">
        <v>1072</v>
      </c>
      <c r="E109" s="114">
        <v>999999</v>
      </c>
    </row>
    <row r="110" spans="1:5" x14ac:dyDescent="0.4">
      <c r="A110" s="114" t="s">
        <v>1215</v>
      </c>
      <c r="B110" s="114" t="s">
        <v>1216</v>
      </c>
      <c r="C110" s="423">
        <v>999999</v>
      </c>
      <c r="D110" s="114" t="s">
        <v>1072</v>
      </c>
      <c r="E110" s="114">
        <v>999999</v>
      </c>
    </row>
    <row r="111" spans="1:5" x14ac:dyDescent="0.4">
      <c r="A111" s="114" t="s">
        <v>1217</v>
      </c>
      <c r="B111" s="114" t="s">
        <v>1218</v>
      </c>
      <c r="C111" s="423">
        <v>999999</v>
      </c>
      <c r="D111" s="114" t="s">
        <v>1072</v>
      </c>
      <c r="E111" s="114">
        <v>999999</v>
      </c>
    </row>
    <row r="112" spans="1:5" x14ac:dyDescent="0.4">
      <c r="A112" s="114" t="s">
        <v>1219</v>
      </c>
      <c r="B112" s="114" t="s">
        <v>1220</v>
      </c>
      <c r="C112" s="423">
        <v>999999</v>
      </c>
      <c r="D112" s="114" t="s">
        <v>1072</v>
      </c>
      <c r="E112" s="114">
        <v>999999</v>
      </c>
    </row>
    <row r="113" spans="1:7" x14ac:dyDescent="0.4">
      <c r="A113" s="114" t="s">
        <v>1221</v>
      </c>
      <c r="B113" s="114" t="s">
        <v>1222</v>
      </c>
      <c r="C113" s="423">
        <v>999999</v>
      </c>
      <c r="D113" s="114" t="s">
        <v>1072</v>
      </c>
      <c r="E113" s="114">
        <v>999999</v>
      </c>
    </row>
    <row r="114" spans="1:7" x14ac:dyDescent="0.4">
      <c r="A114" s="114" t="s">
        <v>1223</v>
      </c>
      <c r="B114" s="114" t="s">
        <v>1224</v>
      </c>
      <c r="C114" s="423">
        <v>999999</v>
      </c>
      <c r="D114" s="114" t="s">
        <v>1072</v>
      </c>
      <c r="E114" s="114">
        <v>999999</v>
      </c>
    </row>
    <row r="115" spans="1:7" x14ac:dyDescent="0.4">
      <c r="A115" s="114" t="s">
        <v>1225</v>
      </c>
      <c r="B115" s="114" t="s">
        <v>1226</v>
      </c>
      <c r="C115" s="423">
        <v>999999</v>
      </c>
      <c r="D115" s="114" t="s">
        <v>1072</v>
      </c>
      <c r="E115" s="114">
        <v>999999</v>
      </c>
    </row>
    <row r="116" spans="1:7" x14ac:dyDescent="0.4">
      <c r="A116" s="114" t="s">
        <v>1227</v>
      </c>
      <c r="B116" s="114" t="s">
        <v>1228</v>
      </c>
      <c r="C116" s="423">
        <v>999999</v>
      </c>
      <c r="D116" s="114" t="s">
        <v>1072</v>
      </c>
      <c r="E116" s="114">
        <v>999999</v>
      </c>
    </row>
    <row r="117" spans="1:7" x14ac:dyDescent="0.4">
      <c r="A117" s="114" t="s">
        <v>1229</v>
      </c>
      <c r="B117" s="114" t="s">
        <v>1230</v>
      </c>
      <c r="C117" s="423">
        <v>999999</v>
      </c>
      <c r="D117" s="114" t="s">
        <v>1072</v>
      </c>
      <c r="E117" s="114">
        <v>999999</v>
      </c>
    </row>
    <row r="118" spans="1:7" x14ac:dyDescent="0.4">
      <c r="A118" s="114" t="s">
        <v>1231</v>
      </c>
      <c r="B118" s="114" t="s">
        <v>1231</v>
      </c>
      <c r="C118" s="423">
        <v>62</v>
      </c>
      <c r="D118" s="114" t="s">
        <v>833</v>
      </c>
    </row>
    <row r="119" spans="1:7" x14ac:dyDescent="0.4">
      <c r="A119" s="114" t="s">
        <v>267</v>
      </c>
      <c r="B119" s="114" t="s">
        <v>267</v>
      </c>
      <c r="C119" s="423">
        <v>3.48</v>
      </c>
      <c r="D119" s="114" t="s">
        <v>773</v>
      </c>
      <c r="E119" s="114">
        <v>0.1</v>
      </c>
    </row>
    <row r="120" spans="1:7" x14ac:dyDescent="0.4">
      <c r="A120" s="114" t="s">
        <v>266</v>
      </c>
      <c r="B120" s="114" t="s">
        <v>266</v>
      </c>
      <c r="C120" s="423">
        <v>4.5599999999999996</v>
      </c>
      <c r="D120" s="114" t="s">
        <v>773</v>
      </c>
      <c r="E120" s="114">
        <v>0.1</v>
      </c>
    </row>
    <row r="121" spans="1:7" x14ac:dyDescent="0.4">
      <c r="A121" s="114" t="s">
        <v>360</v>
      </c>
      <c r="B121" s="114" t="s">
        <v>360</v>
      </c>
      <c r="C121" s="423">
        <v>2.4</v>
      </c>
      <c r="D121" s="114" t="s">
        <v>773</v>
      </c>
      <c r="E121" s="114">
        <v>0.1</v>
      </c>
    </row>
    <row r="122" spans="1:7" x14ac:dyDescent="0.4">
      <c r="A122" s="114" t="s">
        <v>350</v>
      </c>
      <c r="B122" s="114" t="s">
        <v>350</v>
      </c>
      <c r="E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E126" s="114">
        <v>0.1</v>
      </c>
    </row>
    <row r="127" spans="1:7" x14ac:dyDescent="0.4">
      <c r="A127" s="114" t="s">
        <v>1290</v>
      </c>
      <c r="B127" s="297" t="s">
        <v>751</v>
      </c>
      <c r="C127" s="300">
        <v>47</v>
      </c>
      <c r="E127" s="114">
        <v>1</v>
      </c>
      <c r="G127" s="297" t="s">
        <v>752</v>
      </c>
    </row>
    <row r="128" spans="1:7" x14ac:dyDescent="0.4">
      <c r="A128" s="114" t="s">
        <v>1291</v>
      </c>
      <c r="C128" s="423">
        <v>420</v>
      </c>
      <c r="E128" s="114">
        <v>1</v>
      </c>
    </row>
    <row r="129" spans="1:7" x14ac:dyDescent="0.4">
      <c r="A129" s="114" t="s">
        <v>1023</v>
      </c>
      <c r="B129" s="297" t="s">
        <v>764</v>
      </c>
      <c r="C129" s="423">
        <v>11.46</v>
      </c>
      <c r="G129" s="297" t="s">
        <v>766</v>
      </c>
    </row>
    <row r="130" spans="1:7" x14ac:dyDescent="0.4">
      <c r="A130" s="114" t="s">
        <v>1292</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1306</v>
      </c>
      <c r="B133" s="297" t="s">
        <v>785</v>
      </c>
      <c r="C133" s="301">
        <v>541.20000000000005</v>
      </c>
      <c r="E133" s="114">
        <v>2</v>
      </c>
    </row>
    <row r="134" spans="1:7" x14ac:dyDescent="0.4">
      <c r="A134" s="114" t="s">
        <v>1307</v>
      </c>
      <c r="B134" s="297" t="s">
        <v>789</v>
      </c>
      <c r="C134" s="301">
        <v>721.6</v>
      </c>
      <c r="E134" s="114">
        <v>2</v>
      </c>
    </row>
    <row r="135" spans="1:7" x14ac:dyDescent="0.4">
      <c r="A135" s="114" t="s">
        <v>1308</v>
      </c>
      <c r="B135" s="297" t="s">
        <v>788</v>
      </c>
      <c r="C135" s="301">
        <v>1021.9</v>
      </c>
      <c r="E135" s="114">
        <v>2</v>
      </c>
    </row>
    <row r="136" spans="1:7" x14ac:dyDescent="0.4">
      <c r="A136" s="114" t="s">
        <v>325</v>
      </c>
      <c r="C136" s="423">
        <v>240</v>
      </c>
      <c r="E136" s="114">
        <v>1</v>
      </c>
    </row>
    <row r="137" spans="1:7" x14ac:dyDescent="0.4">
      <c r="A137" s="114" t="s">
        <v>989</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32"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'D:\Github\IGOC-Workspace\Mech Elec Template\[V2 - XXX -  Mech Elec - Rev A.xlsx]Sheet1'!#REF!</xm:f>
          </x14:formula1>
          <xm:sqref>A22:A23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C922-3E57-4D00-A701-E28B3EDEE6C6}">
  <sheetPr filterMode="1"/>
  <dimension ref="A1:D139"/>
  <sheetViews>
    <sheetView workbookViewId="0">
      <selection activeCell="F146" sqref="F146"/>
    </sheetView>
  </sheetViews>
  <sheetFormatPr defaultRowHeight="14.6" x14ac:dyDescent="0.4"/>
  <cols>
    <col min="1" max="1" width="19.3046875" customWidth="1"/>
    <col min="3" max="3" width="9.23046875" style="114"/>
  </cols>
  <sheetData>
    <row r="1" spans="1:4" x14ac:dyDescent="0.4">
      <c r="A1" t="str">
        <f>Parts!A1</f>
        <v>Part</v>
      </c>
      <c r="B1" s="114" t="str">
        <f>Parts!B1</f>
        <v>Part No.</v>
      </c>
      <c r="C1" s="114" t="s">
        <v>893</v>
      </c>
      <c r="D1" t="s">
        <v>1425</v>
      </c>
    </row>
    <row r="2" spans="1:4" hidden="1" x14ac:dyDescent="0.4">
      <c r="A2" s="114" t="str">
        <f>Parts!A2</f>
        <v>1 Phase Isolator</v>
      </c>
      <c r="B2" s="114" t="str">
        <f>Parts!B2</f>
        <v>WP135</v>
      </c>
      <c r="C2" s="114">
        <f>SUM(D2:Z2)</f>
        <v>0</v>
      </c>
      <c r="D2" s="114">
        <f>IFERROR(VLOOKUP(A2,Fan_Pricing!B:F,5,FALSE),0)</f>
        <v>0</v>
      </c>
    </row>
    <row r="3" spans="1:4" x14ac:dyDescent="0.4">
      <c r="A3" s="114" t="str">
        <f>Parts!A3</f>
        <v>3 Phase Isolator</v>
      </c>
      <c r="B3" s="114" t="str">
        <f>Parts!B3</f>
        <v>WP363</v>
      </c>
      <c r="C3" s="114">
        <f t="shared" ref="C3:C17" si="0">SUM(D3:Z3)</f>
        <v>0</v>
      </c>
      <c r="D3" s="114">
        <f>IFERROR(VLOOKUP(A3,Fan_Pricing!B:F,5,FALSE),0)</f>
        <v>0</v>
      </c>
    </row>
    <row r="4" spans="1:4" hidden="1" x14ac:dyDescent="0.4">
      <c r="A4" s="114" t="str">
        <f>Parts!A4</f>
        <v>2.5mm Twin and Earth</v>
      </c>
      <c r="B4" s="114">
        <f>Parts!B4</f>
        <v>0</v>
      </c>
      <c r="C4" s="114">
        <f t="shared" si="0"/>
        <v>0</v>
      </c>
      <c r="D4" s="114">
        <f>IFERROR(VLOOKUP(A4,Fan_Pricing!B:F,5,FALSE),0)</f>
        <v>0</v>
      </c>
    </row>
    <row r="5" spans="1:4" hidden="1" x14ac:dyDescent="0.4">
      <c r="A5" s="114" t="str">
        <f>Parts!A5</f>
        <v>Auto/Off/On switch</v>
      </c>
      <c r="B5" s="114" t="str">
        <f>Parts!B5</f>
        <v>RKR22OFO + LEGEND/MOA</v>
      </c>
      <c r="C5" s="114">
        <f t="shared" si="0"/>
        <v>0</v>
      </c>
      <c r="D5" s="114">
        <f>IFERROR(VLOOKUP(A5,Fan_Pricing!B:F,5,FALSE),0)</f>
        <v>0</v>
      </c>
    </row>
    <row r="6" spans="1:4" hidden="1" x14ac:dyDescent="0.4">
      <c r="A6" s="114" t="str">
        <f>Parts!A6</f>
        <v>CB 1 Phase 10A</v>
      </c>
      <c r="B6" s="114" t="str">
        <f>Parts!B6</f>
        <v>MCB10P1</v>
      </c>
      <c r="C6" s="114">
        <f t="shared" si="0"/>
        <v>0</v>
      </c>
      <c r="D6" s="114">
        <f>IFERROR(VLOOKUP(A6,Fan_Pricing!B:F,5,FALSE),0)</f>
        <v>0</v>
      </c>
    </row>
    <row r="7" spans="1:4" x14ac:dyDescent="0.4">
      <c r="A7" s="114" t="str">
        <f>Parts!A7</f>
        <v>CB 3 Phase 50A</v>
      </c>
      <c r="B7" s="114" t="str">
        <f>Parts!B7</f>
        <v>MCB50P3</v>
      </c>
      <c r="C7" s="114">
        <f t="shared" si="0"/>
        <v>0</v>
      </c>
      <c r="D7" s="114">
        <f>IFERROR(VLOOKUP(A7,Fan_Pricing!B:F,5,FALSE),0)</f>
        <v>0</v>
      </c>
    </row>
    <row r="8" spans="1:4" hidden="1" x14ac:dyDescent="0.4">
      <c r="A8" s="114" t="str">
        <f>Parts!A8</f>
        <v>Commissioning/Testing</v>
      </c>
      <c r="B8" s="114">
        <f>Parts!B8</f>
        <v>0</v>
      </c>
      <c r="C8" s="114">
        <f t="shared" si="0"/>
        <v>0</v>
      </c>
      <c r="D8" s="114">
        <f>IFERROR(VLOOKUP(A8,Fan_Pricing!B:F,5,FALSE),0)</f>
        <v>0</v>
      </c>
    </row>
    <row r="9" spans="1:4" hidden="1" x14ac:dyDescent="0.4">
      <c r="A9" s="114" t="str">
        <f>Parts!A9</f>
        <v>Contactors &amp; Overloads</v>
      </c>
      <c r="B9" s="114" t="str">
        <f>Parts!B9</f>
        <v>CDC1712AC 24vac 10a + 
CDR17A2.2</v>
      </c>
      <c r="C9" s="114">
        <f t="shared" si="0"/>
        <v>0</v>
      </c>
      <c r="D9" s="114">
        <f>IFERROR(VLOOKUP(A9,Fan_Pricing!B:F,5,FALSE),0)</f>
        <v>0</v>
      </c>
    </row>
    <row r="10" spans="1:4" hidden="1" x14ac:dyDescent="0.4">
      <c r="A10" s="114" t="str">
        <f>Parts!A10</f>
        <v>Fire Relay</v>
      </c>
      <c r="B10" s="114" t="str">
        <f>Parts!B10</f>
        <v>882DC24SLS or 882DC12SLS</v>
      </c>
      <c r="C10" s="114">
        <f t="shared" si="0"/>
        <v>0</v>
      </c>
      <c r="D10" s="114">
        <f>IFERROR(VLOOKUP(A10,Fan_Pricing!B:F,5,FALSE),0)</f>
        <v>0</v>
      </c>
    </row>
    <row r="11" spans="1:4" hidden="1" x14ac:dyDescent="0.4">
      <c r="A11" s="114" t="str">
        <f>Parts!A11</f>
        <v>Programable Timeclock controller</v>
      </c>
      <c r="B11" s="114">
        <f>Parts!B11</f>
        <v>0</v>
      </c>
      <c r="C11" s="114">
        <f t="shared" si="0"/>
        <v>0</v>
      </c>
      <c r="D11" s="114">
        <f>IFERROR(VLOOKUP(A11,Fan_Pricing!B:F,5,FALSE),0)</f>
        <v>0</v>
      </c>
    </row>
    <row r="12" spans="1:4" hidden="1" x14ac:dyDescent="0.4">
      <c r="A12" s="114" t="str">
        <f>Parts!A12</f>
        <v>Reed Switch</v>
      </c>
      <c r="B12" s="114">
        <f>Parts!B12</f>
        <v>0</v>
      </c>
      <c r="C12" s="114">
        <f t="shared" si="0"/>
        <v>0</v>
      </c>
      <c r="D12" s="114">
        <f>IFERROR(VLOOKUP(A12,Fan_Pricing!B:F,5,FALSE),0)</f>
        <v>0</v>
      </c>
    </row>
    <row r="13" spans="1:4" hidden="1" x14ac:dyDescent="0.4">
      <c r="A13" s="114" t="str">
        <f>Parts!A13</f>
        <v>Run &amp; Fault LEDs</v>
      </c>
      <c r="B13" s="114" t="str">
        <f>Parts!B13</f>
        <v>PL22G24LED + PL22R24LED</v>
      </c>
      <c r="C13" s="114">
        <f t="shared" si="0"/>
        <v>0</v>
      </c>
      <c r="D13" s="114">
        <f>IFERROR(VLOOKUP(A13,Fan_Pricing!B:F,5,FALSE),0)</f>
        <v>0</v>
      </c>
    </row>
    <row r="14" spans="1:4" x14ac:dyDescent="0.4">
      <c r="A14" s="114" t="str">
        <f>Parts!A14</f>
        <v>Switchboard Cable 1mm</v>
      </c>
      <c r="B14" s="114">
        <f>Parts!B14</f>
        <v>0</v>
      </c>
      <c r="C14" s="114">
        <f t="shared" si="0"/>
        <v>0</v>
      </c>
      <c r="D14" s="114">
        <f>IFERROR(VLOOKUP(A14,Fan_Pricing!B:F,5,FALSE),0)</f>
        <v>0</v>
      </c>
    </row>
    <row r="15" spans="1:4" hidden="1" x14ac:dyDescent="0.4">
      <c r="A15" s="114" t="str">
        <f>Parts!A15</f>
        <v>Traffolyte Labelling</v>
      </c>
      <c r="B15" s="114" t="str">
        <f>Parts!B15</f>
        <v>-</v>
      </c>
      <c r="C15" s="114">
        <f t="shared" si="0"/>
        <v>0</v>
      </c>
      <c r="D15" s="114">
        <f>IFERROR(VLOOKUP(A15,Fan_Pricing!B:F,5,FALSE),0)</f>
        <v>0</v>
      </c>
    </row>
    <row r="16" spans="1:4" hidden="1" x14ac:dyDescent="0.4">
      <c r="A16" s="114" t="str">
        <f>Parts!A16</f>
        <v>Mechanical Thermostat</v>
      </c>
      <c r="B16" s="114" t="str">
        <f>Parts!B16</f>
        <v>ETO6060U</v>
      </c>
      <c r="C16" s="114">
        <f t="shared" si="0"/>
        <v>0</v>
      </c>
      <c r="D16" s="114">
        <f>IFERROR(VLOOKUP(A16,Fan_Pricing!B:F,5,FALSE),0)</f>
        <v>0</v>
      </c>
    </row>
    <row r="17" spans="1:4" hidden="1" x14ac:dyDescent="0.4">
      <c r="A17" s="114" t="str">
        <f>Parts!A17</f>
        <v>Controls Enclosure</v>
      </c>
      <c r="B17" s="114">
        <f>Parts!B17</f>
        <v>0</v>
      </c>
      <c r="C17" s="114">
        <f t="shared" si="0"/>
        <v>0</v>
      </c>
      <c r="D17" s="114">
        <f>IFERROR(VLOOKUP(A17,Fan_Pricing!B:F,5,FALSE),0)</f>
        <v>0</v>
      </c>
    </row>
    <row r="18" spans="1:4" hidden="1" x14ac:dyDescent="0.4">
      <c r="A18" s="114" t="str">
        <f>Parts!A18</f>
        <v>Current Switch</v>
      </c>
      <c r="B18" s="114" t="str">
        <f>Parts!B18</f>
        <v>CCS131</v>
      </c>
      <c r="C18" s="114">
        <f t="shared" ref="C18:C81" si="1">SUM(D18:Z18)</f>
        <v>0</v>
      </c>
      <c r="D18" s="114">
        <f>IFERROR(VLOOKUP(A18,Fan_Pricing!B:F,5,FALSE),0)</f>
        <v>0</v>
      </c>
    </row>
    <row r="19" spans="1:4" hidden="1" x14ac:dyDescent="0.4">
      <c r="A19" s="114" t="str">
        <f>Parts!A19</f>
        <v>General Relay</v>
      </c>
      <c r="B19" s="114" t="str">
        <f>Parts!B19</f>
        <v>882DC24SLS or 882DC12SLS</v>
      </c>
      <c r="C19" s="114">
        <f t="shared" si="1"/>
        <v>0</v>
      </c>
      <c r="D19" s="114">
        <f>IFERROR(VLOOKUP(A19,Fan_Pricing!B:F,5,FALSE),0)</f>
        <v>0</v>
      </c>
    </row>
    <row r="20" spans="1:4" hidden="1" x14ac:dyDescent="0.4">
      <c r="A20" s="114" t="str">
        <f>Parts!A20</f>
        <v>Run On Timer</v>
      </c>
      <c r="B20" s="114">
        <f>Parts!B20</f>
        <v>0</v>
      </c>
      <c r="C20" s="114">
        <f t="shared" si="1"/>
        <v>0</v>
      </c>
      <c r="D20" s="114">
        <f>IFERROR(VLOOKUP(A20,Fan_Pricing!B:F,5,FALSE),0)</f>
        <v>0</v>
      </c>
    </row>
    <row r="21" spans="1:4" x14ac:dyDescent="0.4">
      <c r="A21" s="114" t="str">
        <f>Parts!A21</f>
        <v>7030 2 pair TCAS7302P</v>
      </c>
      <c r="B21" s="114">
        <f>Parts!B21</f>
        <v>0</v>
      </c>
      <c r="C21" s="114">
        <f t="shared" si="1"/>
        <v>0</v>
      </c>
      <c r="D21" s="114">
        <f>IFERROR(VLOOKUP(A21,Fan_Pricing!B:F,5,FALSE),0)</f>
        <v>0</v>
      </c>
    </row>
    <row r="22" spans="1:4" hidden="1" x14ac:dyDescent="0.4">
      <c r="A22" s="114" t="str">
        <f>Parts!A22</f>
        <v>Ducted VRF Unit &lt; 10m</v>
      </c>
      <c r="B22" s="114">
        <f>Parts!B22</f>
        <v>0</v>
      </c>
      <c r="C22" s="114">
        <f t="shared" si="1"/>
        <v>0</v>
      </c>
      <c r="D22" s="114">
        <f>IFERROR(VLOOKUP(A22,Fan_Pricing!B:F,5,FALSE),0)</f>
        <v>0</v>
      </c>
    </row>
    <row r="23" spans="1:4" hidden="1" x14ac:dyDescent="0.4">
      <c r="A23" s="114" t="str">
        <f>Parts!A23</f>
        <v>VRF Network</v>
      </c>
      <c r="B23" s="114">
        <f>Parts!B23</f>
        <v>0</v>
      </c>
      <c r="C23" s="114">
        <f t="shared" si="1"/>
        <v>0</v>
      </c>
      <c r="D23" s="114">
        <f>IFERROR(VLOOKUP(A23,Fan_Pricing!B:F,5,FALSE),0)</f>
        <v>0</v>
      </c>
    </row>
    <row r="24" spans="1:4" hidden="1" x14ac:dyDescent="0.4">
      <c r="A24" s="114" t="str">
        <f>Parts!A24</f>
        <v>Commissioning Wall Controller VRF</v>
      </c>
      <c r="B24" s="114">
        <f>Parts!B24</f>
        <v>0</v>
      </c>
      <c r="C24" s="114">
        <f t="shared" si="1"/>
        <v>0</v>
      </c>
      <c r="D24" s="114">
        <f>IFERROR(VLOOKUP(A24,Fan_Pricing!B:F,5,FALSE),0)</f>
        <v>0</v>
      </c>
    </row>
    <row r="25" spans="1:4" hidden="1" x14ac:dyDescent="0.4">
      <c r="A25" s="114" t="str">
        <f>Parts!A25</f>
        <v>Cabling</v>
      </c>
      <c r="B25" s="114">
        <f>Parts!B25</f>
        <v>0</v>
      </c>
      <c r="C25" s="114">
        <f t="shared" si="1"/>
        <v>0</v>
      </c>
      <c r="D25" s="114">
        <f>IFERROR(VLOOKUP(A25,Fan_Pricing!B:F,5,FALSE),0)</f>
        <v>0</v>
      </c>
    </row>
    <row r="26" spans="1:4" hidden="1" x14ac:dyDescent="0.4">
      <c r="A26" s="114" t="str">
        <f>Parts!A26</f>
        <v>Cond. Unit Sml Dx Install</v>
      </c>
      <c r="B26" s="114">
        <f>Parts!B26</f>
        <v>0</v>
      </c>
      <c r="C26" s="114">
        <f t="shared" si="1"/>
        <v>0</v>
      </c>
      <c r="D26" s="114">
        <f>IFERROR(VLOOKUP(A26,Fan_Pricing!B:F,5,FALSE),0)</f>
        <v>0</v>
      </c>
    </row>
    <row r="27" spans="1:4" hidden="1" x14ac:dyDescent="0.4">
      <c r="A27" s="114" t="str">
        <f>Parts!A27</f>
        <v>Traffolyte</v>
      </c>
      <c r="B27" s="114">
        <f>Parts!B27</f>
        <v>0</v>
      </c>
      <c r="C27" s="114">
        <f t="shared" si="1"/>
        <v>0</v>
      </c>
      <c r="D27" s="114">
        <f>IFERROR(VLOOKUP(A27,Fan_Pricing!B:F,5,FALSE),0)</f>
        <v>0</v>
      </c>
    </row>
    <row r="28" spans="1:4" x14ac:dyDescent="0.4">
      <c r="A28" s="114" t="str">
        <f>Parts!A28</f>
        <v>VSD Typical</v>
      </c>
      <c r="B28" s="114" t="str">
        <f>Parts!B28</f>
        <v>FC-101P7K5</v>
      </c>
      <c r="C28" s="114">
        <f t="shared" si="1"/>
        <v>0</v>
      </c>
      <c r="D28" s="114">
        <f>IFERROR(VLOOKUP(A28,Fan_Pricing!B:F,5,FALSE),0)</f>
        <v>0</v>
      </c>
    </row>
    <row r="29" spans="1:4" hidden="1" x14ac:dyDescent="0.4">
      <c r="A29" s="114" t="str">
        <f>Parts!A29</f>
        <v>EN46-O</v>
      </c>
      <c r="B29" s="114" t="str">
        <f>Parts!B29</f>
        <v>MBO4620</v>
      </c>
      <c r="C29" s="114">
        <f t="shared" si="1"/>
        <v>0</v>
      </c>
      <c r="D29" s="114">
        <f>IFERROR(VLOOKUP(A29,Fan_Pricing!B:F,5,FALSE),0)</f>
        <v>0</v>
      </c>
    </row>
    <row r="30" spans="1:4" hidden="1" x14ac:dyDescent="0.4">
      <c r="A30" s="114" t="str">
        <f>Parts!A30</f>
        <v>EN66-O</v>
      </c>
      <c r="B30" s="114" t="str">
        <f>Parts!B30</f>
        <v>MBO6620</v>
      </c>
      <c r="C30" s="114">
        <f t="shared" si="1"/>
        <v>0</v>
      </c>
      <c r="D30" s="114">
        <f>IFERROR(VLOOKUP(A30,Fan_Pricing!B:F,5,FALSE),0)</f>
        <v>0</v>
      </c>
    </row>
    <row r="31" spans="1:4" hidden="1" x14ac:dyDescent="0.4">
      <c r="A31" s="114" t="str">
        <f>Parts!A31</f>
        <v>EN68-O</v>
      </c>
      <c r="B31" s="114" t="str">
        <f>Parts!B31</f>
        <v>MBO6825</v>
      </c>
      <c r="C31" s="114">
        <f t="shared" si="1"/>
        <v>0</v>
      </c>
      <c r="D31" s="114">
        <f>IFERROR(VLOOKUP(A31,Fan_Pricing!B:F,5,FALSE),0)</f>
        <v>0</v>
      </c>
    </row>
    <row r="32" spans="1:4" hidden="1" x14ac:dyDescent="0.4">
      <c r="A32" s="114" t="str">
        <f>Parts!A32</f>
        <v>EN810-O</v>
      </c>
      <c r="B32" s="114" t="str">
        <f>Parts!B32</f>
        <v>MB81030</v>
      </c>
      <c r="C32" s="114">
        <f t="shared" si="1"/>
        <v>0</v>
      </c>
      <c r="D32" s="114">
        <f>IFERROR(VLOOKUP(A32,Fan_Pricing!B:F,5,FALSE),0)</f>
        <v>0</v>
      </c>
    </row>
    <row r="33" spans="1:4" hidden="1" x14ac:dyDescent="0.4">
      <c r="A33" s="114" t="str">
        <f>Parts!A33</f>
        <v>EN46-G</v>
      </c>
      <c r="B33" s="114" t="str">
        <f>Parts!B33</f>
        <v>MB4620</v>
      </c>
      <c r="C33" s="114">
        <f t="shared" si="1"/>
        <v>0</v>
      </c>
      <c r="D33" s="114">
        <f>IFERROR(VLOOKUP(A33,Fan_Pricing!B:F,5,FALSE),0)</f>
        <v>0</v>
      </c>
    </row>
    <row r="34" spans="1:4" hidden="1" x14ac:dyDescent="0.4">
      <c r="A34" s="114" t="str">
        <f>Parts!A34</f>
        <v>EN66-G</v>
      </c>
      <c r="B34" s="114" t="str">
        <f>Parts!B34</f>
        <v>MB6630</v>
      </c>
      <c r="C34" s="114">
        <f t="shared" si="1"/>
        <v>0</v>
      </c>
      <c r="D34" s="114">
        <f>IFERROR(VLOOKUP(A34,Fan_Pricing!B:F,5,FALSE),0)</f>
        <v>0</v>
      </c>
    </row>
    <row r="35" spans="1:4" hidden="1" x14ac:dyDescent="0.4">
      <c r="A35" s="114" t="str">
        <f>Parts!A35</f>
        <v>EN68-G</v>
      </c>
      <c r="B35" s="114" t="str">
        <f>Parts!B35</f>
        <v>MB6830</v>
      </c>
      <c r="C35" s="114">
        <f t="shared" si="1"/>
        <v>0</v>
      </c>
      <c r="D35" s="114">
        <f>IFERROR(VLOOKUP(A35,Fan_Pricing!B:F,5,FALSE),0)</f>
        <v>0</v>
      </c>
    </row>
    <row r="36" spans="1:4" hidden="1" x14ac:dyDescent="0.4">
      <c r="A36" s="114" t="str">
        <f>Parts!A36</f>
        <v>EN88-G</v>
      </c>
      <c r="B36" s="114" t="str">
        <f>Parts!B36</f>
        <v>MB8830</v>
      </c>
      <c r="C36" s="114">
        <f t="shared" si="1"/>
        <v>0</v>
      </c>
      <c r="D36" s="114">
        <f>IFERROR(VLOOKUP(A36,Fan_Pricing!B:F,5,FALSE),0)</f>
        <v>0</v>
      </c>
    </row>
    <row r="37" spans="1:4" hidden="1" x14ac:dyDescent="0.4">
      <c r="A37" s="114" t="str">
        <f>Parts!A37</f>
        <v>EN810-G</v>
      </c>
      <c r="B37" s="114" t="str">
        <f>Parts!B37</f>
        <v>MB81030</v>
      </c>
      <c r="C37" s="114">
        <f t="shared" si="1"/>
        <v>0</v>
      </c>
      <c r="D37" s="114">
        <f>IFERROR(VLOOKUP(A37,Fan_Pricing!B:F,5,FALSE),0)</f>
        <v>0</v>
      </c>
    </row>
    <row r="38" spans="1:4" hidden="1" x14ac:dyDescent="0.4">
      <c r="A38" s="114" t="str">
        <f>Parts!A38</f>
        <v>DB24-2-42-O</v>
      </c>
      <c r="B38" s="114" t="str">
        <f>Parts!B38</f>
        <v>EUR-MDB24OR</v>
      </c>
      <c r="C38" s="114">
        <f t="shared" si="1"/>
        <v>0</v>
      </c>
      <c r="D38" s="114">
        <f>IFERROR(VLOOKUP(A38,Fan_Pricing!B:F,5,FALSE),0)</f>
        <v>0</v>
      </c>
    </row>
    <row r="39" spans="1:4" hidden="1" x14ac:dyDescent="0.4">
      <c r="A39" s="114" t="str">
        <f>Parts!A39</f>
        <v>DB24-2-42-O-M</v>
      </c>
      <c r="B39" s="114" t="str">
        <f>Parts!B39</f>
        <v>EUR-MDB24O2MC</v>
      </c>
      <c r="C39" s="114">
        <f t="shared" si="1"/>
        <v>0</v>
      </c>
      <c r="D39" s="114">
        <f>IFERROR(VLOOKUP(A39,Fan_Pricing!B:F,5,FALSE),0)</f>
        <v>0</v>
      </c>
    </row>
    <row r="40" spans="1:4" hidden="1" x14ac:dyDescent="0.4">
      <c r="A40" s="114" t="str">
        <f>Parts!A40</f>
        <v>DB36-2-42-O</v>
      </c>
      <c r="B40" s="114" t="str">
        <f>Parts!B40</f>
        <v>EUR-MDB36OR</v>
      </c>
      <c r="C40" s="114">
        <f t="shared" si="1"/>
        <v>0</v>
      </c>
      <c r="D40" s="114">
        <f>IFERROR(VLOOKUP(A40,Fan_Pricing!B:F,5,FALSE),0)</f>
        <v>0</v>
      </c>
    </row>
    <row r="41" spans="1:4" hidden="1" x14ac:dyDescent="0.4">
      <c r="A41" s="114" t="str">
        <f>Parts!A41</f>
        <v>DB36-2-42-O-M</v>
      </c>
      <c r="B41" s="114" t="str">
        <f>Parts!B41</f>
        <v>EUR-MDB36O2MC</v>
      </c>
      <c r="C41" s="114">
        <f t="shared" si="1"/>
        <v>0</v>
      </c>
      <c r="D41" s="114">
        <f>IFERROR(VLOOKUP(A41,Fan_Pricing!B:F,5,FALSE),0)</f>
        <v>0</v>
      </c>
    </row>
    <row r="42" spans="1:4" hidden="1" x14ac:dyDescent="0.4">
      <c r="A42" s="114" t="str">
        <f>Parts!A42</f>
        <v>DB48-2-42-O</v>
      </c>
      <c r="B42" s="114" t="str">
        <f>Parts!B42</f>
        <v>EUR-MDB48OR</v>
      </c>
      <c r="C42" s="114">
        <f t="shared" si="1"/>
        <v>0</v>
      </c>
      <c r="D42" s="114">
        <f>IFERROR(VLOOKUP(A42,Fan_Pricing!B:F,5,FALSE),0)</f>
        <v>0</v>
      </c>
    </row>
    <row r="43" spans="1:4" hidden="1" x14ac:dyDescent="0.4">
      <c r="A43" s="114" t="str">
        <f>Parts!A43</f>
        <v>DB48-2-42-O-M</v>
      </c>
      <c r="B43" s="114" t="str">
        <f>Parts!B43</f>
        <v>EUR-MDB48O2MC</v>
      </c>
      <c r="C43" s="114">
        <f t="shared" si="1"/>
        <v>0</v>
      </c>
      <c r="D43" s="114">
        <f>IFERROR(VLOOKUP(A43,Fan_Pricing!B:F,5,FALSE),0)</f>
        <v>0</v>
      </c>
    </row>
    <row r="44" spans="1:4" hidden="1" x14ac:dyDescent="0.4">
      <c r="A44" s="114" t="str">
        <f>Parts!A44</f>
        <v>DB60-2-42-O</v>
      </c>
      <c r="B44" s="114" t="str">
        <f>Parts!B44</f>
        <v>EUR-MDB60OR</v>
      </c>
      <c r="C44" s="114">
        <f t="shared" si="1"/>
        <v>0</v>
      </c>
      <c r="D44" s="114">
        <f>IFERROR(VLOOKUP(A44,Fan_Pricing!B:F,5,FALSE),0)</f>
        <v>0</v>
      </c>
    </row>
    <row r="45" spans="1:4" hidden="1" x14ac:dyDescent="0.4">
      <c r="A45" s="114" t="str">
        <f>Parts!A45</f>
        <v>DB60-2-42-O-M</v>
      </c>
      <c r="B45" s="114" t="str">
        <f>Parts!B45</f>
        <v>EUR-MDB60O2MC</v>
      </c>
      <c r="C45" s="114">
        <f t="shared" si="1"/>
        <v>0</v>
      </c>
      <c r="D45" s="114">
        <f>IFERROR(VLOOKUP(A45,Fan_Pricing!B:F,5,FALSE),0)</f>
        <v>0</v>
      </c>
    </row>
    <row r="46" spans="1:4" hidden="1" x14ac:dyDescent="0.4">
      <c r="A46" s="114" t="str">
        <f>Parts!A46</f>
        <v>DB72-2-42-O</v>
      </c>
      <c r="B46" s="114" t="str">
        <f>Parts!B46</f>
        <v>EUR-MDB72OR</v>
      </c>
      <c r="C46" s="114">
        <f t="shared" si="1"/>
        <v>0</v>
      </c>
      <c r="D46" s="114">
        <f>IFERROR(VLOOKUP(A46,Fan_Pricing!B:F,5,FALSE),0)</f>
        <v>0</v>
      </c>
    </row>
    <row r="47" spans="1:4" hidden="1" x14ac:dyDescent="0.4">
      <c r="A47" s="114" t="str">
        <f>Parts!A47</f>
        <v>DB72-2-42-O-M</v>
      </c>
      <c r="B47" s="114" t="str">
        <f>Parts!B47</f>
        <v>EUR-MDB72O2MC</v>
      </c>
      <c r="C47" s="114">
        <f t="shared" si="1"/>
        <v>0</v>
      </c>
      <c r="D47" s="114">
        <f>IFERROR(VLOOKUP(A47,Fan_Pricing!B:F,5,FALSE),0)</f>
        <v>0</v>
      </c>
    </row>
    <row r="48" spans="1:4" hidden="1" x14ac:dyDescent="0.4">
      <c r="A48" s="114" t="str">
        <f>Parts!A48</f>
        <v>DB24-2-56-O</v>
      </c>
      <c r="B48" s="114" t="str">
        <f>Parts!B48</f>
        <v>EUR-MDB24OR/WP</v>
      </c>
      <c r="C48" s="114">
        <f t="shared" si="1"/>
        <v>0</v>
      </c>
      <c r="D48" s="114">
        <f>IFERROR(VLOOKUP(A48,Fan_Pricing!B:F,5,FALSE),0)</f>
        <v>0</v>
      </c>
    </row>
    <row r="49" spans="1:4" hidden="1" x14ac:dyDescent="0.4">
      <c r="A49" s="114" t="str">
        <f>Parts!A49</f>
        <v>DB24-2-56-O-M</v>
      </c>
      <c r="B49" s="114" t="str">
        <f>Parts!B49</f>
        <v>EUR-MDB24O2MCWP</v>
      </c>
      <c r="C49" s="114">
        <f t="shared" si="1"/>
        <v>0</v>
      </c>
      <c r="D49" s="114">
        <f>IFERROR(VLOOKUP(A49,Fan_Pricing!B:F,5,FALSE),0)</f>
        <v>0</v>
      </c>
    </row>
    <row r="50" spans="1:4" hidden="1" x14ac:dyDescent="0.4">
      <c r="A50" s="114" t="str">
        <f>Parts!A50</f>
        <v>DB36-2-56-O</v>
      </c>
      <c r="B50" s="114" t="str">
        <f>Parts!B50</f>
        <v>EUR-MDB36OR/WP</v>
      </c>
      <c r="C50" s="114">
        <f t="shared" si="1"/>
        <v>0</v>
      </c>
      <c r="D50" s="114">
        <f>IFERROR(VLOOKUP(A50,Fan_Pricing!B:F,5,FALSE),0)</f>
        <v>0</v>
      </c>
    </row>
    <row r="51" spans="1:4" hidden="1" x14ac:dyDescent="0.4">
      <c r="A51" s="114" t="str">
        <f>Parts!A51</f>
        <v>DB36-2-56-O-M</v>
      </c>
      <c r="B51" s="114" t="str">
        <f>Parts!B51</f>
        <v>EUR-MDB36O2MCWP</v>
      </c>
      <c r="C51" s="114">
        <f t="shared" si="1"/>
        <v>0</v>
      </c>
      <c r="D51" s="114">
        <f>IFERROR(VLOOKUP(A51,Fan_Pricing!B:F,5,FALSE),0)</f>
        <v>0</v>
      </c>
    </row>
    <row r="52" spans="1:4" hidden="1" x14ac:dyDescent="0.4">
      <c r="A52" s="114" t="str">
        <f>Parts!A52</f>
        <v>DB48-2-56-O</v>
      </c>
      <c r="B52" s="114" t="str">
        <f>Parts!B52</f>
        <v>EUR-MDB48OR/WP</v>
      </c>
      <c r="C52" s="114">
        <f t="shared" si="1"/>
        <v>0</v>
      </c>
      <c r="D52" s="114">
        <f>IFERROR(VLOOKUP(A52,Fan_Pricing!B:F,5,FALSE),0)</f>
        <v>0</v>
      </c>
    </row>
    <row r="53" spans="1:4" hidden="1" x14ac:dyDescent="0.4">
      <c r="A53" s="114" t="str">
        <f>Parts!A53</f>
        <v>DB48-2-56-O-M</v>
      </c>
      <c r="B53" s="114" t="str">
        <f>Parts!B53</f>
        <v>EUR-MDB48O2MCWP</v>
      </c>
      <c r="C53" s="114">
        <f t="shared" si="1"/>
        <v>0</v>
      </c>
      <c r="D53" s="114">
        <f>IFERROR(VLOOKUP(A53,Fan_Pricing!B:F,5,FALSE),0)</f>
        <v>0</v>
      </c>
    </row>
    <row r="54" spans="1:4" hidden="1" x14ac:dyDescent="0.4">
      <c r="A54" s="114" t="str">
        <f>Parts!A54</f>
        <v>DB60-2-56-O</v>
      </c>
      <c r="B54" s="114" t="str">
        <f>Parts!B54</f>
        <v>EUR-MDB60OR/WP</v>
      </c>
      <c r="C54" s="114">
        <f t="shared" si="1"/>
        <v>0</v>
      </c>
      <c r="D54" s="114">
        <f>IFERROR(VLOOKUP(A54,Fan_Pricing!B:F,5,FALSE),0)</f>
        <v>0</v>
      </c>
    </row>
    <row r="55" spans="1:4" hidden="1" x14ac:dyDescent="0.4">
      <c r="A55" s="114" t="str">
        <f>Parts!A55</f>
        <v>DB60-2-56-O-M</v>
      </c>
      <c r="B55" s="114" t="str">
        <f>Parts!B55</f>
        <v>EUR-MDB60O2MCWP</v>
      </c>
      <c r="C55" s="114">
        <f t="shared" si="1"/>
        <v>0</v>
      </c>
      <c r="D55" s="114">
        <f>IFERROR(VLOOKUP(A55,Fan_Pricing!B:F,5,FALSE),0)</f>
        <v>0</v>
      </c>
    </row>
    <row r="56" spans="1:4" hidden="1" x14ac:dyDescent="0.4">
      <c r="A56" s="114" t="str">
        <f>Parts!A56</f>
        <v>DB72-2-56-O</v>
      </c>
      <c r="B56" s="114" t="str">
        <f>Parts!B56</f>
        <v>EUR-MDB72OR/WP</v>
      </c>
      <c r="C56" s="114">
        <f t="shared" si="1"/>
        <v>0</v>
      </c>
      <c r="D56" s="114">
        <f>IFERROR(VLOOKUP(A56,Fan_Pricing!B:F,5,FALSE),0)</f>
        <v>0</v>
      </c>
    </row>
    <row r="57" spans="1:4" hidden="1" x14ac:dyDescent="0.4">
      <c r="A57" s="114" t="str">
        <f>Parts!A57</f>
        <v>DB72-2-56-O-M</v>
      </c>
      <c r="B57" s="114" t="str">
        <f>Parts!B57</f>
        <v>EUR-MDB72O2MCWP</v>
      </c>
      <c r="C57" s="114">
        <f t="shared" si="1"/>
        <v>0</v>
      </c>
      <c r="D57" s="114">
        <f>IFERROR(VLOOKUP(A57,Fan_Pricing!B:F,5,FALSE),0)</f>
        <v>0</v>
      </c>
    </row>
    <row r="58" spans="1:4" hidden="1" x14ac:dyDescent="0.4">
      <c r="A58" s="114" t="str">
        <f>Parts!A58</f>
        <v>DB24-4-42-O</v>
      </c>
      <c r="B58" s="114" t="str">
        <f>Parts!B58</f>
        <v>EUR-MDB24O4NA</v>
      </c>
      <c r="C58" s="114">
        <f t="shared" si="1"/>
        <v>0</v>
      </c>
      <c r="D58" s="114">
        <f>IFERROR(VLOOKUP(A58,Fan_Pricing!B:F,5,FALSE),0)</f>
        <v>0</v>
      </c>
    </row>
    <row r="59" spans="1:4" hidden="1" x14ac:dyDescent="0.4">
      <c r="A59" s="114" t="str">
        <f>Parts!A59</f>
        <v>DB24-4-42-O-M</v>
      </c>
      <c r="B59" s="114" t="str">
        <f>Parts!B59</f>
        <v>EUR-MDB24O4MC</v>
      </c>
      <c r="C59" s="114">
        <f t="shared" si="1"/>
        <v>0</v>
      </c>
      <c r="D59" s="114">
        <f>IFERROR(VLOOKUP(A59,Fan_Pricing!B:F,5,FALSE),0)</f>
        <v>0</v>
      </c>
    </row>
    <row r="60" spans="1:4" hidden="1" x14ac:dyDescent="0.4">
      <c r="A60" s="114" t="str">
        <f>Parts!A60</f>
        <v>DB36-4-42-O</v>
      </c>
      <c r="B60" s="114" t="str">
        <f>Parts!B60</f>
        <v>EUR-MDB36O4NA</v>
      </c>
      <c r="C60" s="114">
        <f t="shared" si="1"/>
        <v>0</v>
      </c>
      <c r="D60" s="114">
        <f>IFERROR(VLOOKUP(A60,Fan_Pricing!B:F,5,FALSE),0)</f>
        <v>0</v>
      </c>
    </row>
    <row r="61" spans="1:4" hidden="1" x14ac:dyDescent="0.4">
      <c r="A61" s="114" t="str">
        <f>Parts!A61</f>
        <v>DB36-4-42-O-M</v>
      </c>
      <c r="B61" s="114" t="str">
        <f>Parts!B61</f>
        <v>EUR-MDB36O4MC</v>
      </c>
      <c r="C61" s="114">
        <f t="shared" si="1"/>
        <v>0</v>
      </c>
      <c r="D61" s="114">
        <f>IFERROR(VLOOKUP(A61,Fan_Pricing!B:F,5,FALSE),0)</f>
        <v>0</v>
      </c>
    </row>
    <row r="62" spans="1:4" hidden="1" x14ac:dyDescent="0.4">
      <c r="A62" s="114" t="str">
        <f>Parts!A62</f>
        <v>DB48-4-42-O</v>
      </c>
      <c r="B62" s="114" t="str">
        <f>Parts!B62</f>
        <v>EUR-MDB48O4NA</v>
      </c>
      <c r="C62" s="114">
        <f t="shared" si="1"/>
        <v>0</v>
      </c>
      <c r="D62" s="114">
        <f>IFERROR(VLOOKUP(A62,Fan_Pricing!B:F,5,FALSE),0)</f>
        <v>0</v>
      </c>
    </row>
    <row r="63" spans="1:4" hidden="1" x14ac:dyDescent="0.4">
      <c r="A63" s="114" t="str">
        <f>Parts!A63</f>
        <v>DB48-4-42-O-M</v>
      </c>
      <c r="B63" s="114" t="str">
        <f>Parts!B63</f>
        <v>EUR-MDB48O4MC</v>
      </c>
      <c r="C63" s="114">
        <f t="shared" si="1"/>
        <v>0</v>
      </c>
      <c r="D63" s="114">
        <f>IFERROR(VLOOKUP(A63,Fan_Pricing!B:F,5,FALSE),0)</f>
        <v>0</v>
      </c>
    </row>
    <row r="64" spans="1:4" hidden="1" x14ac:dyDescent="0.4">
      <c r="A64" s="114" t="str">
        <f>Parts!A64</f>
        <v>DB60-4-42-O</v>
      </c>
      <c r="B64" s="114" t="str">
        <f>Parts!B64</f>
        <v>EUR-MDB60O4NA</v>
      </c>
      <c r="C64" s="114">
        <f t="shared" si="1"/>
        <v>0</v>
      </c>
      <c r="D64" s="114">
        <f>IFERROR(VLOOKUP(A64,Fan_Pricing!B:F,5,FALSE),0)</f>
        <v>0</v>
      </c>
    </row>
    <row r="65" spans="1:4" hidden="1" x14ac:dyDescent="0.4">
      <c r="A65" s="114" t="str">
        <f>Parts!A65</f>
        <v>DB60-4-42-O-M</v>
      </c>
      <c r="B65" s="114" t="str">
        <f>Parts!B65</f>
        <v>EUR-MDB60O4MC</v>
      </c>
      <c r="C65" s="114">
        <f t="shared" si="1"/>
        <v>0</v>
      </c>
      <c r="D65" s="114">
        <f>IFERROR(VLOOKUP(A65,Fan_Pricing!B:F,5,FALSE),0)</f>
        <v>0</v>
      </c>
    </row>
    <row r="66" spans="1:4" hidden="1" x14ac:dyDescent="0.4">
      <c r="A66" s="114" t="str">
        <f>Parts!A66</f>
        <v>DB72-4-42-O</v>
      </c>
      <c r="B66" s="114" t="str">
        <f>Parts!B66</f>
        <v>EUR-MDB72O4NA</v>
      </c>
      <c r="C66" s="114">
        <f t="shared" si="1"/>
        <v>0</v>
      </c>
      <c r="D66" s="114">
        <f>IFERROR(VLOOKUP(A66,Fan_Pricing!B:F,5,FALSE),0)</f>
        <v>0</v>
      </c>
    </row>
    <row r="67" spans="1:4" hidden="1" x14ac:dyDescent="0.4">
      <c r="A67" s="114" t="str">
        <f>Parts!A67</f>
        <v>DB72-4-42-O-M</v>
      </c>
      <c r="B67" s="114" t="str">
        <f>Parts!B67</f>
        <v>EUR-MDB72O4MC</v>
      </c>
      <c r="C67" s="114">
        <f t="shared" si="1"/>
        <v>0</v>
      </c>
      <c r="D67" s="114">
        <f>IFERROR(VLOOKUP(A67,Fan_Pricing!B:F,5,FALSE),0)</f>
        <v>0</v>
      </c>
    </row>
    <row r="68" spans="1:4" hidden="1" x14ac:dyDescent="0.4">
      <c r="A68" s="114" t="str">
        <f>Parts!A68</f>
        <v>DB24-4-56-O</v>
      </c>
      <c r="B68" s="114" t="str">
        <f>Parts!B68</f>
        <v>EUR-MDB24O4NAWP</v>
      </c>
      <c r="C68" s="114">
        <f t="shared" si="1"/>
        <v>0</v>
      </c>
      <c r="D68" s="114">
        <f>IFERROR(VLOOKUP(A68,Fan_Pricing!B:F,5,FALSE),0)</f>
        <v>0</v>
      </c>
    </row>
    <row r="69" spans="1:4" hidden="1" x14ac:dyDescent="0.4">
      <c r="A69" s="114" t="str">
        <f>Parts!A69</f>
        <v>DB24-4-56-O-M</v>
      </c>
      <c r="B69" s="114" t="str">
        <f>Parts!B69</f>
        <v>EUR-MDB24O4MCWP</v>
      </c>
      <c r="C69" s="114">
        <f t="shared" si="1"/>
        <v>0</v>
      </c>
      <c r="D69" s="114">
        <f>IFERROR(VLOOKUP(A69,Fan_Pricing!B:F,5,FALSE),0)</f>
        <v>0</v>
      </c>
    </row>
    <row r="70" spans="1:4" hidden="1" x14ac:dyDescent="0.4">
      <c r="A70" s="114" t="str">
        <f>Parts!A70</f>
        <v>DB36-4-56-O</v>
      </c>
      <c r="B70" s="114" t="str">
        <f>Parts!B70</f>
        <v>EUR-MDB36O4NAWP</v>
      </c>
      <c r="C70" s="114">
        <f t="shared" si="1"/>
        <v>0</v>
      </c>
      <c r="D70" s="114">
        <f>IFERROR(VLOOKUP(A70,Fan_Pricing!B:F,5,FALSE),0)</f>
        <v>0</v>
      </c>
    </row>
    <row r="71" spans="1:4" hidden="1" x14ac:dyDescent="0.4">
      <c r="A71" s="114" t="str">
        <f>Parts!A71</f>
        <v>DB36-4-56-O-M</v>
      </c>
      <c r="B71" s="114" t="str">
        <f>Parts!B71</f>
        <v>EUR-MDB36O4MCWP</v>
      </c>
      <c r="C71" s="114">
        <f t="shared" si="1"/>
        <v>0</v>
      </c>
      <c r="D71" s="114">
        <f>IFERROR(VLOOKUP(A71,Fan_Pricing!B:F,5,FALSE),0)</f>
        <v>0</v>
      </c>
    </row>
    <row r="72" spans="1:4" hidden="1" x14ac:dyDescent="0.4">
      <c r="A72" s="114" t="str">
        <f>Parts!A72</f>
        <v>DB48-4-56-O</v>
      </c>
      <c r="B72" s="114" t="str">
        <f>Parts!B72</f>
        <v>EUR-MDB48O4NAWP</v>
      </c>
      <c r="C72" s="114">
        <f t="shared" si="1"/>
        <v>0</v>
      </c>
      <c r="D72" s="114">
        <f>IFERROR(VLOOKUP(A72,Fan_Pricing!B:F,5,FALSE),0)</f>
        <v>0</v>
      </c>
    </row>
    <row r="73" spans="1:4" hidden="1" x14ac:dyDescent="0.4">
      <c r="A73" s="114" t="str">
        <f>Parts!A73</f>
        <v>DB48-4-56-O-M</v>
      </c>
      <c r="B73" s="114" t="str">
        <f>Parts!B73</f>
        <v>EUR-MDB48O4MCWP</v>
      </c>
      <c r="C73" s="114">
        <f t="shared" si="1"/>
        <v>0</v>
      </c>
      <c r="D73" s="114">
        <f>IFERROR(VLOOKUP(A73,Fan_Pricing!B:F,5,FALSE),0)</f>
        <v>0</v>
      </c>
    </row>
    <row r="74" spans="1:4" hidden="1" x14ac:dyDescent="0.4">
      <c r="A74" s="114" t="str">
        <f>Parts!A74</f>
        <v>DB60-4-56-O</v>
      </c>
      <c r="B74" s="114" t="str">
        <f>Parts!B74</f>
        <v>EUR-MDB60O4NAWP</v>
      </c>
      <c r="C74" s="114">
        <f t="shared" si="1"/>
        <v>0</v>
      </c>
      <c r="D74" s="114">
        <f>IFERROR(VLOOKUP(A74,Fan_Pricing!B:F,5,FALSE),0)</f>
        <v>0</v>
      </c>
    </row>
    <row r="75" spans="1:4" hidden="1" x14ac:dyDescent="0.4">
      <c r="A75" s="114" t="str">
        <f>Parts!A75</f>
        <v>DB60-4-56-O-M</v>
      </c>
      <c r="B75" s="114" t="str">
        <f>Parts!B75</f>
        <v>EUR-MDB60O4MCWP</v>
      </c>
      <c r="C75" s="114">
        <f t="shared" si="1"/>
        <v>0</v>
      </c>
      <c r="D75" s="114">
        <f>IFERROR(VLOOKUP(A75,Fan_Pricing!B:F,5,FALSE),0)</f>
        <v>0</v>
      </c>
    </row>
    <row r="76" spans="1:4" hidden="1" x14ac:dyDescent="0.4">
      <c r="A76" s="114" t="str">
        <f>Parts!A76</f>
        <v>DB72-4-56-O</v>
      </c>
      <c r="B76" s="114" t="str">
        <f>Parts!B76</f>
        <v>EUR-MDB72O4NAWP</v>
      </c>
      <c r="C76" s="114">
        <f t="shared" si="1"/>
        <v>0</v>
      </c>
      <c r="D76" s="114">
        <f>IFERROR(VLOOKUP(A76,Fan_Pricing!B:F,5,FALSE),0)</f>
        <v>0</v>
      </c>
    </row>
    <row r="77" spans="1:4" hidden="1" x14ac:dyDescent="0.4">
      <c r="A77" s="114" t="str">
        <f>Parts!A77</f>
        <v>DB72-4-56-O-M</v>
      </c>
      <c r="B77" s="114" t="str">
        <f>Parts!B77</f>
        <v>EUR-MDB72O4MCWP</v>
      </c>
      <c r="C77" s="114">
        <f t="shared" si="1"/>
        <v>0</v>
      </c>
      <c r="D77" s="114">
        <f>IFERROR(VLOOKUP(A77,Fan_Pricing!B:F,5,FALSE),0)</f>
        <v>0</v>
      </c>
    </row>
    <row r="78" spans="1:4" hidden="1" x14ac:dyDescent="0.4">
      <c r="A78" s="114" t="str">
        <f>Parts!A78</f>
        <v>DB24-2-42-G</v>
      </c>
      <c r="B78" s="114" t="str">
        <f>Parts!B78</f>
        <v>EUR-MDB24G</v>
      </c>
      <c r="C78" s="114">
        <f t="shared" si="1"/>
        <v>0</v>
      </c>
      <c r="D78" s="114">
        <f>IFERROR(VLOOKUP(A78,Fan_Pricing!B:F,5,FALSE),0)</f>
        <v>0</v>
      </c>
    </row>
    <row r="79" spans="1:4" hidden="1" x14ac:dyDescent="0.4">
      <c r="A79" s="114" t="str">
        <f>Parts!A79</f>
        <v>DB24-2-42-G-M</v>
      </c>
      <c r="B79" s="114" t="str">
        <f>Parts!B79</f>
        <v>EUR-MDB24G2MC</v>
      </c>
      <c r="C79" s="114">
        <f t="shared" si="1"/>
        <v>0</v>
      </c>
      <c r="D79" s="114">
        <f>IFERROR(VLOOKUP(A79,Fan_Pricing!B:F,5,FALSE),0)</f>
        <v>0</v>
      </c>
    </row>
    <row r="80" spans="1:4" hidden="1" x14ac:dyDescent="0.4">
      <c r="A80" s="114" t="str">
        <f>Parts!A80</f>
        <v>DB36-2-42-G</v>
      </c>
      <c r="B80" s="114" t="str">
        <f>Parts!B80</f>
        <v>EUR-MDB36G</v>
      </c>
      <c r="C80" s="114">
        <f t="shared" si="1"/>
        <v>0</v>
      </c>
      <c r="D80" s="114">
        <f>IFERROR(VLOOKUP(A80,Fan_Pricing!B:F,5,FALSE),0)</f>
        <v>0</v>
      </c>
    </row>
    <row r="81" spans="1:4" hidden="1" x14ac:dyDescent="0.4">
      <c r="A81" s="114" t="str">
        <f>Parts!A81</f>
        <v>DB36-2-42-G-M</v>
      </c>
      <c r="B81" s="114" t="str">
        <f>Parts!B81</f>
        <v>EUR-MDB36G2MC</v>
      </c>
      <c r="C81" s="114">
        <f t="shared" si="1"/>
        <v>0</v>
      </c>
      <c r="D81" s="114">
        <f>IFERROR(VLOOKUP(A81,Fan_Pricing!B:F,5,FALSE),0)</f>
        <v>0</v>
      </c>
    </row>
    <row r="82" spans="1:4" hidden="1" x14ac:dyDescent="0.4">
      <c r="A82" s="114" t="str">
        <f>Parts!A82</f>
        <v>DB48-2-42-G</v>
      </c>
      <c r="B82" s="114" t="str">
        <f>Parts!B82</f>
        <v>EUR-MDB48G</v>
      </c>
      <c r="C82" s="114">
        <f t="shared" ref="C82:C139" si="2">SUM(D82:Z82)</f>
        <v>0</v>
      </c>
      <c r="D82" s="114">
        <f>IFERROR(VLOOKUP(A82,Fan_Pricing!B:F,5,FALSE),0)</f>
        <v>0</v>
      </c>
    </row>
    <row r="83" spans="1:4" hidden="1" x14ac:dyDescent="0.4">
      <c r="A83" s="114" t="str">
        <f>Parts!A83</f>
        <v>DB48-2-42-G-M</v>
      </c>
      <c r="B83" s="114" t="str">
        <f>Parts!B83</f>
        <v>EUR-MDB48G2MC</v>
      </c>
      <c r="C83" s="114">
        <f t="shared" si="2"/>
        <v>0</v>
      </c>
      <c r="D83" s="114">
        <f>IFERROR(VLOOKUP(A83,Fan_Pricing!B:F,5,FALSE),0)</f>
        <v>0</v>
      </c>
    </row>
    <row r="84" spans="1:4" hidden="1" x14ac:dyDescent="0.4">
      <c r="A84" s="114" t="str">
        <f>Parts!A84</f>
        <v>DB60-2-42-G</v>
      </c>
      <c r="B84" s="114" t="str">
        <f>Parts!B84</f>
        <v>EUR-MDB60G</v>
      </c>
      <c r="C84" s="114">
        <f t="shared" si="2"/>
        <v>0</v>
      </c>
      <c r="D84" s="114">
        <f>IFERROR(VLOOKUP(A84,Fan_Pricing!B:F,5,FALSE),0)</f>
        <v>0</v>
      </c>
    </row>
    <row r="85" spans="1:4" hidden="1" x14ac:dyDescent="0.4">
      <c r="A85" s="114" t="str">
        <f>Parts!A85</f>
        <v>DB60-2-42-G-M</v>
      </c>
      <c r="B85" s="114" t="str">
        <f>Parts!B85</f>
        <v>EUR-MDB60G2MC</v>
      </c>
      <c r="C85" s="114">
        <f t="shared" si="2"/>
        <v>0</v>
      </c>
      <c r="D85" s="114">
        <f>IFERROR(VLOOKUP(A85,Fan_Pricing!B:F,5,FALSE),0)</f>
        <v>0</v>
      </c>
    </row>
    <row r="86" spans="1:4" hidden="1" x14ac:dyDescent="0.4">
      <c r="A86" s="114" t="str">
        <f>Parts!A86</f>
        <v>DB72-2-42-G</v>
      </c>
      <c r="B86" s="114" t="str">
        <f>Parts!B86</f>
        <v>EUR-MDB72G</v>
      </c>
      <c r="C86" s="114">
        <f t="shared" si="2"/>
        <v>0</v>
      </c>
      <c r="D86" s="114">
        <f>IFERROR(VLOOKUP(A86,Fan_Pricing!B:F,5,FALSE),0)</f>
        <v>0</v>
      </c>
    </row>
    <row r="87" spans="1:4" hidden="1" x14ac:dyDescent="0.4">
      <c r="A87" s="114" t="str">
        <f>Parts!A87</f>
        <v>DB72-2-42-G-M</v>
      </c>
      <c r="B87" s="114" t="str">
        <f>Parts!B87</f>
        <v>EUR-MDB72G2MC</v>
      </c>
      <c r="C87" s="114">
        <f t="shared" si="2"/>
        <v>0</v>
      </c>
      <c r="D87" s="114">
        <f>IFERROR(VLOOKUP(A87,Fan_Pricing!B:F,5,FALSE),0)</f>
        <v>0</v>
      </c>
    </row>
    <row r="88" spans="1:4" hidden="1" x14ac:dyDescent="0.4">
      <c r="A88" s="114" t="str">
        <f>Parts!A88</f>
        <v>DB24-2-56-G</v>
      </c>
      <c r="B88" s="114" t="str">
        <f>Parts!B88</f>
        <v>EUR-MDB24G/WP</v>
      </c>
      <c r="C88" s="114">
        <f t="shared" si="2"/>
        <v>0</v>
      </c>
      <c r="D88" s="114">
        <f>IFERROR(VLOOKUP(A88,Fan_Pricing!B:F,5,FALSE),0)</f>
        <v>0</v>
      </c>
    </row>
    <row r="89" spans="1:4" hidden="1" x14ac:dyDescent="0.4">
      <c r="A89" s="114" t="str">
        <f>Parts!A89</f>
        <v>DB24-2-56-G-M</v>
      </c>
      <c r="B89" s="114" t="str">
        <f>Parts!B89</f>
        <v>EUR-MDB24G2MCWP</v>
      </c>
      <c r="C89" s="114">
        <f t="shared" si="2"/>
        <v>0</v>
      </c>
      <c r="D89" s="114">
        <f>IFERROR(VLOOKUP(A89,Fan_Pricing!B:F,5,FALSE),0)</f>
        <v>0</v>
      </c>
    </row>
    <row r="90" spans="1:4" hidden="1" x14ac:dyDescent="0.4">
      <c r="A90" s="114" t="str">
        <f>Parts!A90</f>
        <v>DB36-2-56-G</v>
      </c>
      <c r="B90" s="114" t="str">
        <f>Parts!B90</f>
        <v>EUR-MDB36G/WP</v>
      </c>
      <c r="C90" s="114">
        <f t="shared" si="2"/>
        <v>0</v>
      </c>
      <c r="D90" s="114">
        <f>IFERROR(VLOOKUP(A90,Fan_Pricing!B:F,5,FALSE),0)</f>
        <v>0</v>
      </c>
    </row>
    <row r="91" spans="1:4" hidden="1" x14ac:dyDescent="0.4">
      <c r="A91" s="114" t="str">
        <f>Parts!A91</f>
        <v>DB36-2-56-G-M</v>
      </c>
      <c r="B91" s="114" t="str">
        <f>Parts!B91</f>
        <v>EUR-MDB36G2MCWP</v>
      </c>
      <c r="C91" s="114">
        <f t="shared" si="2"/>
        <v>0</v>
      </c>
      <c r="D91" s="114">
        <f>IFERROR(VLOOKUP(A91,Fan_Pricing!B:F,5,FALSE),0)</f>
        <v>0</v>
      </c>
    </row>
    <row r="92" spans="1:4" hidden="1" x14ac:dyDescent="0.4">
      <c r="A92" s="114" t="str">
        <f>Parts!A92</f>
        <v>DB48-2-56-G</v>
      </c>
      <c r="B92" s="114" t="str">
        <f>Parts!B92</f>
        <v>EUR-MDB48G/WP</v>
      </c>
      <c r="C92" s="114">
        <f t="shared" si="2"/>
        <v>0</v>
      </c>
      <c r="D92" s="114">
        <f>IFERROR(VLOOKUP(A92,Fan_Pricing!B:F,5,FALSE),0)</f>
        <v>0</v>
      </c>
    </row>
    <row r="93" spans="1:4" hidden="1" x14ac:dyDescent="0.4">
      <c r="A93" s="114" t="str">
        <f>Parts!A93</f>
        <v>DB48-2-56-G-M</v>
      </c>
      <c r="B93" s="114" t="str">
        <f>Parts!B93</f>
        <v>EUR-MDB48G2MCWP</v>
      </c>
      <c r="C93" s="114">
        <f t="shared" si="2"/>
        <v>0</v>
      </c>
      <c r="D93" s="114">
        <f>IFERROR(VLOOKUP(A93,Fan_Pricing!B:F,5,FALSE),0)</f>
        <v>0</v>
      </c>
    </row>
    <row r="94" spans="1:4" hidden="1" x14ac:dyDescent="0.4">
      <c r="A94" s="114" t="str">
        <f>Parts!A94</f>
        <v>DB60-2-56-G</v>
      </c>
      <c r="B94" s="114" t="str">
        <f>Parts!B94</f>
        <v>EUR-MDB60G/WP</v>
      </c>
      <c r="C94" s="114">
        <f t="shared" si="2"/>
        <v>0</v>
      </c>
      <c r="D94" s="114">
        <f>IFERROR(VLOOKUP(A94,Fan_Pricing!B:F,5,FALSE),0)</f>
        <v>0</v>
      </c>
    </row>
    <row r="95" spans="1:4" hidden="1" x14ac:dyDescent="0.4">
      <c r="A95" s="114" t="str">
        <f>Parts!A95</f>
        <v>DB60-2-56-G-M</v>
      </c>
      <c r="B95" s="114" t="str">
        <f>Parts!B95</f>
        <v>EUR-MDB60G2MCWP</v>
      </c>
      <c r="C95" s="114">
        <f t="shared" si="2"/>
        <v>0</v>
      </c>
      <c r="D95" s="114">
        <f>IFERROR(VLOOKUP(A95,Fan_Pricing!B:F,5,FALSE),0)</f>
        <v>0</v>
      </c>
    </row>
    <row r="96" spans="1:4" hidden="1" x14ac:dyDescent="0.4">
      <c r="A96" s="114" t="str">
        <f>Parts!A96</f>
        <v>DB72-2-56-G</v>
      </c>
      <c r="B96" s="114" t="str">
        <f>Parts!B96</f>
        <v>EUR-MDB72G/WP</v>
      </c>
      <c r="C96" s="114">
        <f t="shared" si="2"/>
        <v>0</v>
      </c>
      <c r="D96" s="114">
        <f>IFERROR(VLOOKUP(A96,Fan_Pricing!B:F,5,FALSE),0)</f>
        <v>0</v>
      </c>
    </row>
    <row r="97" spans="1:4" hidden="1" x14ac:dyDescent="0.4">
      <c r="A97" s="114" t="str">
        <f>Parts!A97</f>
        <v>DB72-2-56-G-M</v>
      </c>
      <c r="B97" s="114" t="str">
        <f>Parts!B97</f>
        <v>EUR-MDB72G2MCWP</v>
      </c>
      <c r="C97" s="114">
        <f t="shared" si="2"/>
        <v>0</v>
      </c>
      <c r="D97" s="114">
        <f>IFERROR(VLOOKUP(A97,Fan_Pricing!B:F,5,FALSE),0)</f>
        <v>0</v>
      </c>
    </row>
    <row r="98" spans="1:4" hidden="1" x14ac:dyDescent="0.4">
      <c r="A98" s="114" t="str">
        <f>Parts!A98</f>
        <v>DB24-4-42-G</v>
      </c>
      <c r="B98" s="114" t="str">
        <f>Parts!B98</f>
        <v>EUR-MDB24G4NA</v>
      </c>
      <c r="C98" s="114">
        <f t="shared" si="2"/>
        <v>0</v>
      </c>
      <c r="D98" s="114">
        <f>IFERROR(VLOOKUP(A98,Fan_Pricing!B:F,5,FALSE),0)</f>
        <v>0</v>
      </c>
    </row>
    <row r="99" spans="1:4" hidden="1" x14ac:dyDescent="0.4">
      <c r="A99" s="114" t="str">
        <f>Parts!A99</f>
        <v>DB24-4-42-G-M</v>
      </c>
      <c r="B99" s="114" t="str">
        <f>Parts!B99</f>
        <v>EUR-MDB24G4MC</v>
      </c>
      <c r="C99" s="114">
        <f t="shared" si="2"/>
        <v>0</v>
      </c>
      <c r="D99" s="114">
        <f>IFERROR(VLOOKUP(A99,Fan_Pricing!B:F,5,FALSE),0)</f>
        <v>0</v>
      </c>
    </row>
    <row r="100" spans="1:4" hidden="1" x14ac:dyDescent="0.4">
      <c r="A100" s="114" t="str">
        <f>Parts!A100</f>
        <v>DB36-4-42-G</v>
      </c>
      <c r="B100" s="114" t="str">
        <f>Parts!B100</f>
        <v>EUR-MDB36G4NA</v>
      </c>
      <c r="C100" s="114">
        <f t="shared" si="2"/>
        <v>0</v>
      </c>
      <c r="D100" s="114">
        <f>IFERROR(VLOOKUP(A100,Fan_Pricing!B:F,5,FALSE),0)</f>
        <v>0</v>
      </c>
    </row>
    <row r="101" spans="1:4" hidden="1" x14ac:dyDescent="0.4">
      <c r="A101" s="114" t="str">
        <f>Parts!A101</f>
        <v>DB36-4-42-G-M</v>
      </c>
      <c r="B101" s="114" t="str">
        <f>Parts!B101</f>
        <v>EUR-MDB36G4MC</v>
      </c>
      <c r="C101" s="114">
        <f t="shared" si="2"/>
        <v>0</v>
      </c>
      <c r="D101" s="114">
        <f>IFERROR(VLOOKUP(A101,Fan_Pricing!B:F,5,FALSE),0)</f>
        <v>0</v>
      </c>
    </row>
    <row r="102" spans="1:4" hidden="1" x14ac:dyDescent="0.4">
      <c r="A102" s="114" t="str">
        <f>Parts!A102</f>
        <v>DB48-4-42-G</v>
      </c>
      <c r="B102" s="114" t="str">
        <f>Parts!B102</f>
        <v>EUR-MDB48G4NA</v>
      </c>
      <c r="C102" s="114">
        <f t="shared" si="2"/>
        <v>0</v>
      </c>
      <c r="D102" s="114">
        <f>IFERROR(VLOOKUP(A102,Fan_Pricing!B:F,5,FALSE),0)</f>
        <v>0</v>
      </c>
    </row>
    <row r="103" spans="1:4" hidden="1" x14ac:dyDescent="0.4">
      <c r="A103" s="114" t="str">
        <f>Parts!A103</f>
        <v>DB48-4-42-G-M</v>
      </c>
      <c r="B103" s="114" t="str">
        <f>Parts!B103</f>
        <v>EUR-MDB48G4MC</v>
      </c>
      <c r="C103" s="114">
        <f t="shared" si="2"/>
        <v>0</v>
      </c>
      <c r="D103" s="114">
        <f>IFERROR(VLOOKUP(A103,Fan_Pricing!B:F,5,FALSE),0)</f>
        <v>0</v>
      </c>
    </row>
    <row r="104" spans="1:4" hidden="1" x14ac:dyDescent="0.4">
      <c r="A104" s="114" t="str">
        <f>Parts!A104</f>
        <v>DB60-4-42-G</v>
      </c>
      <c r="B104" s="114" t="str">
        <f>Parts!B104</f>
        <v>EUR-MDB60G4NA</v>
      </c>
      <c r="C104" s="114">
        <f t="shared" si="2"/>
        <v>0</v>
      </c>
      <c r="D104" s="114">
        <f>IFERROR(VLOOKUP(A104,Fan_Pricing!B:F,5,FALSE),0)</f>
        <v>0</v>
      </c>
    </row>
    <row r="105" spans="1:4" hidden="1" x14ac:dyDescent="0.4">
      <c r="A105" s="114" t="str">
        <f>Parts!A105</f>
        <v>DB60-4-42-G-M</v>
      </c>
      <c r="B105" s="114" t="str">
        <f>Parts!B105</f>
        <v>EUR-MDB60G4MC</v>
      </c>
      <c r="C105" s="114">
        <f t="shared" si="2"/>
        <v>0</v>
      </c>
      <c r="D105" s="114">
        <f>IFERROR(VLOOKUP(A105,Fan_Pricing!B:F,5,FALSE),0)</f>
        <v>0</v>
      </c>
    </row>
    <row r="106" spans="1:4" hidden="1" x14ac:dyDescent="0.4">
      <c r="A106" s="114" t="str">
        <f>Parts!A106</f>
        <v>DB72-4-42-G</v>
      </c>
      <c r="B106" s="114" t="str">
        <f>Parts!B106</f>
        <v>EUR-MDB72G4NA</v>
      </c>
      <c r="C106" s="114">
        <f t="shared" si="2"/>
        <v>0</v>
      </c>
      <c r="D106" s="114">
        <f>IFERROR(VLOOKUP(A106,Fan_Pricing!B:F,5,FALSE),0)</f>
        <v>0</v>
      </c>
    </row>
    <row r="107" spans="1:4" hidden="1" x14ac:dyDescent="0.4">
      <c r="A107" s="114" t="str">
        <f>Parts!A107</f>
        <v>DB72-4-42-G-M</v>
      </c>
      <c r="B107" s="114" t="str">
        <f>Parts!B107</f>
        <v>EUR-MDB72G4MC</v>
      </c>
      <c r="C107" s="114">
        <f t="shared" si="2"/>
        <v>0</v>
      </c>
      <c r="D107" s="114">
        <f>IFERROR(VLOOKUP(A107,Fan_Pricing!B:F,5,FALSE),0)</f>
        <v>0</v>
      </c>
    </row>
    <row r="108" spans="1:4" hidden="1" x14ac:dyDescent="0.4">
      <c r="A108" s="114" t="str">
        <f>Parts!A108</f>
        <v>DB24-4-56-G</v>
      </c>
      <c r="B108" s="114" t="str">
        <f>Parts!B108</f>
        <v>EUR-MDB24G4NAWP</v>
      </c>
      <c r="C108" s="114">
        <f t="shared" si="2"/>
        <v>0</v>
      </c>
      <c r="D108" s="114">
        <f>IFERROR(VLOOKUP(A108,Fan_Pricing!B:F,5,FALSE),0)</f>
        <v>0</v>
      </c>
    </row>
    <row r="109" spans="1:4" hidden="1" x14ac:dyDescent="0.4">
      <c r="A109" s="114" t="str">
        <f>Parts!A109</f>
        <v>DB24-4-56-G-M</v>
      </c>
      <c r="B109" s="114" t="str">
        <f>Parts!B109</f>
        <v>EUR-MDB24G4MCWP</v>
      </c>
      <c r="C109" s="114">
        <f t="shared" si="2"/>
        <v>0</v>
      </c>
      <c r="D109" s="114">
        <f>IFERROR(VLOOKUP(A109,Fan_Pricing!B:F,5,FALSE),0)</f>
        <v>0</v>
      </c>
    </row>
    <row r="110" spans="1:4" hidden="1" x14ac:dyDescent="0.4">
      <c r="A110" s="114" t="str">
        <f>Parts!A110</f>
        <v>DB36-4-56-G</v>
      </c>
      <c r="B110" s="114" t="str">
        <f>Parts!B110</f>
        <v>EUR-MDB36G4NAWP</v>
      </c>
      <c r="C110" s="114">
        <f t="shared" si="2"/>
        <v>0</v>
      </c>
      <c r="D110" s="114">
        <f>IFERROR(VLOOKUP(A110,Fan_Pricing!B:F,5,FALSE),0)</f>
        <v>0</v>
      </c>
    </row>
    <row r="111" spans="1:4" hidden="1" x14ac:dyDescent="0.4">
      <c r="A111" s="114" t="str">
        <f>Parts!A111</f>
        <v>DB36-4-56-G-M</v>
      </c>
      <c r="B111" s="114" t="str">
        <f>Parts!B111</f>
        <v>EUR-MDB36G4MCWP</v>
      </c>
      <c r="C111" s="114">
        <f t="shared" si="2"/>
        <v>0</v>
      </c>
      <c r="D111" s="114">
        <f>IFERROR(VLOOKUP(A111,Fan_Pricing!B:F,5,FALSE),0)</f>
        <v>0</v>
      </c>
    </row>
    <row r="112" spans="1:4" hidden="1" x14ac:dyDescent="0.4">
      <c r="A112" s="114" t="str">
        <f>Parts!A112</f>
        <v>DB48-4-56-G</v>
      </c>
      <c r="B112" s="114" t="str">
        <f>Parts!B112</f>
        <v>EUR-MDB48G4NAWP</v>
      </c>
      <c r="C112" s="114">
        <f t="shared" si="2"/>
        <v>0</v>
      </c>
      <c r="D112" s="114">
        <f>IFERROR(VLOOKUP(A112,Fan_Pricing!B:F,5,FALSE),0)</f>
        <v>0</v>
      </c>
    </row>
    <row r="113" spans="1:4" hidden="1" x14ac:dyDescent="0.4">
      <c r="A113" s="114" t="str">
        <f>Parts!A113</f>
        <v>DB48-4-56-G-M</v>
      </c>
      <c r="B113" s="114" t="str">
        <f>Parts!B113</f>
        <v>EUR-MDB48G4MCWP</v>
      </c>
      <c r="C113" s="114">
        <f t="shared" si="2"/>
        <v>0</v>
      </c>
      <c r="D113" s="114">
        <f>IFERROR(VLOOKUP(A113,Fan_Pricing!B:F,5,FALSE),0)</f>
        <v>0</v>
      </c>
    </row>
    <row r="114" spans="1:4" hidden="1" x14ac:dyDescent="0.4">
      <c r="A114" s="114" t="str">
        <f>Parts!A114</f>
        <v>DB60-4-56-G</v>
      </c>
      <c r="B114" s="114" t="str">
        <f>Parts!B114</f>
        <v>EUR-MDB60G4NAWP</v>
      </c>
      <c r="C114" s="114">
        <f t="shared" si="2"/>
        <v>0</v>
      </c>
      <c r="D114" s="114">
        <f>IFERROR(VLOOKUP(A114,Fan_Pricing!B:F,5,FALSE),0)</f>
        <v>0</v>
      </c>
    </row>
    <row r="115" spans="1:4" hidden="1" x14ac:dyDescent="0.4">
      <c r="A115" s="114" t="str">
        <f>Parts!A115</f>
        <v>DB60-4-56-G-M</v>
      </c>
      <c r="B115" s="114" t="str">
        <f>Parts!B115</f>
        <v>EUR-MDB60G4MCWP</v>
      </c>
      <c r="C115" s="114">
        <f t="shared" si="2"/>
        <v>0</v>
      </c>
      <c r="D115" s="114">
        <f>IFERROR(VLOOKUP(A115,Fan_Pricing!B:F,5,FALSE),0)</f>
        <v>0</v>
      </c>
    </row>
    <row r="116" spans="1:4" hidden="1" x14ac:dyDescent="0.4">
      <c r="A116" s="114" t="str">
        <f>Parts!A116</f>
        <v>DB72-4-56-G</v>
      </c>
      <c r="B116" s="114" t="str">
        <f>Parts!B116</f>
        <v>EUR-MDB72G4NAWP</v>
      </c>
      <c r="C116" s="114">
        <f t="shared" si="2"/>
        <v>0</v>
      </c>
      <c r="D116" s="114">
        <f>IFERROR(VLOOKUP(A116,Fan_Pricing!B:F,5,FALSE),0)</f>
        <v>0</v>
      </c>
    </row>
    <row r="117" spans="1:4" hidden="1" x14ac:dyDescent="0.4">
      <c r="A117" s="114" t="str">
        <f>Parts!A117</f>
        <v>DB72-4-56-G-M</v>
      </c>
      <c r="B117" s="114" t="str">
        <f>Parts!B117</f>
        <v>EUR-MDB72G4MCWP</v>
      </c>
      <c r="C117" s="114">
        <f t="shared" si="2"/>
        <v>0</v>
      </c>
      <c r="D117" s="114">
        <f>IFERROR(VLOOKUP(A117,Fan_Pricing!B:F,5,FALSE),0)</f>
        <v>0</v>
      </c>
    </row>
    <row r="118" spans="1:4" hidden="1" x14ac:dyDescent="0.4">
      <c r="A118" s="114" t="str">
        <f>Parts!A118</f>
        <v>MS3100</v>
      </c>
      <c r="B118" s="114" t="str">
        <f>Parts!B118</f>
        <v>MS3100</v>
      </c>
      <c r="C118" s="114">
        <f t="shared" si="2"/>
        <v>0</v>
      </c>
      <c r="D118" s="114">
        <f>IFERROR(VLOOKUP(A118,Fan_Pricing!B:F,5,FALSE),0)</f>
        <v>0</v>
      </c>
    </row>
    <row r="119" spans="1:4" x14ac:dyDescent="0.4">
      <c r="A119" s="114" t="str">
        <f>Parts!A119</f>
        <v>4mm Cable 3 core and Earth</v>
      </c>
      <c r="B119" s="114" t="str">
        <f>Parts!B119</f>
        <v>4mm Cable 3 core and Earth</v>
      </c>
      <c r="C119" s="114">
        <f t="shared" si="2"/>
        <v>0</v>
      </c>
      <c r="D119" s="114">
        <f>IFERROR(VLOOKUP(A119,Fan_Pricing!B:F,5,FALSE),0)</f>
        <v>0</v>
      </c>
    </row>
    <row r="120" spans="1:4" hidden="1" x14ac:dyDescent="0.4">
      <c r="A120" s="114" t="str">
        <f>Parts!A120</f>
        <v>6mm Cable 3 core and Earth</v>
      </c>
      <c r="B120" s="114" t="str">
        <f>Parts!B120</f>
        <v>6mm Cable 3 core and Earth</v>
      </c>
      <c r="C120" s="114">
        <f t="shared" si="2"/>
        <v>0</v>
      </c>
      <c r="D120" s="114">
        <f>IFERROR(VLOOKUP(A120,Fan_Pricing!B:F,5,FALSE),0)</f>
        <v>0</v>
      </c>
    </row>
    <row r="121" spans="1:4" hidden="1" x14ac:dyDescent="0.4">
      <c r="A121" s="114" t="str">
        <f>Parts!A121</f>
        <v>Network cable</v>
      </c>
      <c r="B121" s="114" t="str">
        <f>Parts!B121</f>
        <v>Network cable</v>
      </c>
      <c r="C121" s="114">
        <f t="shared" si="2"/>
        <v>0</v>
      </c>
      <c r="D121" s="114">
        <f>IFERROR(VLOOKUP(A121,Fan_Pricing!B:F,5,FALSE),0)</f>
        <v>0</v>
      </c>
    </row>
    <row r="122" spans="1:4" hidden="1" x14ac:dyDescent="0.4">
      <c r="A122" s="114" t="str">
        <f>Parts!A122</f>
        <v xml:space="preserve">Central Controller VRF </v>
      </c>
      <c r="B122" s="114" t="str">
        <f>Parts!B122</f>
        <v xml:space="preserve">Central Controller VRF </v>
      </c>
      <c r="C122" s="114">
        <f t="shared" si="2"/>
        <v>0</v>
      </c>
      <c r="D122" s="114">
        <f>IFERROR(VLOOKUP(A122,Fan_Pricing!B:F,5,FALSE),0)</f>
        <v>0</v>
      </c>
    </row>
    <row r="123" spans="1:4" hidden="1" x14ac:dyDescent="0.4">
      <c r="A123" s="114" t="str">
        <f>Parts!A123</f>
        <v>003 Keyed Padlocks</v>
      </c>
      <c r="B123" s="114">
        <f>Parts!B123</f>
        <v>0</v>
      </c>
      <c r="C123" s="114">
        <f t="shared" si="2"/>
        <v>0</v>
      </c>
      <c r="D123" s="114">
        <f>IFERROR(VLOOKUP(A123,Fan_Pricing!B:F,5,FALSE),0)</f>
        <v>0</v>
      </c>
    </row>
    <row r="124" spans="1:4" x14ac:dyDescent="0.4">
      <c r="A124" s="114" t="str">
        <f>Parts!A124</f>
        <v>Air Pressure Switch</v>
      </c>
      <c r="B124" s="114">
        <f>Parts!B124</f>
        <v>0</v>
      </c>
      <c r="C124" s="114">
        <f t="shared" si="2"/>
        <v>0</v>
      </c>
      <c r="D124" s="114">
        <f>IFERROR(VLOOKUP(A124,Fan_Pricing!B:F,5,FALSE),0)</f>
        <v>0</v>
      </c>
    </row>
    <row r="125" spans="1:4" x14ac:dyDescent="0.4">
      <c r="A125" s="114" t="str">
        <f>Parts!A125</f>
        <v>Interface for fire trade fan control</v>
      </c>
      <c r="B125" s="114">
        <f>Parts!B125</f>
        <v>0</v>
      </c>
      <c r="C125" s="114">
        <f t="shared" si="2"/>
        <v>0</v>
      </c>
      <c r="D125" s="114">
        <f>IFERROR(VLOOKUP(A125,Fan_Pricing!B:F,5,FALSE),0)</f>
        <v>0</v>
      </c>
    </row>
    <row r="126" spans="1:4" hidden="1" x14ac:dyDescent="0.4">
      <c r="A126" s="114" t="str">
        <f>Parts!A126</f>
        <v>FRC3025+E</v>
      </c>
      <c r="B126" s="114">
        <f>Parts!B126</f>
        <v>0</v>
      </c>
      <c r="C126" s="114">
        <f t="shared" si="2"/>
        <v>0</v>
      </c>
      <c r="D126" s="114">
        <f>IFERROR(VLOOKUP(A126,Fan_Pricing!B:F,5,FALSE),0)</f>
        <v>0</v>
      </c>
    </row>
    <row r="127" spans="1:4" x14ac:dyDescent="0.4">
      <c r="A127" s="114" t="str">
        <f>Parts!A127</f>
        <v>Transformer (50A)</v>
      </c>
      <c r="B127" s="114" t="str">
        <f>Parts!B127</f>
        <v>TOH63</v>
      </c>
      <c r="C127" s="114">
        <f t="shared" si="2"/>
        <v>0</v>
      </c>
      <c r="D127" s="114">
        <f>IFERROR(VLOOKUP(A127,Fan_Pricing!B:F,5,FALSE),0)</f>
        <v>0</v>
      </c>
    </row>
    <row r="128" spans="1:4" x14ac:dyDescent="0.4">
      <c r="A128" s="114" t="str">
        <f>Parts!A128</f>
        <v>Switchplate (4 Switches)</v>
      </c>
      <c r="B128" s="114">
        <f>Parts!B128</f>
        <v>0</v>
      </c>
      <c r="C128" s="114">
        <f t="shared" si="2"/>
        <v>0</v>
      </c>
      <c r="D128" s="114">
        <f>IFERROR(VLOOKUP(A128,Fan_Pricing!B:F,5,FALSE),0)</f>
        <v>0</v>
      </c>
    </row>
    <row r="129" spans="1:4" x14ac:dyDescent="0.4">
      <c r="A129" s="114" t="str">
        <f>Parts!A129</f>
        <v>Push Button</v>
      </c>
      <c r="B129" s="114" t="str">
        <f>Parts!B129</f>
        <v>PBF22B</v>
      </c>
      <c r="C129" s="114">
        <f t="shared" si="2"/>
        <v>0</v>
      </c>
      <c r="D129" s="114">
        <f>IFERROR(VLOOKUP(A129,Fan_Pricing!B:F,5,FALSE),0)</f>
        <v>0</v>
      </c>
    </row>
    <row r="130" spans="1:4" x14ac:dyDescent="0.4">
      <c r="A130" s="114" t="str">
        <f>Parts!A130</f>
        <v>Speed Control Dial</v>
      </c>
      <c r="B130" s="114">
        <f>Parts!B130</f>
        <v>0</v>
      </c>
      <c r="C130" s="114">
        <f t="shared" si="2"/>
        <v>0</v>
      </c>
      <c r="D130" s="114">
        <f>IFERROR(VLOOKUP(A130,Fan_Pricing!B:F,5,FALSE),0)</f>
        <v>0</v>
      </c>
    </row>
    <row r="131" spans="1:4" hidden="1" x14ac:dyDescent="0.4">
      <c r="A131" s="114" t="str">
        <f>Parts!A131</f>
        <v>SSR (3 phase)</v>
      </c>
      <c r="B131" s="114">
        <f>Parts!B131</f>
        <v>0</v>
      </c>
      <c r="C131" s="114">
        <f t="shared" si="2"/>
        <v>0</v>
      </c>
      <c r="D131" s="114">
        <f>IFERROR(VLOOKUP(A131,Fan_Pricing!B:F,5,FALSE),0)</f>
        <v>0</v>
      </c>
    </row>
    <row r="132" spans="1:4" hidden="1" x14ac:dyDescent="0.4">
      <c r="A132" s="114" t="str">
        <f>Parts!A132</f>
        <v>HPT</v>
      </c>
      <c r="B132" s="114">
        <f>Parts!B132</f>
        <v>0</v>
      </c>
      <c r="C132" s="114">
        <f t="shared" si="2"/>
        <v>0</v>
      </c>
      <c r="D132" s="114">
        <f>IFERROR(VLOOKUP(A132,Fan_Pricing!B:F,5,FALSE),0)</f>
        <v>0</v>
      </c>
    </row>
    <row r="133" spans="1:4" hidden="1" x14ac:dyDescent="0.4">
      <c r="A133" s="114" t="str">
        <f>Parts!A133</f>
        <v>VSD Small (2k2)</v>
      </c>
      <c r="B133" s="114" t="str">
        <f>Parts!B133</f>
        <v>FC-101P2K2</v>
      </c>
      <c r="C133" s="114">
        <f t="shared" si="2"/>
        <v>0</v>
      </c>
      <c r="D133" s="114">
        <f>IFERROR(VLOOKUP(A133,Fan_Pricing!B:F,5,FALSE),0)</f>
        <v>0</v>
      </c>
    </row>
    <row r="134" spans="1:4" hidden="1" x14ac:dyDescent="0.4">
      <c r="A134" s="114" t="str">
        <f>Parts!A134</f>
        <v>VSD Medium (5k5)</v>
      </c>
      <c r="B134" s="114" t="str">
        <f>Parts!B134</f>
        <v>FC-101P5K5</v>
      </c>
      <c r="C134" s="114">
        <f t="shared" si="2"/>
        <v>0</v>
      </c>
      <c r="D134" s="114">
        <f>IFERROR(VLOOKUP(A134,Fan_Pricing!B:F,5,FALSE),0)</f>
        <v>0</v>
      </c>
    </row>
    <row r="135" spans="1:4" hidden="1" x14ac:dyDescent="0.4">
      <c r="A135" s="114" t="str">
        <f>Parts!A135</f>
        <v>VSD Large (11k)</v>
      </c>
      <c r="B135" s="114" t="str">
        <f>Parts!B135</f>
        <v>FC-101P11K</v>
      </c>
      <c r="C135" s="114">
        <f t="shared" si="2"/>
        <v>0</v>
      </c>
      <c r="D135" s="114">
        <f>IFERROR(VLOOKUP(A135,Fan_Pricing!B:F,5,FALSE),0)</f>
        <v>0</v>
      </c>
    </row>
    <row r="136" spans="1:4" hidden="1" x14ac:dyDescent="0.4">
      <c r="A136" s="114" t="str">
        <f>Parts!A136</f>
        <v>Spring return damper actuator</v>
      </c>
      <c r="B136" s="114">
        <f>Parts!B136</f>
        <v>0</v>
      </c>
      <c r="C136" s="114">
        <f t="shared" si="2"/>
        <v>0</v>
      </c>
      <c r="D136" s="114">
        <f>IFERROR(VLOOKUP(A136,Fan_Pricing!B:F,5,FALSE),0)</f>
        <v>0</v>
      </c>
    </row>
    <row r="137" spans="1:4" hidden="1" x14ac:dyDescent="0.4">
      <c r="A137" s="114" t="str">
        <f>Parts!A137</f>
        <v>Run Status Light</v>
      </c>
      <c r="B137" s="114" t="str">
        <f>Parts!B137</f>
        <v>PL22G24LED + PL22R24LED</v>
      </c>
      <c r="C137" s="114">
        <f t="shared" si="2"/>
        <v>0</v>
      </c>
      <c r="D137" s="114">
        <f>IFERROR(VLOOKUP(A137,Fan_Pricing!B:F,5,FALSE),0)</f>
        <v>0</v>
      </c>
    </row>
    <row r="138" spans="1:4" x14ac:dyDescent="0.4">
      <c r="A138" s="114" t="str">
        <f>Parts!A138</f>
        <v>Contactor</v>
      </c>
      <c r="B138" s="114">
        <f>Parts!B138</f>
        <v>0</v>
      </c>
      <c r="C138" s="114">
        <f t="shared" si="2"/>
        <v>0</v>
      </c>
      <c r="D138" s="114">
        <f>IFERROR(VLOOKUP(A138,Fan_Pricing!B:F,5,FALSE),0)</f>
        <v>0</v>
      </c>
    </row>
    <row r="139" spans="1:4" hidden="1" x14ac:dyDescent="0.4">
      <c r="A139" s="114" t="str">
        <f>Parts!A139</f>
        <v>Overloads</v>
      </c>
      <c r="B139" s="114">
        <f>Parts!B139</f>
        <v>0</v>
      </c>
      <c r="C139" s="114">
        <f t="shared" si="2"/>
        <v>0</v>
      </c>
      <c r="D139" s="114">
        <f>IFERROR(VLOOKUP(A139,Fan_Pricing!B:F,5,FALSE),0)</f>
        <v>0</v>
      </c>
    </row>
  </sheetData>
  <autoFilter ref="A1:D139" xr:uid="{C9055BDC-C8D3-4119-BCFA-8613EAD6904D}">
    <filterColumn colId="2">
      <filters>
        <filter val="1"/>
        <filter val="30"/>
        <filter val="5"/>
      </filters>
    </filterColumn>
  </autoFilter>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1891-7B3B-4DAA-B618-E1A2D6914CED}">
  <dimension ref="A1:B29"/>
  <sheetViews>
    <sheetView workbookViewId="0">
      <selection activeCell="A3" sqref="A3"/>
    </sheetView>
  </sheetViews>
  <sheetFormatPr defaultRowHeight="14.6" x14ac:dyDescent="0.4"/>
  <cols>
    <col min="1" max="1" width="31.53515625" customWidth="1"/>
  </cols>
  <sheetData>
    <row r="1" spans="1:2" x14ac:dyDescent="0.4">
      <c r="A1" s="318" t="s">
        <v>724</v>
      </c>
      <c r="B1" s="579" t="s">
        <v>843</v>
      </c>
    </row>
    <row r="2" spans="1:2" x14ac:dyDescent="0.4">
      <c r="A2" s="318" t="s">
        <v>982</v>
      </c>
      <c r="B2" s="579">
        <f>SUMIF(Fan_Takeoff!B:B,A2,Fan_Takeoff!U:U)+SUMIF(Fan_Takeoff!C:C,A2,Fan_Takeoff!U:U)</f>
        <v>0</v>
      </c>
    </row>
    <row r="3" spans="1:2" x14ac:dyDescent="0.4">
      <c r="A3" s="318" t="s">
        <v>983</v>
      </c>
      <c r="B3" s="579">
        <f>SUMIF(Fan_Takeoff!B:B,A3,Fan_Takeoff!U:U)+SUMIF(Fan_Takeoff!C:C,A3,Fan_Takeoff!U:U)</f>
        <v>0</v>
      </c>
    </row>
    <row r="4" spans="1:2" x14ac:dyDescent="0.4">
      <c r="A4" s="318" t="s">
        <v>1419</v>
      </c>
      <c r="B4" s="579">
        <f>SUMIF(Fan_Takeoff!B:B,A4,Fan_Takeoff!U:U)+SUMIF(Fan_Takeoff!C:C,A4,Fan_Takeoff!U:U)</f>
        <v>0</v>
      </c>
    </row>
    <row r="5" spans="1:2" x14ac:dyDescent="0.4">
      <c r="A5" s="318" t="s">
        <v>1418</v>
      </c>
      <c r="B5" s="579">
        <f>SUMIF(Fan_Takeoff!B:B,A5,Fan_Takeoff!U:U)+SUMIF(Fan_Takeoff!C:C,A5,Fan_Takeoff!U:U)</f>
        <v>0</v>
      </c>
    </row>
    <row r="6" spans="1:2" x14ac:dyDescent="0.4">
      <c r="A6" s="318" t="s">
        <v>1417</v>
      </c>
      <c r="B6" s="579">
        <f>SUMIF(Fan_Takeoff!B:B,A6,Fan_Takeoff!U:U)+SUMIF(Fan_Takeoff!C:C,A6,Fan_Takeoff!U:U)</f>
        <v>0</v>
      </c>
    </row>
    <row r="7" spans="1:2" x14ac:dyDescent="0.4">
      <c r="A7" s="318" t="s">
        <v>1416</v>
      </c>
      <c r="B7" s="579">
        <f>SUMIF(Fan_Takeoff!B:B,A7,Fan_Takeoff!U:U)+SUMIF(Fan_Takeoff!C:C,A7,Fan_Takeoff!U:U)</f>
        <v>0</v>
      </c>
    </row>
    <row r="8" spans="1:2" x14ac:dyDescent="0.4">
      <c r="A8" s="318" t="s">
        <v>1415</v>
      </c>
      <c r="B8" s="579">
        <f>SUMIF(Fan_Takeoff!B:B,A8,Fan_Takeoff!U:U)+SUMIF(Fan_Takeoff!C:C,A8,Fan_Takeoff!U:U)</f>
        <v>0</v>
      </c>
    </row>
    <row r="9" spans="1:2" x14ac:dyDescent="0.4">
      <c r="A9" s="318" t="s">
        <v>1414</v>
      </c>
      <c r="B9" s="579">
        <f>SUMIF(Fan_Takeoff!B:B,A9,Fan_Takeoff!U:U)+SUMIF(Fan_Takeoff!C:C,A9,Fan_Takeoff!U:U)</f>
        <v>0</v>
      </c>
    </row>
    <row r="10" spans="1:2" x14ac:dyDescent="0.4">
      <c r="A10" s="318" t="s">
        <v>1240</v>
      </c>
      <c r="B10" s="579">
        <f>SUMIF(Fan_Takeoff!B:B,A10,Fan_Takeoff!U:U)+SUMIF(Fan_Takeoff!C:C,A10,Fan_Takeoff!U:U)</f>
        <v>0</v>
      </c>
    </row>
    <row r="11" spans="1:2" x14ac:dyDescent="0.4">
      <c r="A11" s="318" t="s">
        <v>1412</v>
      </c>
      <c r="B11" s="579">
        <f>SUMIF(Fan_Takeoff!B:B,A11,Fan_Takeoff!U:U)+SUMIF(Fan_Takeoff!C:C,A11,Fan_Takeoff!U:U)</f>
        <v>0</v>
      </c>
    </row>
    <row r="12" spans="1:2" x14ac:dyDescent="0.4">
      <c r="A12" s="114" t="s">
        <v>984</v>
      </c>
      <c r="B12" s="579">
        <f>SUMIF(Fan_Takeoff!B:B,A12,Fan_Takeoff!U:U)+SUMIF(Fan_Takeoff!C:C,A12,Fan_Takeoff!U:U)</f>
        <v>0</v>
      </c>
    </row>
    <row r="13" spans="1:2" x14ac:dyDescent="0.4">
      <c r="A13" s="114" t="s">
        <v>992</v>
      </c>
      <c r="B13" s="579">
        <f>SUMIF(Fan_Takeoff!B:B,A13,Fan_Takeoff!U:U)+SUMIF(Fan_Takeoff!C:C,A13,Fan_Takeoff!U:U)</f>
        <v>0</v>
      </c>
    </row>
    <row r="14" spans="1:2" x14ac:dyDescent="0.4">
      <c r="A14" s="114" t="s">
        <v>991</v>
      </c>
      <c r="B14" s="579">
        <f>SUMIF(Fan_Takeoff!B:B,A14,Fan_Takeoff!U:U)+SUMIF(Fan_Takeoff!C:C,A14,Fan_Takeoff!U:U)</f>
        <v>0</v>
      </c>
    </row>
    <row r="15" spans="1:2" x14ac:dyDescent="0.4">
      <c r="A15" s="114" t="s">
        <v>993</v>
      </c>
      <c r="B15" s="579">
        <f>SUMIF(Fan_Takeoff!B:B,A15,Fan_Takeoff!U:U)+SUMIF(Fan_Takeoff!C:C,A15,Fan_Takeoff!U:U)</f>
        <v>0</v>
      </c>
    </row>
    <row r="16" spans="1:2" x14ac:dyDescent="0.4">
      <c r="A16" s="318" t="s">
        <v>1401</v>
      </c>
      <c r="B16" s="579">
        <f>SUMIF(Fan_Takeoff!B:B,A16,Fan_Takeoff!U:U)+SUMIF(Fan_Takeoff!C:C,A16,Fan_Takeoff!U:U)</f>
        <v>0</v>
      </c>
    </row>
    <row r="17" spans="1:2" x14ac:dyDescent="0.4">
      <c r="A17" s="318" t="s">
        <v>1402</v>
      </c>
      <c r="B17" s="579">
        <f>SUMIF(Fan_Takeoff!B:B,A17,Fan_Takeoff!U:U)+SUMIF(Fan_Takeoff!C:C,A17,Fan_Takeoff!U:U)</f>
        <v>0</v>
      </c>
    </row>
    <row r="18" spans="1:2" x14ac:dyDescent="0.4">
      <c r="A18" s="318" t="s">
        <v>678</v>
      </c>
      <c r="B18" s="579">
        <f>SUMIF(Fan_Takeoff!B:B,A18,Fan_Takeoff!U:U)+SUMIF(Fan_Takeoff!C:C,A18,Fan_Takeoff!U:U)</f>
        <v>0</v>
      </c>
    </row>
    <row r="19" spans="1:2" x14ac:dyDescent="0.4">
      <c r="A19" s="114" t="s">
        <v>1413</v>
      </c>
      <c r="B19" s="579">
        <f>SUMIF(Fan_Takeoff!B:B,A19,Fan_Takeoff!U:U)+SUMIF(Fan_Takeoff!C:C,A19,Fan_Takeoff!U:U)</f>
        <v>0</v>
      </c>
    </row>
    <row r="20" spans="1:2" x14ac:dyDescent="0.4">
      <c r="A20" s="114" t="s">
        <v>1411</v>
      </c>
      <c r="B20" s="579">
        <f>SUMIF(Fan_Takeoff!B:B,A20,Fan_Takeoff!U:U)+SUMIF(Fan_Takeoff!C:C,A20,Fan_Takeoff!U:U)</f>
        <v>0</v>
      </c>
    </row>
    <row r="21" spans="1:2" x14ac:dyDescent="0.4">
      <c r="A21" s="318"/>
      <c r="B21" s="579"/>
    </row>
    <row r="22" spans="1:2" x14ac:dyDescent="0.4">
      <c r="A22" s="446" t="s">
        <v>1018</v>
      </c>
      <c r="B22" s="579"/>
    </row>
    <row r="23" spans="1:2" x14ac:dyDescent="0.4">
      <c r="A23" s="318" t="s">
        <v>1403</v>
      </c>
      <c r="B23" s="579">
        <f>SUMIF(Fan_Takeoff!B:B,A23,Fan_Takeoff!U:U)+SUMIF(Fan_Takeoff!C:C,A23,Fan_Takeoff!U:U)</f>
        <v>0</v>
      </c>
    </row>
    <row r="24" spans="1:2" x14ac:dyDescent="0.4">
      <c r="A24" s="318" t="s">
        <v>1404</v>
      </c>
      <c r="B24" s="579">
        <f>SUMIF(Fan_Takeoff!B:B,A24,Fan_Takeoff!U:U)+SUMIF(Fan_Takeoff!C:C,A24,Fan_Takeoff!U:U)</f>
        <v>0</v>
      </c>
    </row>
    <row r="25" spans="1:2" x14ac:dyDescent="0.4">
      <c r="A25" s="318" t="s">
        <v>1405</v>
      </c>
      <c r="B25" s="579">
        <f>SUMIF(Fan_Takeoff!B:B,A25,Fan_Takeoff!U:U)+SUMIF(Fan_Takeoff!C:C,A25,Fan_Takeoff!U:U)</f>
        <v>0</v>
      </c>
    </row>
    <row r="26" spans="1:2" x14ac:dyDescent="0.4">
      <c r="A26" s="318" t="s">
        <v>1406</v>
      </c>
      <c r="B26" s="579">
        <f>SUMIF(Fan_Takeoff!B:B,A26,Fan_Takeoff!U:U)+SUMIF(Fan_Takeoff!C:C,A26,Fan_Takeoff!U:U)</f>
        <v>0</v>
      </c>
    </row>
    <row r="27" spans="1:2" x14ac:dyDescent="0.4">
      <c r="A27" s="318" t="s">
        <v>1407</v>
      </c>
      <c r="B27" s="579">
        <f>SUMIF(Fan_Takeoff!B:B,A27,Fan_Takeoff!U:U)+SUMIF(Fan_Takeoff!C:C,A27,Fan_Takeoff!U:U)</f>
        <v>0</v>
      </c>
    </row>
    <row r="28" spans="1:2" x14ac:dyDescent="0.4">
      <c r="A28" s="318" t="s">
        <v>1408</v>
      </c>
      <c r="B28" s="579">
        <f>SUMIF(Fan_Takeoff!B:B,A28,Fan_Takeoff!U:U)+SUMIF(Fan_Takeoff!C:C,A28,Fan_Takeoff!U:U)</f>
        <v>0</v>
      </c>
    </row>
    <row r="29" spans="1:2" x14ac:dyDescent="0.4">
      <c r="A29" s="318" t="s">
        <v>1409</v>
      </c>
      <c r="B29" s="579">
        <f>SUMIF(Fan_Takeoff!B:B,A29,Fan_Takeoff!U:U)+SUMIF(Fan_Takeoff!C:C,A29,Fan_Takeoff!U:U)</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8B3C-1FD0-4BCD-BD61-8A3D9A65F98A}">
  <dimension ref="A1:V33"/>
  <sheetViews>
    <sheetView workbookViewId="0">
      <selection activeCell="X22" sqref="X22"/>
    </sheetView>
  </sheetViews>
  <sheetFormatPr defaultRowHeight="14.6" outlineLevelCol="1" x14ac:dyDescent="0.4"/>
  <cols>
    <col min="1" max="1" width="10.921875" style="594" bestFit="1" customWidth="1"/>
    <col min="2" max="2" width="26.921875" style="318" bestFit="1" customWidth="1"/>
    <col min="3" max="3" width="12.69140625" style="579" bestFit="1" customWidth="1"/>
    <col min="4" max="4" width="12.69140625" style="318" bestFit="1" customWidth="1"/>
    <col min="5" max="11" width="13.07421875" style="578" hidden="1" customWidth="1" outlineLevel="1"/>
    <col min="12" max="12" width="12.69140625" style="318" bestFit="1" customWidth="1" collapsed="1"/>
    <col min="13" max="13" width="12.69140625" style="570" bestFit="1" customWidth="1"/>
    <col min="14" max="14" width="12.69140625" style="318" bestFit="1" customWidth="1"/>
    <col min="15" max="16" width="12.69140625" style="570" bestFit="1" customWidth="1"/>
    <col min="17" max="19" width="1.921875" style="578" hidden="1" customWidth="1" outlineLevel="1"/>
    <col min="20" max="20" width="9.23046875" style="578" hidden="1" customWidth="1" outlineLevel="1"/>
    <col min="21" max="21" width="1.921875" style="578" hidden="1" customWidth="1" outlineLevel="1"/>
    <col min="22" max="22" width="9.23046875" style="318" collapsed="1"/>
    <col min="23" max="16384" width="9.23046875" style="318"/>
  </cols>
  <sheetData>
    <row r="1" spans="1:21" x14ac:dyDescent="0.4">
      <c r="A1" s="593" t="s">
        <v>1427</v>
      </c>
      <c r="C1" s="318"/>
      <c r="N1" s="318" t="s">
        <v>1421</v>
      </c>
      <c r="Q1" s="577"/>
      <c r="R1" s="577"/>
      <c r="S1" s="577"/>
    </row>
    <row r="2" spans="1:21" x14ac:dyDescent="0.4">
      <c r="A2" s="594" t="s">
        <v>1427</v>
      </c>
      <c r="C2" s="318"/>
      <c r="N2" s="569" t="s">
        <v>716</v>
      </c>
      <c r="O2" s="571" t="s">
        <v>717</v>
      </c>
      <c r="P2" s="572" t="s">
        <v>353</v>
      </c>
      <c r="Q2" s="577"/>
      <c r="R2" s="577"/>
      <c r="S2" s="577"/>
    </row>
    <row r="3" spans="1:21" x14ac:dyDescent="0.4">
      <c r="A3" s="594" t="s">
        <v>1427</v>
      </c>
      <c r="C3" s="318"/>
      <c r="N3" s="587">
        <f>SUM(Q:Q)</f>
        <v>0</v>
      </c>
      <c r="O3" s="570">
        <f>SUM(R:R)</f>
        <v>0</v>
      </c>
      <c r="P3" s="570">
        <f>SUM(S:S)</f>
        <v>0</v>
      </c>
      <c r="Q3" s="577"/>
      <c r="R3" s="589" t="s">
        <v>1426</v>
      </c>
      <c r="S3" s="590"/>
      <c r="T3" s="591"/>
    </row>
    <row r="4" spans="1:21" x14ac:dyDescent="0.4">
      <c r="A4" s="594" t="str">
        <f>$C5</f>
        <v>[Unit Name]</v>
      </c>
      <c r="B4" s="592" t="str">
        <f>A4</f>
        <v>[Unit Name]</v>
      </c>
      <c r="C4" s="592" t="str">
        <f t="shared" ref="C4:P4" si="0">B4</f>
        <v>[Unit Name]</v>
      </c>
      <c r="D4" s="592" t="str">
        <f t="shared" si="0"/>
        <v>[Unit Name]</v>
      </c>
      <c r="E4" s="592" t="str">
        <f t="shared" si="0"/>
        <v>[Unit Name]</v>
      </c>
      <c r="F4" s="592" t="str">
        <f t="shared" si="0"/>
        <v>[Unit Name]</v>
      </c>
      <c r="G4" s="592" t="str">
        <f t="shared" si="0"/>
        <v>[Unit Name]</v>
      </c>
      <c r="H4" s="592" t="str">
        <f t="shared" si="0"/>
        <v>[Unit Name]</v>
      </c>
      <c r="I4" s="592" t="str">
        <f t="shared" si="0"/>
        <v>[Unit Name]</v>
      </c>
      <c r="J4" s="592" t="str">
        <f t="shared" si="0"/>
        <v>[Unit Name]</v>
      </c>
      <c r="K4" s="592" t="str">
        <f t="shared" si="0"/>
        <v>[Unit Name]</v>
      </c>
      <c r="L4" s="592" t="str">
        <f t="shared" si="0"/>
        <v>[Unit Name]</v>
      </c>
      <c r="M4" s="592" t="str">
        <f t="shared" si="0"/>
        <v>[Unit Name]</v>
      </c>
      <c r="N4" s="592" t="str">
        <f t="shared" si="0"/>
        <v>[Unit Name]</v>
      </c>
      <c r="O4" s="592" t="str">
        <f t="shared" si="0"/>
        <v>[Unit Name]</v>
      </c>
      <c r="P4" s="592" t="str">
        <f t="shared" si="0"/>
        <v>[Unit Name]</v>
      </c>
      <c r="Q4" s="577"/>
      <c r="R4" s="589"/>
      <c r="S4" s="590"/>
      <c r="T4" s="591"/>
    </row>
    <row r="5" spans="1:21" x14ac:dyDescent="0.4">
      <c r="A5" s="594" t="str">
        <f>$C5</f>
        <v>[Unit Name]</v>
      </c>
      <c r="B5" s="575" t="s">
        <v>1394</v>
      </c>
      <c r="C5" s="579" t="s">
        <v>1428</v>
      </c>
      <c r="Q5" s="577"/>
      <c r="R5" s="577"/>
      <c r="S5" s="577"/>
    </row>
    <row r="6" spans="1:21" s="573" customFormat="1" x14ac:dyDescent="0.4">
      <c r="A6" s="594" t="str">
        <f>$C5</f>
        <v>[Unit Name]</v>
      </c>
      <c r="B6" s="575" t="s">
        <v>1399</v>
      </c>
      <c r="C6" s="579"/>
      <c r="E6" s="577"/>
      <c r="F6" s="581" t="s">
        <v>1420</v>
      </c>
      <c r="G6" s="582"/>
      <c r="H6" s="582"/>
      <c r="I6" s="582"/>
      <c r="J6" s="583"/>
      <c r="K6" s="577"/>
      <c r="M6" s="574"/>
      <c r="O6" s="574"/>
      <c r="P6" s="574"/>
      <c r="Q6" s="577"/>
      <c r="R6" s="577"/>
      <c r="S6" s="577"/>
      <c r="T6" s="578"/>
      <c r="U6" s="577"/>
    </row>
    <row r="7" spans="1:21" s="573" customFormat="1" x14ac:dyDescent="0.4">
      <c r="A7" s="594" t="str">
        <f>$C5</f>
        <v>[Unit Name]</v>
      </c>
      <c r="B7" s="575" t="s">
        <v>742</v>
      </c>
      <c r="C7" s="579"/>
      <c r="E7" s="577"/>
      <c r="F7" s="584"/>
      <c r="G7" s="585"/>
      <c r="H7" s="585"/>
      <c r="I7" s="585"/>
      <c r="J7" s="586"/>
      <c r="K7" s="577"/>
      <c r="M7" s="576"/>
      <c r="N7" s="569" t="s">
        <v>716</v>
      </c>
      <c r="O7" s="571" t="s">
        <v>717</v>
      </c>
      <c r="P7" s="572" t="s">
        <v>353</v>
      </c>
      <c r="Q7" s="577">
        <f t="shared" ref="Q7:Q32" si="1">IF(N5=N$2,N7,0)</f>
        <v>0</v>
      </c>
      <c r="R7" s="577">
        <f t="shared" ref="R7:R32" si="2">IF(O5=O$2,O7,0)</f>
        <v>0</v>
      </c>
      <c r="S7" s="577">
        <f t="shared" ref="S7:S32" si="3">IF(P5=P$2,P7,0)</f>
        <v>0</v>
      </c>
      <c r="T7" s="578"/>
      <c r="U7" s="577"/>
    </row>
    <row r="8" spans="1:21" s="573" customFormat="1" x14ac:dyDescent="0.4">
      <c r="A8" s="594" t="str">
        <f>$C5</f>
        <v>[Unit Name]</v>
      </c>
      <c r="B8" s="575" t="s">
        <v>843</v>
      </c>
      <c r="C8" s="420"/>
      <c r="D8" s="575"/>
      <c r="E8" s="577"/>
      <c r="F8" s="577"/>
      <c r="G8" s="577"/>
      <c r="H8" s="577"/>
      <c r="I8" s="577"/>
      <c r="J8" s="577"/>
      <c r="K8" s="577"/>
      <c r="M8" s="574" t="s">
        <v>1394</v>
      </c>
      <c r="N8" s="114">
        <f>SUM(N11:N265)</f>
        <v>0</v>
      </c>
      <c r="O8" s="423">
        <f>SUM(O11:O265)</f>
        <v>0</v>
      </c>
      <c r="P8" s="423">
        <f>SUM(P11:P265)</f>
        <v>0</v>
      </c>
      <c r="Q8" s="577">
        <f t="shared" si="1"/>
        <v>0</v>
      </c>
      <c r="R8" s="577">
        <f t="shared" si="2"/>
        <v>0</v>
      </c>
      <c r="S8" s="577">
        <f t="shared" si="3"/>
        <v>0</v>
      </c>
      <c r="T8" s="578"/>
      <c r="U8" s="577"/>
    </row>
    <row r="9" spans="1:21" s="573" customFormat="1" x14ac:dyDescent="0.4">
      <c r="A9" s="594" t="str">
        <f>$C5</f>
        <v>[Unit Name]</v>
      </c>
      <c r="B9" s="575" t="s">
        <v>929</v>
      </c>
      <c r="C9" s="579"/>
      <c r="D9" s="575"/>
      <c r="E9" s="305" t="s">
        <v>1403</v>
      </c>
      <c r="F9" s="305" t="s">
        <v>1404</v>
      </c>
      <c r="G9" s="305" t="s">
        <v>1405</v>
      </c>
      <c r="H9" s="305" t="s">
        <v>1406</v>
      </c>
      <c r="I9" s="305" t="s">
        <v>1407</v>
      </c>
      <c r="J9" s="305" t="s">
        <v>1408</v>
      </c>
      <c r="K9" s="305" t="s">
        <v>1409</v>
      </c>
      <c r="M9" s="574" t="s">
        <v>893</v>
      </c>
      <c r="N9" s="114">
        <f>N8*$C8</f>
        <v>0</v>
      </c>
      <c r="O9" s="423">
        <f>O8*$C8</f>
        <v>0</v>
      </c>
      <c r="P9" s="423">
        <f>P8*$C8</f>
        <v>0</v>
      </c>
      <c r="Q9" s="577">
        <f t="shared" si="1"/>
        <v>0</v>
      </c>
      <c r="R9" s="577">
        <f t="shared" si="2"/>
        <v>0</v>
      </c>
      <c r="S9" s="577">
        <f t="shared" si="3"/>
        <v>0</v>
      </c>
      <c r="T9" s="578"/>
      <c r="U9" s="577"/>
    </row>
    <row r="10" spans="1:21" s="575" customFormat="1" x14ac:dyDescent="0.4">
      <c r="A10" s="594" t="str">
        <f>$C5</f>
        <v>[Unit Name]</v>
      </c>
      <c r="B10" s="575" t="s">
        <v>994</v>
      </c>
      <c r="C10" s="580" t="s">
        <v>1400</v>
      </c>
      <c r="D10" s="575" t="s">
        <v>843</v>
      </c>
      <c r="E10" s="305">
        <f>SUM(E11:E266)</f>
        <v>0</v>
      </c>
      <c r="F10" s="305">
        <f>SUM(F11:F266)</f>
        <v>0</v>
      </c>
      <c r="G10" s="305">
        <f>SUM(G11:G266)</f>
        <v>0</v>
      </c>
      <c r="H10" s="305">
        <f>SUM(H11:H266)</f>
        <v>0</v>
      </c>
      <c r="I10" s="305">
        <f>SUM(I11:I266)</f>
        <v>0</v>
      </c>
      <c r="J10" s="305">
        <f>SUM(J11:J266)</f>
        <v>0</v>
      </c>
      <c r="K10" s="305">
        <f>SUM(K11:K266)</f>
        <v>0</v>
      </c>
      <c r="L10" s="575" t="s">
        <v>1395</v>
      </c>
      <c r="M10" s="576" t="s">
        <v>1396</v>
      </c>
      <c r="N10" s="575" t="s">
        <v>996</v>
      </c>
      <c r="O10" s="576" t="s">
        <v>995</v>
      </c>
      <c r="P10" s="576" t="s">
        <v>1397</v>
      </c>
      <c r="Q10" s="577">
        <f t="shared" si="1"/>
        <v>0</v>
      </c>
      <c r="R10" s="577">
        <f t="shared" si="2"/>
        <v>0</v>
      </c>
      <c r="S10" s="577">
        <f t="shared" si="3"/>
        <v>0</v>
      </c>
      <c r="T10" s="578"/>
      <c r="U10" s="577"/>
    </row>
    <row r="11" spans="1:21" x14ac:dyDescent="0.4">
      <c r="A11" s="594" t="str">
        <f>$C5</f>
        <v>[Unit Name]</v>
      </c>
      <c r="B11" s="318" t="s">
        <v>676</v>
      </c>
      <c r="E11" s="578">
        <f>IF($C11="MSSB",20,5)*$D11*(IF(ISBLANK(C11),0,1))</f>
        <v>0</v>
      </c>
      <c r="L11" s="318">
        <f>IFERROR(VLOOKUP(C11,Fan_Pricing!B:E,3,FALSE),0)</f>
        <v>0</v>
      </c>
      <c r="M11" s="570">
        <f>IFERROR(VLOOKUP(C11,Fan_Pricing!B:E,4,FALSE),0)</f>
        <v>0</v>
      </c>
      <c r="N11" s="318">
        <f>D11*L11</f>
        <v>0</v>
      </c>
      <c r="O11" s="570">
        <f>M11*D11</f>
        <v>0</v>
      </c>
      <c r="P11" s="570">
        <f>N11*Takeoff_Backend!$B$1+O11</f>
        <v>0</v>
      </c>
      <c r="Q11" s="577">
        <f t="shared" si="1"/>
        <v>0</v>
      </c>
      <c r="R11" s="577">
        <f t="shared" si="2"/>
        <v>0</v>
      </c>
      <c r="S11" s="577">
        <f t="shared" si="3"/>
        <v>0</v>
      </c>
      <c r="U11" s="578">
        <f>D11*C8</f>
        <v>0</v>
      </c>
    </row>
    <row r="12" spans="1:21" x14ac:dyDescent="0.4">
      <c r="A12" s="594" t="str">
        <f>$C5</f>
        <v>[Unit Name]</v>
      </c>
      <c r="B12" s="318" t="s">
        <v>982</v>
      </c>
      <c r="E12" s="578">
        <f>IF($C12,5,0)*$D12</f>
        <v>0</v>
      </c>
      <c r="L12" s="318">
        <f>IF(C12,VLOOKUP(B12,Fan_Pricing!B:E,IF(L$10="t [U]",3,4),FALSE),0)</f>
        <v>0</v>
      </c>
      <c r="M12" s="318">
        <f>IF(C12,VLOOKUP(B12,Fan_Pricing!B:E,IF(M$10="t [U]",3,4),FALSE),0)</f>
        <v>0</v>
      </c>
      <c r="N12" s="318">
        <f t="shared" ref="N12:N23" si="4">D12*L12</f>
        <v>0</v>
      </c>
      <c r="O12" s="570">
        <f t="shared" ref="O12:O23" si="5">M12*D12</f>
        <v>0</v>
      </c>
      <c r="P12" s="570">
        <f>N12*Takeoff_Backend!$B$1+O12</f>
        <v>0</v>
      </c>
      <c r="Q12" s="577">
        <f t="shared" si="1"/>
        <v>0</v>
      </c>
      <c r="R12" s="577">
        <f t="shared" si="2"/>
        <v>0</v>
      </c>
      <c r="S12" s="577">
        <f t="shared" si="3"/>
        <v>0</v>
      </c>
      <c r="U12" s="578">
        <f>D12*C8</f>
        <v>0</v>
      </c>
    </row>
    <row r="13" spans="1:21" x14ac:dyDescent="0.4">
      <c r="A13" s="594" t="str">
        <f>$C5</f>
        <v>[Unit Name]</v>
      </c>
      <c r="B13" s="318" t="s">
        <v>983</v>
      </c>
      <c r="E13" s="578">
        <f>IF($C13,5,0)*$D13</f>
        <v>0</v>
      </c>
      <c r="L13" s="318">
        <f>IF(C13,VLOOKUP(B13,Fan_Pricing!B:E,IF(L$10="t [U]",3,4),FALSE),0)</f>
        <v>0</v>
      </c>
      <c r="M13" s="318">
        <f>IF(C13,VLOOKUP(B13,Fan_Pricing!B:E,IF(M$10="t [U]",3,4),FALSE),0)</f>
        <v>0</v>
      </c>
      <c r="N13" s="318">
        <f t="shared" si="4"/>
        <v>0</v>
      </c>
      <c r="O13" s="570">
        <f t="shared" si="5"/>
        <v>0</v>
      </c>
      <c r="P13" s="570">
        <f>N13*Takeoff_Backend!$B$1+O13</f>
        <v>0</v>
      </c>
      <c r="Q13" s="577">
        <f t="shared" si="1"/>
        <v>0</v>
      </c>
      <c r="R13" s="577">
        <f t="shared" si="2"/>
        <v>0</v>
      </c>
      <c r="S13" s="577">
        <f t="shared" si="3"/>
        <v>0</v>
      </c>
      <c r="U13" s="578">
        <f>D13*C8</f>
        <v>0</v>
      </c>
    </row>
    <row r="14" spans="1:21" x14ac:dyDescent="0.4">
      <c r="A14" s="594" t="str">
        <f>$C5</f>
        <v>[Unit Name]</v>
      </c>
      <c r="B14" s="318" t="s">
        <v>984</v>
      </c>
      <c r="D14" s="446"/>
      <c r="F14" s="578">
        <f>IF(NOT(ISBLANK(C14)),5,0)*$D14</f>
        <v>0</v>
      </c>
      <c r="L14" s="318">
        <f>IFERROR(VLOOKUP(C14,Fan_Pricing!B:E,3,FALSE),0)</f>
        <v>0</v>
      </c>
      <c r="M14" s="570">
        <f>IFERROR(VLOOKUP(C14,Fan_Pricing!B:E,4,FALSE),0)</f>
        <v>0</v>
      </c>
      <c r="N14" s="318">
        <f t="shared" si="4"/>
        <v>0</v>
      </c>
      <c r="O14" s="570">
        <f t="shared" si="5"/>
        <v>0</v>
      </c>
      <c r="P14" s="570">
        <f>N14*Takeoff_Backend!$B$1+O14</f>
        <v>0</v>
      </c>
      <c r="Q14" s="577">
        <f t="shared" si="1"/>
        <v>0</v>
      </c>
      <c r="R14" s="577">
        <f t="shared" si="2"/>
        <v>0</v>
      </c>
      <c r="S14" s="577">
        <f t="shared" si="3"/>
        <v>0</v>
      </c>
      <c r="U14" s="578">
        <f>D14*C8</f>
        <v>0</v>
      </c>
    </row>
    <row r="15" spans="1:21" x14ac:dyDescent="0.4">
      <c r="A15" s="594" t="str">
        <f>$C5</f>
        <v>[Unit Name]</v>
      </c>
      <c r="B15" s="318" t="s">
        <v>1419</v>
      </c>
      <c r="D15" s="446"/>
      <c r="F15" s="578">
        <f t="shared" ref="F15:F16" si="6">IF($C15,5,0)*$D15</f>
        <v>0</v>
      </c>
      <c r="L15" s="318">
        <f>IF(C15,VLOOKUP(B15,Fan_Pricing!B:E,IF(L$10="t [U]",3,4),FALSE),0)</f>
        <v>0</v>
      </c>
      <c r="M15" s="318">
        <f>IF(C15,VLOOKUP(B15,Fan_Pricing!B:E,IF(M$10="t [U]",3,4),FALSE),0)</f>
        <v>0</v>
      </c>
      <c r="N15" s="318">
        <f t="shared" si="4"/>
        <v>0</v>
      </c>
      <c r="O15" s="570">
        <f t="shared" si="5"/>
        <v>0</v>
      </c>
      <c r="P15" s="570">
        <f>N15*Takeoff_Backend!$B$1+O15</f>
        <v>0</v>
      </c>
      <c r="Q15" s="577">
        <f t="shared" si="1"/>
        <v>0</v>
      </c>
      <c r="R15" s="577">
        <f t="shared" si="2"/>
        <v>0</v>
      </c>
      <c r="S15" s="577">
        <f t="shared" si="3"/>
        <v>0</v>
      </c>
      <c r="U15" s="578">
        <f>D15*C8</f>
        <v>0</v>
      </c>
    </row>
    <row r="16" spans="1:21" x14ac:dyDescent="0.4">
      <c r="A16" s="594" t="str">
        <f>$C5</f>
        <v>[Unit Name]</v>
      </c>
      <c r="B16" s="318" t="s">
        <v>1418</v>
      </c>
      <c r="D16" s="446"/>
      <c r="F16" s="578">
        <f t="shared" si="6"/>
        <v>0</v>
      </c>
      <c r="L16" s="318">
        <f>IF(C16,VLOOKUP(B16,Fan_Pricing!B:E,IF(L$10="t [U]",3,4),FALSE),0)</f>
        <v>0</v>
      </c>
      <c r="M16" s="318">
        <f>IF(C16,VLOOKUP(B16,Fan_Pricing!B:E,IF(M$10="t [U]",3,4),FALSE),0)</f>
        <v>0</v>
      </c>
      <c r="N16" s="318">
        <f t="shared" si="4"/>
        <v>0</v>
      </c>
      <c r="O16" s="570">
        <f t="shared" si="5"/>
        <v>0</v>
      </c>
      <c r="P16" s="570">
        <f>N16*Takeoff_Backend!$B$1+O16</f>
        <v>0</v>
      </c>
      <c r="Q16" s="577">
        <f t="shared" si="1"/>
        <v>0</v>
      </c>
      <c r="R16" s="577">
        <f t="shared" si="2"/>
        <v>0</v>
      </c>
      <c r="S16" s="577">
        <f t="shared" si="3"/>
        <v>0</v>
      </c>
      <c r="U16" s="578">
        <f>D16*C8</f>
        <v>0</v>
      </c>
    </row>
    <row r="17" spans="1:21" x14ac:dyDescent="0.4">
      <c r="A17" s="594" t="str">
        <f>$C5</f>
        <v>[Unit Name]</v>
      </c>
      <c r="B17" s="318" t="s">
        <v>1417</v>
      </c>
      <c r="D17" s="446"/>
      <c r="L17" s="318">
        <f>IF(C17,VLOOKUP(B17,Fan_Pricing!B:E,IF(L$10="t [U]",3,4),FALSE),0)</f>
        <v>0</v>
      </c>
      <c r="M17" s="318">
        <f>IF(C17,VLOOKUP(B17,Fan_Pricing!B:E,IF(M$10="t [U]",3,4),FALSE),0)</f>
        <v>0</v>
      </c>
      <c r="N17" s="318">
        <f t="shared" si="4"/>
        <v>0</v>
      </c>
      <c r="O17" s="570">
        <f t="shared" si="5"/>
        <v>0</v>
      </c>
      <c r="P17" s="570">
        <f>N17*Takeoff_Backend!$B$1+O17</f>
        <v>0</v>
      </c>
      <c r="Q17" s="577">
        <f t="shared" si="1"/>
        <v>0</v>
      </c>
      <c r="R17" s="577">
        <f t="shared" si="2"/>
        <v>0</v>
      </c>
      <c r="S17" s="577">
        <f t="shared" si="3"/>
        <v>0</v>
      </c>
      <c r="U17" s="578">
        <f>D17*C8</f>
        <v>0</v>
      </c>
    </row>
    <row r="18" spans="1:21" x14ac:dyDescent="0.4">
      <c r="A18" s="594" t="str">
        <f>$C5</f>
        <v>[Unit Name]</v>
      </c>
      <c r="B18" s="318" t="s">
        <v>1416</v>
      </c>
      <c r="D18" s="446"/>
      <c r="L18" s="318">
        <f>IF(C18,VLOOKUP(B18,Fan_Pricing!B:E,IF(L$10="t [U]",3,4),FALSE),0)</f>
        <v>0</v>
      </c>
      <c r="M18" s="318">
        <f>IF(C18,VLOOKUP(B18,Fan_Pricing!B:E,IF(M$10="t [U]",3,4),FALSE),0)</f>
        <v>0</v>
      </c>
      <c r="N18" s="318">
        <f t="shared" si="4"/>
        <v>0</v>
      </c>
      <c r="O18" s="570">
        <f t="shared" si="5"/>
        <v>0</v>
      </c>
      <c r="P18" s="570">
        <f>N18*Takeoff_Backend!$B$1+O18</f>
        <v>0</v>
      </c>
      <c r="Q18" s="577">
        <f t="shared" si="1"/>
        <v>0</v>
      </c>
      <c r="R18" s="577">
        <f t="shared" si="2"/>
        <v>0</v>
      </c>
      <c r="S18" s="577">
        <f t="shared" si="3"/>
        <v>0</v>
      </c>
      <c r="U18" s="578">
        <f>D18*C8</f>
        <v>0</v>
      </c>
    </row>
    <row r="19" spans="1:21" x14ac:dyDescent="0.4">
      <c r="A19" s="594" t="str">
        <f>$C5</f>
        <v>[Unit Name]</v>
      </c>
      <c r="B19" s="318" t="s">
        <v>1415</v>
      </c>
      <c r="D19" s="446"/>
      <c r="L19" s="318">
        <f>IF(C19,VLOOKUP(B19,Fan_Pricing!B:E,IF(L$10="t [U]",3,4),FALSE),0)</f>
        <v>0</v>
      </c>
      <c r="M19" s="318">
        <f>IF(C19,VLOOKUP(B19,Fan_Pricing!B:E,IF(M$10="t [U]",3,4),FALSE),0)</f>
        <v>0</v>
      </c>
      <c r="N19" s="318">
        <f t="shared" si="4"/>
        <v>0</v>
      </c>
      <c r="O19" s="570">
        <f t="shared" si="5"/>
        <v>0</v>
      </c>
      <c r="P19" s="570">
        <f>N19*Takeoff_Backend!$B$1+O19</f>
        <v>0</v>
      </c>
      <c r="Q19" s="577">
        <f t="shared" si="1"/>
        <v>0</v>
      </c>
      <c r="R19" s="577">
        <f t="shared" si="2"/>
        <v>0</v>
      </c>
      <c r="S19" s="577">
        <f t="shared" si="3"/>
        <v>0</v>
      </c>
      <c r="U19" s="578">
        <f>D19*C8</f>
        <v>0</v>
      </c>
    </row>
    <row r="20" spans="1:21" x14ac:dyDescent="0.4">
      <c r="A20" s="594" t="str">
        <f>$C5</f>
        <v>[Unit Name]</v>
      </c>
      <c r="B20" s="318" t="s">
        <v>1414</v>
      </c>
      <c r="D20" s="446"/>
      <c r="G20" s="578">
        <f t="shared" ref="G20" si="7">IF($C20,5,0)*$D20</f>
        <v>0</v>
      </c>
      <c r="L20" s="318">
        <f>IF(C20,VLOOKUP(B20,Fan_Pricing!B:E,IF(L$10="t [U]",3,4),FALSE),0)</f>
        <v>0</v>
      </c>
      <c r="M20" s="318">
        <f>IF(C20,VLOOKUP(B20,Fan_Pricing!B:E,IF(M$10="t [U]",3,4),FALSE),0)</f>
        <v>0</v>
      </c>
      <c r="N20" s="318">
        <f t="shared" si="4"/>
        <v>0</v>
      </c>
      <c r="O20" s="570">
        <f t="shared" si="5"/>
        <v>0</v>
      </c>
      <c r="P20" s="570">
        <f>N20*Takeoff_Backend!$B$1+O20</f>
        <v>0</v>
      </c>
      <c r="Q20" s="577">
        <f t="shared" si="1"/>
        <v>0</v>
      </c>
      <c r="R20" s="577">
        <f t="shared" si="2"/>
        <v>0</v>
      </c>
      <c r="S20" s="577">
        <f t="shared" si="3"/>
        <v>0</v>
      </c>
      <c r="U20" s="578">
        <f>D20*C8</f>
        <v>0</v>
      </c>
    </row>
    <row r="21" spans="1:21" x14ac:dyDescent="0.4">
      <c r="A21" s="594" t="str">
        <f>$C5</f>
        <v>[Unit Name]</v>
      </c>
      <c r="B21" s="318" t="s">
        <v>1240</v>
      </c>
      <c r="D21" s="446"/>
      <c r="M21" s="318"/>
      <c r="Q21" s="577">
        <f t="shared" si="1"/>
        <v>0</v>
      </c>
      <c r="R21" s="577">
        <f t="shared" si="2"/>
        <v>0</v>
      </c>
      <c r="S21" s="577">
        <f t="shared" si="3"/>
        <v>0</v>
      </c>
      <c r="U21" s="578">
        <f>D21*C8</f>
        <v>0</v>
      </c>
    </row>
    <row r="22" spans="1:21" x14ac:dyDescent="0.4">
      <c r="A22" s="594" t="str">
        <f>$C5</f>
        <v>[Unit Name]</v>
      </c>
      <c r="B22" s="318" t="s">
        <v>1287</v>
      </c>
      <c r="D22" s="446"/>
      <c r="E22" s="578">
        <f>IF($C22="KEF [Facet]",5,IF($C22="VSD [Facet]",10,0))*D22</f>
        <v>0</v>
      </c>
      <c r="F22" s="578">
        <f>IF($C22="KEF [Facet]",0,IF($C22="VSD [Facet]",5,0))*D22</f>
        <v>0</v>
      </c>
      <c r="G22" s="578">
        <f>IF($C22="KEF [Facet]",10,IF($C22="VSD [Facet]",0,0))*D22</f>
        <v>0</v>
      </c>
      <c r="H22" s="578">
        <f>IF($C22="KEF [Facet]",10,IF($C22="VSD [Facet]",0,0))*D22</f>
        <v>0</v>
      </c>
      <c r="I22" s="578">
        <f>IF($C22="KEF [Facet]",0,IF($C22="VSD [Facet]",0,0))*D22</f>
        <v>0</v>
      </c>
      <c r="J22" s="578">
        <f>IF($C22="KEF [Facet]",0,IF($C22="VSD [Facet]",0,0))*D22</f>
        <v>0</v>
      </c>
      <c r="K22" s="578">
        <f>IF($C22="KEF [Facet]",0,IF($C22="VSD [Facet]",0,0))*D22</f>
        <v>0</v>
      </c>
      <c r="L22" s="318">
        <f>IFERROR(VLOOKUP(C22,Fan_Pricing!B:E,3,FALSE),0)</f>
        <v>0</v>
      </c>
      <c r="M22" s="570">
        <f>IFERROR(VLOOKUP(C22,Fan_Pricing!B:E,4,FALSE),0)</f>
        <v>0</v>
      </c>
      <c r="N22" s="318">
        <f t="shared" si="4"/>
        <v>0</v>
      </c>
      <c r="O22" s="570">
        <f t="shared" si="5"/>
        <v>0</v>
      </c>
      <c r="P22" s="570">
        <f>N22*Takeoff_Backend!$B$1+O22</f>
        <v>0</v>
      </c>
      <c r="Q22" s="577">
        <f t="shared" si="1"/>
        <v>0</v>
      </c>
      <c r="R22" s="577">
        <f t="shared" si="2"/>
        <v>0</v>
      </c>
      <c r="S22" s="577">
        <f t="shared" si="3"/>
        <v>0</v>
      </c>
      <c r="U22" s="578">
        <f>D22*C8</f>
        <v>0</v>
      </c>
    </row>
    <row r="23" spans="1:21" x14ac:dyDescent="0.4">
      <c r="A23" s="594" t="str">
        <f>$C5</f>
        <v>[Unit Name]</v>
      </c>
      <c r="B23" s="318" t="s">
        <v>1412</v>
      </c>
      <c r="D23" s="446"/>
      <c r="G23" s="578">
        <f t="shared" ref="G23" si="8">IF($C23,5,0)*$D23</f>
        <v>0</v>
      </c>
      <c r="L23" s="318">
        <f>IF(C23,VLOOKUP(B23,Fan_Pricing!B:E,IF(L$10="t [U]",3,4),FALSE),0)</f>
        <v>0</v>
      </c>
      <c r="M23" s="318">
        <f>IF(C23,VLOOKUP(B23,Fan_Pricing!B:E,IF(M$10="t [U]",3,4),FALSE),0)</f>
        <v>0</v>
      </c>
      <c r="N23" s="318">
        <f t="shared" si="4"/>
        <v>0</v>
      </c>
      <c r="O23" s="570">
        <f t="shared" si="5"/>
        <v>0</v>
      </c>
      <c r="P23" s="570">
        <f>N23*Takeoff_Backend!$B$1+O23</f>
        <v>0</v>
      </c>
      <c r="Q23" s="577">
        <f t="shared" si="1"/>
        <v>0</v>
      </c>
      <c r="R23" s="577">
        <f t="shared" si="2"/>
        <v>0</v>
      </c>
      <c r="S23" s="577">
        <f t="shared" si="3"/>
        <v>0</v>
      </c>
      <c r="U23" s="578">
        <f>D23*C8</f>
        <v>0</v>
      </c>
    </row>
    <row r="24" spans="1:21" x14ac:dyDescent="0.4">
      <c r="A24" s="594" t="str">
        <f>$C5</f>
        <v>[Unit Name]</v>
      </c>
      <c r="D24" s="446"/>
      <c r="Q24" s="577">
        <f t="shared" si="1"/>
        <v>0</v>
      </c>
      <c r="R24" s="577">
        <f t="shared" si="2"/>
        <v>0</v>
      </c>
      <c r="S24" s="577">
        <f t="shared" si="3"/>
        <v>0</v>
      </c>
      <c r="U24" s="578">
        <f>D24*C8</f>
        <v>0</v>
      </c>
    </row>
    <row r="25" spans="1:21" x14ac:dyDescent="0.4">
      <c r="A25" s="594" t="str">
        <f>$C5</f>
        <v>[Unit Name]</v>
      </c>
      <c r="B25" s="568" t="s">
        <v>1018</v>
      </c>
      <c r="D25" s="446"/>
      <c r="Q25" s="577">
        <f t="shared" si="1"/>
        <v>0</v>
      </c>
      <c r="R25" s="577">
        <f t="shared" si="2"/>
        <v>0</v>
      </c>
      <c r="S25" s="577">
        <f t="shared" si="3"/>
        <v>0</v>
      </c>
      <c r="U25" s="578">
        <f>D25*C8</f>
        <v>0</v>
      </c>
    </row>
    <row r="26" spans="1:21" x14ac:dyDescent="0.4">
      <c r="A26" s="594" t="str">
        <f>$C5</f>
        <v>[Unit Name]</v>
      </c>
      <c r="B26" s="318" t="s">
        <v>1403</v>
      </c>
      <c r="D26" s="318">
        <f>HLOOKUP($B26,$E9:$K10,2,FALSE)</f>
        <v>0</v>
      </c>
      <c r="L26" s="318">
        <f>VLOOKUP(B26,Fan_Pricing!B:E,3,FALSE)</f>
        <v>0.1</v>
      </c>
      <c r="M26" s="570">
        <f>VLOOKUP(B26,Fan_Pricing!B:E,4,FALSE)</f>
        <v>0.85</v>
      </c>
      <c r="N26" s="318">
        <f>D26*L26</f>
        <v>0</v>
      </c>
      <c r="O26" s="570">
        <f>M26*D26</f>
        <v>0</v>
      </c>
      <c r="P26" s="570">
        <f>N26*Takeoff_Backend!$B$1+O26</f>
        <v>0</v>
      </c>
      <c r="Q26" s="577">
        <f t="shared" si="1"/>
        <v>0</v>
      </c>
      <c r="R26" s="577">
        <f t="shared" si="2"/>
        <v>0</v>
      </c>
      <c r="S26" s="577">
        <f t="shared" si="3"/>
        <v>0</v>
      </c>
      <c r="U26" s="578">
        <f>D26*C8</f>
        <v>0</v>
      </c>
    </row>
    <row r="27" spans="1:21" x14ac:dyDescent="0.4">
      <c r="A27" s="594" t="str">
        <f>$C5</f>
        <v>[Unit Name]</v>
      </c>
      <c r="B27" s="318" t="s">
        <v>1404</v>
      </c>
      <c r="D27" s="318">
        <f>HLOOKUP($B27,$E9:$K10,2,FALSE)</f>
        <v>0</v>
      </c>
      <c r="L27" s="318">
        <f>VLOOKUP(B27,Fan_Pricing!B:E,3,FALSE)</f>
        <v>0.1</v>
      </c>
      <c r="M27" s="570">
        <f>VLOOKUP(B27,Fan_Pricing!B:E,4,FALSE)</f>
        <v>0.28000000000000003</v>
      </c>
      <c r="N27" s="318">
        <f t="shared" ref="N27:N32" si="9">D27*L27</f>
        <v>0</v>
      </c>
      <c r="O27" s="570">
        <f t="shared" ref="O27:O32" si="10">M27*D27</f>
        <v>0</v>
      </c>
      <c r="P27" s="570">
        <f>N27*Takeoff_Backend!$B$1+O27</f>
        <v>0</v>
      </c>
      <c r="Q27" s="577">
        <f t="shared" si="1"/>
        <v>0</v>
      </c>
      <c r="R27" s="577">
        <f t="shared" si="2"/>
        <v>0</v>
      </c>
      <c r="S27" s="577">
        <f t="shared" si="3"/>
        <v>0</v>
      </c>
      <c r="U27" s="578">
        <f>D27*C8</f>
        <v>0</v>
      </c>
    </row>
    <row r="28" spans="1:21" x14ac:dyDescent="0.4">
      <c r="A28" s="594" t="str">
        <f>$C5</f>
        <v>[Unit Name]</v>
      </c>
      <c r="B28" s="318" t="s">
        <v>1405</v>
      </c>
      <c r="D28" s="318">
        <f>HLOOKUP($B28,$E9:$K10,2,FALSE)</f>
        <v>0</v>
      </c>
      <c r="L28" s="318">
        <f>VLOOKUP(B28,Fan_Pricing!B:E,3,FALSE)</f>
        <v>0.1</v>
      </c>
      <c r="M28" s="570">
        <f>VLOOKUP(B28,Fan_Pricing!B:E,4,FALSE)</f>
        <v>1.056</v>
      </c>
      <c r="N28" s="318">
        <f t="shared" si="9"/>
        <v>0</v>
      </c>
      <c r="O28" s="570">
        <f t="shared" si="10"/>
        <v>0</v>
      </c>
      <c r="P28" s="570">
        <f>N28*Takeoff_Backend!$B$1+O28</f>
        <v>0</v>
      </c>
      <c r="Q28" s="577">
        <f t="shared" si="1"/>
        <v>0</v>
      </c>
      <c r="R28" s="577">
        <f t="shared" si="2"/>
        <v>0</v>
      </c>
      <c r="S28" s="577">
        <f t="shared" si="3"/>
        <v>0</v>
      </c>
      <c r="U28" s="578">
        <f>D28*C8</f>
        <v>0</v>
      </c>
    </row>
    <row r="29" spans="1:21" x14ac:dyDescent="0.4">
      <c r="A29" s="594" t="str">
        <f>$C5</f>
        <v>[Unit Name]</v>
      </c>
      <c r="B29" s="318" t="s">
        <v>1406</v>
      </c>
      <c r="D29" s="318">
        <f>HLOOKUP($B29,$E9:$K10,2,FALSE)</f>
        <v>0</v>
      </c>
      <c r="L29" s="318">
        <f>VLOOKUP(B29,Fan_Pricing!B:E,3,FALSE)</f>
        <v>0.1</v>
      </c>
      <c r="M29" s="570">
        <f>VLOOKUP(B29,Fan_Pricing!B:E,4,FALSE)</f>
        <v>3.48</v>
      </c>
      <c r="N29" s="318">
        <f t="shared" si="9"/>
        <v>0</v>
      </c>
      <c r="O29" s="570">
        <f t="shared" si="10"/>
        <v>0</v>
      </c>
      <c r="P29" s="570">
        <f>N29*Takeoff_Backend!$B$1+O29</f>
        <v>0</v>
      </c>
      <c r="Q29" s="577">
        <f t="shared" si="1"/>
        <v>0</v>
      </c>
      <c r="R29" s="577">
        <f t="shared" si="2"/>
        <v>0</v>
      </c>
      <c r="S29" s="577">
        <f t="shared" si="3"/>
        <v>0</v>
      </c>
      <c r="U29" s="578">
        <f>D29*C8</f>
        <v>0</v>
      </c>
    </row>
    <row r="30" spans="1:21" x14ac:dyDescent="0.4">
      <c r="A30" s="594" t="str">
        <f>$C5</f>
        <v>[Unit Name]</v>
      </c>
      <c r="B30" s="318" t="s">
        <v>1407</v>
      </c>
      <c r="D30" s="318">
        <f>HLOOKUP($B30,$E9:$K10,2,FALSE)</f>
        <v>0</v>
      </c>
      <c r="L30" s="318">
        <f>VLOOKUP(B30,Fan_Pricing!B:E,3,FALSE)</f>
        <v>0.1</v>
      </c>
      <c r="M30" s="570">
        <f>VLOOKUP(B30,Fan_Pricing!B:E,4,FALSE)</f>
        <v>4.5599999999999996</v>
      </c>
      <c r="N30" s="318">
        <f t="shared" si="9"/>
        <v>0</v>
      </c>
      <c r="O30" s="570">
        <f t="shared" si="10"/>
        <v>0</v>
      </c>
      <c r="P30" s="570">
        <f>N30*Takeoff_Backend!$B$1+O30</f>
        <v>0</v>
      </c>
      <c r="Q30" s="577">
        <f t="shared" si="1"/>
        <v>0</v>
      </c>
      <c r="R30" s="577">
        <f t="shared" si="2"/>
        <v>0</v>
      </c>
      <c r="S30" s="577">
        <f t="shared" si="3"/>
        <v>0</v>
      </c>
      <c r="U30" s="578">
        <f>D30*C8</f>
        <v>0</v>
      </c>
    </row>
    <row r="31" spans="1:21" x14ac:dyDescent="0.4">
      <c r="A31" s="594" t="str">
        <f>$C5</f>
        <v>[Unit Name]</v>
      </c>
      <c r="B31" s="318" t="s">
        <v>1408</v>
      </c>
      <c r="D31" s="318">
        <f>HLOOKUP($B31,$E9:$K10,2,FALSE)</f>
        <v>0</v>
      </c>
      <c r="L31" s="318">
        <f>VLOOKUP(B31,Fan_Pricing!B:E,3,FALSE)</f>
        <v>0.1</v>
      </c>
      <c r="M31" s="570">
        <f>VLOOKUP(B31,Fan_Pricing!B:E,4,FALSE)</f>
        <v>2.4</v>
      </c>
      <c r="N31" s="318">
        <f t="shared" si="9"/>
        <v>0</v>
      </c>
      <c r="O31" s="570">
        <f t="shared" si="10"/>
        <v>0</v>
      </c>
      <c r="P31" s="570">
        <f>N31*Takeoff_Backend!$B$1+O31</f>
        <v>0</v>
      </c>
      <c r="Q31" s="577">
        <f t="shared" si="1"/>
        <v>0</v>
      </c>
      <c r="R31" s="577">
        <f t="shared" si="2"/>
        <v>0</v>
      </c>
      <c r="S31" s="577">
        <f t="shared" si="3"/>
        <v>0</v>
      </c>
      <c r="U31" s="578">
        <f>D31*C8</f>
        <v>0</v>
      </c>
    </row>
    <row r="32" spans="1:21" x14ac:dyDescent="0.4">
      <c r="A32" s="594" t="str">
        <f>$C5</f>
        <v>[Unit Name]</v>
      </c>
      <c r="B32" s="318" t="s">
        <v>1409</v>
      </c>
      <c r="D32" s="318">
        <f>HLOOKUP($B32,$E9:$K10,2,FALSE)</f>
        <v>0</v>
      </c>
      <c r="L32" s="318">
        <f>VLOOKUP(B32,Fan_Pricing!B:E,3,FALSE)</f>
        <v>0.1</v>
      </c>
      <c r="M32" s="570">
        <f>VLOOKUP(B32,Fan_Pricing!B:E,4,FALSE)</f>
        <v>5.8</v>
      </c>
      <c r="N32" s="318">
        <f t="shared" si="9"/>
        <v>0</v>
      </c>
      <c r="O32" s="570">
        <f t="shared" si="10"/>
        <v>0</v>
      </c>
      <c r="P32" s="570">
        <f>N32*Takeoff_Backend!$B$1+O32</f>
        <v>0</v>
      </c>
      <c r="Q32" s="577">
        <f t="shared" si="1"/>
        <v>0</v>
      </c>
      <c r="R32" s="577">
        <f t="shared" si="2"/>
        <v>0</v>
      </c>
      <c r="S32" s="577">
        <f t="shared" si="3"/>
        <v>0</v>
      </c>
      <c r="U32" s="578">
        <f>D32*C8</f>
        <v>0</v>
      </c>
    </row>
    <row r="33" spans="1:19" x14ac:dyDescent="0.4">
      <c r="A33" s="594" t="str">
        <f>$C5</f>
        <v>[Unit Name]</v>
      </c>
      <c r="B33" s="592" t="str">
        <f>A33</f>
        <v>[Unit Name]</v>
      </c>
      <c r="C33" s="592" t="str">
        <f t="shared" ref="C33:P33" si="11">B33</f>
        <v>[Unit Name]</v>
      </c>
      <c r="D33" s="592" t="str">
        <f t="shared" si="11"/>
        <v>[Unit Name]</v>
      </c>
      <c r="E33" s="592" t="str">
        <f t="shared" si="11"/>
        <v>[Unit Name]</v>
      </c>
      <c r="F33" s="592" t="str">
        <f t="shared" si="11"/>
        <v>[Unit Name]</v>
      </c>
      <c r="G33" s="592" t="str">
        <f t="shared" si="11"/>
        <v>[Unit Name]</v>
      </c>
      <c r="H33" s="592" t="str">
        <f t="shared" si="11"/>
        <v>[Unit Name]</v>
      </c>
      <c r="I33" s="592" t="str">
        <f t="shared" si="11"/>
        <v>[Unit Name]</v>
      </c>
      <c r="J33" s="592" t="str">
        <f t="shared" si="11"/>
        <v>[Unit Name]</v>
      </c>
      <c r="K33" s="592" t="str">
        <f t="shared" si="11"/>
        <v>[Unit Name]</v>
      </c>
      <c r="L33" s="592" t="str">
        <f t="shared" si="11"/>
        <v>[Unit Name]</v>
      </c>
      <c r="M33" s="592" t="str">
        <f t="shared" si="11"/>
        <v>[Unit Name]</v>
      </c>
      <c r="N33" s="592" t="str">
        <f t="shared" si="11"/>
        <v>[Unit Name]</v>
      </c>
      <c r="O33" s="592" t="str">
        <f t="shared" si="11"/>
        <v>[Unit Name]</v>
      </c>
      <c r="P33" s="592" t="str">
        <f t="shared" si="11"/>
        <v>[Unit Name]</v>
      </c>
      <c r="Q33" s="577"/>
      <c r="R33" s="577"/>
      <c r="S33" s="577"/>
    </row>
  </sheetData>
  <autoFilter ref="A1:A33" xr:uid="{ED50C970-49AC-4EAF-B236-0528B70288D8}"/>
  <mergeCells count="2">
    <mergeCell ref="F6:J7"/>
    <mergeCell ref="R3:T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E29E039D-358B-4738-B3B9-3500FABBFA78}">
          <x14:formula1>
            <xm:f>Fan_Backend!$A$2:$A$4</xm:f>
          </x14:formula1>
          <xm:sqref>C11</xm:sqref>
        </x14:dataValidation>
        <x14:dataValidation type="list" allowBlank="1" showInputMessage="1" showErrorMessage="1" xr:uid="{C8A24AEE-A1B0-4D7F-AB28-575F815E32EB}">
          <x14:formula1>
            <xm:f>Fan_Backend!$D$2:$D$6</xm:f>
          </x14:formula1>
          <xm:sqref>C14</xm:sqref>
        </x14:dataValidation>
        <x14:dataValidation type="list" allowBlank="1" showInputMessage="1" showErrorMessage="1" xr:uid="{6C0E63FC-2755-447C-956A-2F0E0969DEEC}">
          <x14:formula1>
            <xm:f>Fan_Backend!$L$2:$L$4</xm:f>
          </x14:formula1>
          <xm:sqref>C22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CD61F-B222-4DB4-A0E1-731B59AD886E}">
  <sheetPr filterMode="1"/>
  <dimension ref="A1:F102"/>
  <sheetViews>
    <sheetView workbookViewId="0">
      <selection activeCell="B22" sqref="B22"/>
    </sheetView>
  </sheetViews>
  <sheetFormatPr defaultRowHeight="14.6" x14ac:dyDescent="0.4"/>
  <cols>
    <col min="1" max="1" width="14.61328125" style="114" customWidth="1"/>
    <col min="2" max="2" width="28.921875" style="114" bestFit="1" customWidth="1"/>
    <col min="3" max="5" width="9.61328125" style="114" customWidth="1"/>
    <col min="6" max="6" width="7.765625" customWidth="1"/>
  </cols>
  <sheetData>
    <row r="1" spans="1:6" s="588" customFormat="1" ht="19.75" thickBot="1" x14ac:dyDescent="0.55000000000000004">
      <c r="A1" s="588" t="s">
        <v>1423</v>
      </c>
      <c r="B1" s="588" t="s">
        <v>1422</v>
      </c>
      <c r="C1" s="588" t="s">
        <v>843</v>
      </c>
      <c r="D1" s="588" t="s">
        <v>996</v>
      </c>
      <c r="E1" s="588" t="s">
        <v>995</v>
      </c>
      <c r="F1" s="588" t="s">
        <v>1424</v>
      </c>
    </row>
    <row r="2" spans="1:6" ht="15" hidden="1" thickTop="1" x14ac:dyDescent="0.4">
      <c r="A2" s="114" t="s">
        <v>1401</v>
      </c>
      <c r="B2" s="114" t="s">
        <v>1401</v>
      </c>
      <c r="C2" s="114" t="s">
        <v>639</v>
      </c>
      <c r="D2" s="114">
        <f>SUM(D3:D7)</f>
        <v>1</v>
      </c>
      <c r="E2" s="114">
        <f>SUM(E3:E7)</f>
        <v>88.25</v>
      </c>
      <c r="F2">
        <f>IFERROR(IF(A2=B2,0,VLOOKUP(A2,'Fan Summary'!A:E,2,FALSE))*C2,0)</f>
        <v>0</v>
      </c>
    </row>
    <row r="3" spans="1:6" ht="15" hidden="1" thickTop="1" x14ac:dyDescent="0.4">
      <c r="A3" s="114" t="s">
        <v>1401</v>
      </c>
      <c r="B3" s="114" t="s">
        <v>253</v>
      </c>
      <c r="C3" s="114">
        <v>1</v>
      </c>
      <c r="D3" s="114">
        <f>VLOOKUP($B3,Parts!$A:$G,IF(D$1="t",4,3),FALSE)*$C3</f>
        <v>0</v>
      </c>
      <c r="E3" s="114">
        <f>VLOOKUP($B3,Parts!$A:$G,IF(E$1="t",4,3),FALSE)*$C3</f>
        <v>8.4499999999999993</v>
      </c>
      <c r="F3" s="114">
        <f>IFERROR(IF(A3=B3,0,VLOOKUP(A3,'Fan Summary'!A:E,2,FALSE))*C3,0)</f>
        <v>0</v>
      </c>
    </row>
    <row r="4" spans="1:6" ht="15" hidden="1" thickTop="1" x14ac:dyDescent="0.4">
      <c r="A4" s="114" t="s">
        <v>1401</v>
      </c>
      <c r="B4" s="114" t="s">
        <v>998</v>
      </c>
      <c r="C4" s="114">
        <v>1</v>
      </c>
      <c r="D4" s="114">
        <f>VLOOKUP($B4,Parts!$A:$G,IF(D$1="t",4,3),FALSE)*$C4</f>
        <v>0</v>
      </c>
      <c r="E4" s="114">
        <f>VLOOKUP($B4,Parts!$A:$G,IF(E$1="t",4,3),FALSE)*$C4</f>
        <v>19.8</v>
      </c>
      <c r="F4" s="114">
        <f>IFERROR(IF(A4=B4,0,VLOOKUP(A4,'Fan Summary'!A:E,2,FALSE))*C4,0)</f>
        <v>0</v>
      </c>
    </row>
    <row r="5" spans="1:6" ht="15" hidden="1" thickTop="1" x14ac:dyDescent="0.4">
      <c r="A5" s="114" t="s">
        <v>1401</v>
      </c>
      <c r="B5" s="114" t="s">
        <v>268</v>
      </c>
      <c r="C5" s="114">
        <v>0</v>
      </c>
      <c r="D5" s="114">
        <f>VLOOKUP($B5,Parts!$A:$G,IF(D$1="t",4,3),FALSE)*$C5</f>
        <v>0</v>
      </c>
      <c r="E5" s="114">
        <f>VLOOKUP($B5,Parts!$A:$G,IF(E$1="t",4,3),FALSE)*$C5</f>
        <v>0</v>
      </c>
      <c r="F5" s="114">
        <f>IFERROR(IF(A5=B5,0,VLOOKUP(A5,'Fan Summary'!A:E,2,FALSE))*C5,0)</f>
        <v>0</v>
      </c>
    </row>
    <row r="6" spans="1:6" ht="15" hidden="1" thickTop="1" x14ac:dyDescent="0.4">
      <c r="A6" s="114" t="s">
        <v>1401</v>
      </c>
      <c r="B6" s="114" t="s">
        <v>999</v>
      </c>
      <c r="C6" s="114">
        <v>1</v>
      </c>
      <c r="D6" s="114">
        <f>VLOOKUP($B6,Parts!$A:$G,IF(D$1="t",4,3),FALSE)*$C6</f>
        <v>0</v>
      </c>
      <c r="E6" s="114">
        <f>VLOOKUP($B6,Parts!$A:$G,IF(E$1="t",4,3),FALSE)*$C6</f>
        <v>60</v>
      </c>
      <c r="F6" s="114">
        <f>IFERROR(IF(A6=B6,0,VLOOKUP(A6,'Fan Summary'!A:E,2,FALSE))*C6,0)</f>
        <v>0</v>
      </c>
    </row>
    <row r="7" spans="1:6" ht="15" hidden="1" thickTop="1" x14ac:dyDescent="0.4">
      <c r="A7" s="114" t="s">
        <v>1401</v>
      </c>
      <c r="B7" s="114" t="s">
        <v>1000</v>
      </c>
      <c r="C7" s="114">
        <v>1</v>
      </c>
      <c r="D7" s="114">
        <f>VLOOKUP($B7,Parts!$A:$G,IF(D$1="t",4,3),FALSE)*$C7</f>
        <v>1</v>
      </c>
      <c r="E7" s="114">
        <f>VLOOKUP($B7,Parts!$A:$G,IF(E$1="t",4,3),FALSE)*$C7</f>
        <v>0</v>
      </c>
      <c r="F7" s="114">
        <f>IFERROR(IF(A7=B7,0,VLOOKUP(A7,'Fan Summary'!A:E,2,FALSE))*C7,0)</f>
        <v>0</v>
      </c>
    </row>
    <row r="8" spans="1:6" ht="15" hidden="1" thickTop="1" x14ac:dyDescent="0.4">
      <c r="A8" s="114" t="s">
        <v>1402</v>
      </c>
      <c r="B8" s="114" t="s">
        <v>1402</v>
      </c>
      <c r="C8" s="114" t="s">
        <v>639</v>
      </c>
      <c r="D8" s="114">
        <f>SUM(D9:D13)</f>
        <v>1.1000000000000001</v>
      </c>
      <c r="E8" s="114">
        <f>SUM(E9:E13)</f>
        <v>89.1</v>
      </c>
      <c r="F8" s="114">
        <f>IFERROR(IF(A8=B8,0,VLOOKUP(A8,'Fan Summary'!A:E,2,FALSE))*C8,0)</f>
        <v>0</v>
      </c>
    </row>
    <row r="9" spans="1:6" ht="15" hidden="1" thickTop="1" x14ac:dyDescent="0.4">
      <c r="A9" s="114" t="s">
        <v>1402</v>
      </c>
      <c r="B9" s="114" t="s">
        <v>253</v>
      </c>
      <c r="C9" s="114">
        <v>1</v>
      </c>
      <c r="D9" s="114">
        <f>VLOOKUP($B9,Parts!$A:$G,IF(D$1="t",4,3),FALSE)*$C9</f>
        <v>0</v>
      </c>
      <c r="E9" s="114">
        <f>VLOOKUP($B9,Parts!$A:$G,IF(E$1="t",4,3),FALSE)*$C9</f>
        <v>8.4499999999999993</v>
      </c>
      <c r="F9" s="114">
        <f>IFERROR(IF(A9=B9,0,VLOOKUP(A9,'Fan Summary'!A:E,2,FALSE))*C9,0)</f>
        <v>0</v>
      </c>
    </row>
    <row r="10" spans="1:6" ht="15" hidden="1" thickTop="1" x14ac:dyDescent="0.4">
      <c r="A10" s="114" t="s">
        <v>1402</v>
      </c>
      <c r="B10" s="114" t="s">
        <v>998</v>
      </c>
      <c r="C10" s="114">
        <v>1</v>
      </c>
      <c r="D10" s="114">
        <f>VLOOKUP($B10,Parts!$A:$G,IF(D$1="t",4,3),FALSE)*$C10</f>
        <v>0</v>
      </c>
      <c r="E10" s="114">
        <f>VLOOKUP($B10,Parts!$A:$G,IF(E$1="t",4,3),FALSE)*$C10</f>
        <v>19.8</v>
      </c>
      <c r="F10" s="114">
        <f>IFERROR(IF(A10=B10,0,VLOOKUP(A10,'Fan Summary'!A:E,2,FALSE))*C10,0)</f>
        <v>0</v>
      </c>
    </row>
    <row r="11" spans="1:6" ht="15" hidden="1" thickTop="1" x14ac:dyDescent="0.4">
      <c r="A11" s="114" t="s">
        <v>1402</v>
      </c>
      <c r="B11" s="114" t="s">
        <v>268</v>
      </c>
      <c r="C11" s="114">
        <v>1</v>
      </c>
      <c r="D11" s="114">
        <f>VLOOKUP($B11,Parts!$A:$G,IF(D$1="t",4,3),FALSE)*$C11</f>
        <v>0.1</v>
      </c>
      <c r="E11" s="114">
        <f>VLOOKUP($B11,Parts!$A:$G,IF(E$1="t",4,3),FALSE)*$C11</f>
        <v>0.85</v>
      </c>
      <c r="F11" s="114">
        <f>IFERROR(IF(A11=B11,0,VLOOKUP(A11,'Fan Summary'!A:E,2,FALSE))*C11,0)</f>
        <v>0</v>
      </c>
    </row>
    <row r="12" spans="1:6" ht="15" hidden="1" thickTop="1" x14ac:dyDescent="0.4">
      <c r="A12" s="114" t="s">
        <v>1402</v>
      </c>
      <c r="B12" s="114" t="s">
        <v>999</v>
      </c>
      <c r="C12" s="114">
        <v>1</v>
      </c>
      <c r="D12" s="114">
        <f>VLOOKUP($B12,Parts!$A:$G,IF(D$1="t",4,3),FALSE)*$C12</f>
        <v>0</v>
      </c>
      <c r="E12" s="114">
        <f>VLOOKUP($B12,Parts!$A:$G,IF(E$1="t",4,3),FALSE)*$C12</f>
        <v>60</v>
      </c>
      <c r="F12" s="114">
        <f>IFERROR(IF(A12=B12,0,VLOOKUP(A12,'Fan Summary'!A:E,2,FALSE))*C12,0)</f>
        <v>0</v>
      </c>
    </row>
    <row r="13" spans="1:6" ht="15" hidden="1" thickTop="1" x14ac:dyDescent="0.4">
      <c r="A13" s="114" t="s">
        <v>1402</v>
      </c>
      <c r="B13" s="114" t="s">
        <v>1000</v>
      </c>
      <c r="C13" s="114">
        <v>1</v>
      </c>
      <c r="D13" s="114">
        <f>VLOOKUP($B13,Parts!$A:$G,IF(D$1="t",4,3),FALSE)*$C13</f>
        <v>1</v>
      </c>
      <c r="E13" s="114">
        <f>VLOOKUP($B13,Parts!$A:$G,IF(E$1="t",4,3),FALSE)*$C13</f>
        <v>0</v>
      </c>
      <c r="F13" s="114">
        <f>IFERROR(IF(A13=B13,0,VLOOKUP(A13,'Fan Summary'!A:E,2,FALSE))*C13,0)</f>
        <v>0</v>
      </c>
    </row>
    <row r="14" spans="1:6" ht="15" hidden="1" thickTop="1" x14ac:dyDescent="0.4">
      <c r="A14" s="114" t="s">
        <v>1403</v>
      </c>
      <c r="B14" s="114" t="s">
        <v>1403</v>
      </c>
      <c r="C14" s="114" t="s">
        <v>639</v>
      </c>
      <c r="D14" s="114">
        <f>SUM(D15)</f>
        <v>0.1</v>
      </c>
      <c r="E14" s="114">
        <f>SUM(E15)</f>
        <v>0.85</v>
      </c>
      <c r="F14" s="114">
        <f>IFERROR(IF(A14=B14,0,VLOOKUP(A14,'Fan Summary'!A:E,2,FALSE))*C14,0)</f>
        <v>0</v>
      </c>
    </row>
    <row r="15" spans="1:6" ht="15" hidden="1" thickTop="1" x14ac:dyDescent="0.4">
      <c r="A15" s="114" t="s">
        <v>1403</v>
      </c>
      <c r="B15" s="114" t="s">
        <v>268</v>
      </c>
      <c r="C15" s="114">
        <v>1</v>
      </c>
      <c r="D15" s="114">
        <f>VLOOKUP($B15,Parts!$A:$G,IF(D$1="t",4,3),FALSE)*$C15</f>
        <v>0.1</v>
      </c>
      <c r="E15" s="114">
        <f>VLOOKUP($B15,Parts!$A:$G,IF(E$1="t",4,3),FALSE)*$C15</f>
        <v>0.85</v>
      </c>
      <c r="F15" s="114">
        <f>IFERROR(IF(A15=B15,0,VLOOKUP(A15,'Fan Summary'!A:E,2,FALSE))*C15,0)</f>
        <v>0</v>
      </c>
    </row>
    <row r="16" spans="1:6" ht="15" hidden="1" thickTop="1" x14ac:dyDescent="0.4">
      <c r="A16" s="114" t="s">
        <v>1404</v>
      </c>
      <c r="B16" s="114" t="s">
        <v>1404</v>
      </c>
      <c r="C16" s="114" t="s">
        <v>639</v>
      </c>
      <c r="D16" s="114">
        <f>SUM(D17)</f>
        <v>0.1</v>
      </c>
      <c r="E16" s="114">
        <f>SUM(E17)</f>
        <v>0.28000000000000003</v>
      </c>
      <c r="F16" s="114">
        <f>IFERROR(IF(A16=B16,0,VLOOKUP(A16,'Fan Summary'!A:E,2,FALSE))*C16,0)</f>
        <v>0</v>
      </c>
    </row>
    <row r="17" spans="1:6" ht="15" hidden="1" thickTop="1" x14ac:dyDescent="0.4">
      <c r="A17" s="114" t="s">
        <v>1404</v>
      </c>
      <c r="B17" s="114" t="s">
        <v>418</v>
      </c>
      <c r="C17" s="114">
        <v>1</v>
      </c>
      <c r="D17" s="114">
        <f>VLOOKUP($B17,Parts!$A:$G,IF(D$1="t",4,3),FALSE)*$C17</f>
        <v>0.1</v>
      </c>
      <c r="E17" s="114">
        <f>VLOOKUP($B17,Parts!$A:$G,IF(E$1="t",4,3),FALSE)*$C17</f>
        <v>0.28000000000000003</v>
      </c>
      <c r="F17" s="114">
        <f>IFERROR(IF(A17=B17,0,VLOOKUP(A17,'Fan Summary'!A:E,2,FALSE))*C17,0)</f>
        <v>0</v>
      </c>
    </row>
    <row r="18" spans="1:6" ht="15" hidden="1" thickTop="1" x14ac:dyDescent="0.4">
      <c r="A18" s="114" t="s">
        <v>1405</v>
      </c>
      <c r="B18" s="114" t="s">
        <v>1405</v>
      </c>
      <c r="C18" s="114" t="s">
        <v>639</v>
      </c>
      <c r="D18" s="114">
        <f>SUM(D19)</f>
        <v>0.1</v>
      </c>
      <c r="E18" s="114">
        <f>SUM(E19)</f>
        <v>1.056</v>
      </c>
      <c r="F18" s="114">
        <f>IFERROR(IF(A18=B18,0,VLOOKUP(A18,'Fan Summary'!A:E,2,FALSE))*C18,0)</f>
        <v>0</v>
      </c>
    </row>
    <row r="19" spans="1:6" ht="15" hidden="1" thickTop="1" x14ac:dyDescent="0.4">
      <c r="A19" s="114" t="s">
        <v>1405</v>
      </c>
      <c r="B19" s="114" t="s">
        <v>269</v>
      </c>
      <c r="C19" s="114">
        <v>1</v>
      </c>
      <c r="D19" s="114">
        <f>VLOOKUP($B19,Parts!$A:$G,IF(D$1="t",4,3),FALSE)*$C19</f>
        <v>0.1</v>
      </c>
      <c r="E19" s="114">
        <f>VLOOKUP($B19,Parts!$A:$G,IF(E$1="t",4,3),FALSE)*$C19</f>
        <v>1.056</v>
      </c>
      <c r="F19" s="114">
        <f>IFERROR(IF(A19=B19,0,VLOOKUP(A19,'Fan Summary'!A:E,2,FALSE))*C19,0)</f>
        <v>0</v>
      </c>
    </row>
    <row r="20" spans="1:6" ht="15" hidden="1" thickTop="1" x14ac:dyDescent="0.4">
      <c r="A20" s="114" t="s">
        <v>1406</v>
      </c>
      <c r="B20" s="114" t="s">
        <v>1406</v>
      </c>
      <c r="C20" s="114" t="s">
        <v>639</v>
      </c>
      <c r="D20" s="114">
        <f>SUM(D21)</f>
        <v>0.1</v>
      </c>
      <c r="E20" s="114">
        <f>SUM(E21)</f>
        <v>3.48</v>
      </c>
      <c r="F20" s="114">
        <f>IFERROR(IF(A20=B20,0,VLOOKUP(A20,'Fan Summary'!A:E,2,FALSE))*C20,0)</f>
        <v>0</v>
      </c>
    </row>
    <row r="21" spans="1:6" ht="15" hidden="1" thickTop="1" x14ac:dyDescent="0.4">
      <c r="A21" s="114" t="s">
        <v>1406</v>
      </c>
      <c r="B21" s="114" t="s">
        <v>267</v>
      </c>
      <c r="C21" s="114">
        <v>1</v>
      </c>
      <c r="D21" s="114">
        <f>VLOOKUP($B21,Parts!$A:$G,IF(D$1="t",4,3),FALSE)*$C21</f>
        <v>0.1</v>
      </c>
      <c r="E21" s="114">
        <f>VLOOKUP($B21,Parts!$A:$G,IF(E$1="t",4,3),FALSE)*$C21</f>
        <v>3.48</v>
      </c>
      <c r="F21" s="114">
        <f>IFERROR(IF(A21=B21,0,VLOOKUP(A21,'Fan Summary'!A:E,2,FALSE))*C21,0)</f>
        <v>0</v>
      </c>
    </row>
    <row r="22" spans="1:6" ht="15" hidden="1" thickTop="1" x14ac:dyDescent="0.4">
      <c r="A22" s="114" t="s">
        <v>1407</v>
      </c>
      <c r="B22" s="114" t="s">
        <v>1407</v>
      </c>
      <c r="C22" s="114" t="s">
        <v>639</v>
      </c>
      <c r="D22" s="114">
        <f>SUM(D23)</f>
        <v>0.1</v>
      </c>
      <c r="E22" s="114">
        <f>SUM(E23)</f>
        <v>4.5599999999999996</v>
      </c>
      <c r="F22" s="114">
        <f>IFERROR(IF(A22=B22,0,VLOOKUP(A22,'Fan Summary'!A:E,2,FALSE))*C22,0)</f>
        <v>0</v>
      </c>
    </row>
    <row r="23" spans="1:6" ht="15" hidden="1" thickTop="1" x14ac:dyDescent="0.4">
      <c r="A23" s="114" t="s">
        <v>1407</v>
      </c>
      <c r="B23" s="114" t="s">
        <v>266</v>
      </c>
      <c r="C23" s="114">
        <v>1</v>
      </c>
      <c r="D23" s="114">
        <f>VLOOKUP($B23,Parts!$A:$G,IF(D$1="t",4,3),FALSE)*$C23</f>
        <v>0.1</v>
      </c>
      <c r="E23" s="114">
        <f>VLOOKUP($B23,Parts!$A:$G,IF(E$1="t",4,3),FALSE)*$C23</f>
        <v>4.5599999999999996</v>
      </c>
      <c r="F23" s="114">
        <f>IFERROR(IF(A23=B23,0,VLOOKUP(A23,'Fan Summary'!A:E,2,FALSE))*C23,0)</f>
        <v>0</v>
      </c>
    </row>
    <row r="24" spans="1:6" ht="15" hidden="1" thickTop="1" x14ac:dyDescent="0.4">
      <c r="A24" s="114" t="s">
        <v>1408</v>
      </c>
      <c r="B24" s="114" t="s">
        <v>1408</v>
      </c>
      <c r="C24" s="114" t="s">
        <v>639</v>
      </c>
      <c r="D24" s="114">
        <f>SUM(D25)</f>
        <v>0.1</v>
      </c>
      <c r="E24" s="114">
        <f>SUM(E25)</f>
        <v>2.4</v>
      </c>
      <c r="F24" s="114">
        <f>IFERROR(IF(A24=B24,0,VLOOKUP(A24,'Fan Summary'!A:E,2,FALSE))*C24,0)</f>
        <v>0</v>
      </c>
    </row>
    <row r="25" spans="1:6" ht="15" hidden="1" thickTop="1" x14ac:dyDescent="0.4">
      <c r="A25" s="114" t="s">
        <v>1408</v>
      </c>
      <c r="B25" s="114" t="s">
        <v>360</v>
      </c>
      <c r="C25" s="114">
        <v>1</v>
      </c>
      <c r="D25" s="114">
        <f>VLOOKUP($B25,Parts!$A:$G,IF(D$1="t",4,3),FALSE)*$C25</f>
        <v>0.1</v>
      </c>
      <c r="E25" s="114">
        <f>VLOOKUP($B25,Parts!$A:$G,IF(E$1="t",4,3),FALSE)*$C25</f>
        <v>2.4</v>
      </c>
      <c r="F25" s="114">
        <f>IFERROR(IF(A25=B25,0,VLOOKUP(A25,'Fan Summary'!A:E,2,FALSE))*C25,0)</f>
        <v>0</v>
      </c>
    </row>
    <row r="26" spans="1:6" ht="15" hidden="1" thickTop="1" x14ac:dyDescent="0.4">
      <c r="A26" s="114" t="s">
        <v>1409</v>
      </c>
      <c r="B26" s="114" t="s">
        <v>1409</v>
      </c>
      <c r="C26" s="114" t="s">
        <v>639</v>
      </c>
      <c r="D26" s="114">
        <f>SUM(D27)</f>
        <v>0.1</v>
      </c>
      <c r="E26" s="114">
        <f>SUM(E27)</f>
        <v>5.8</v>
      </c>
      <c r="F26" s="114">
        <f>IFERROR(IF(A26=B26,0,VLOOKUP(A26,'Fan Summary'!A:E,2,FALSE))*C26,0)</f>
        <v>0</v>
      </c>
    </row>
    <row r="27" spans="1:6" ht="15" hidden="1" thickTop="1" x14ac:dyDescent="0.4">
      <c r="A27" s="114" t="s">
        <v>1409</v>
      </c>
      <c r="B27" s="114" t="s">
        <v>1254</v>
      </c>
      <c r="C27" s="114">
        <v>1</v>
      </c>
      <c r="D27" s="114">
        <f>VLOOKUP($B27,Parts!$A:$G,IF(D$1="t",4,3),FALSE)*$C27</f>
        <v>0.1</v>
      </c>
      <c r="E27" s="114">
        <f>VLOOKUP($B27,Parts!$A:$G,IF(E$1="t",4,3),FALSE)*$C27</f>
        <v>5.8</v>
      </c>
      <c r="F27" s="114">
        <f>IFERROR(IF(A27=B27,0,VLOOKUP(A27,'Fan Summary'!A:E,2,FALSE))*C27,0)</f>
        <v>0</v>
      </c>
    </row>
    <row r="28" spans="1:6" ht="15" hidden="1" thickTop="1" x14ac:dyDescent="0.4">
      <c r="A28" s="114" t="s">
        <v>678</v>
      </c>
      <c r="B28" s="114" t="s">
        <v>678</v>
      </c>
      <c r="C28" s="114" t="s">
        <v>639</v>
      </c>
      <c r="D28" s="114">
        <f>SUM(D29:D36)</f>
        <v>2</v>
      </c>
      <c r="E28" s="114">
        <f>SUM(E29:E36)</f>
        <v>553.25</v>
      </c>
      <c r="F28" s="114">
        <f>IFERROR(IF(A28=B28,0,VLOOKUP(A28,'Fan Summary'!A:E,2,FALSE))*C28,0)</f>
        <v>0</v>
      </c>
    </row>
    <row r="29" spans="1:6" ht="15" hidden="1" thickTop="1" x14ac:dyDescent="0.4">
      <c r="A29" s="114" t="s">
        <v>678</v>
      </c>
      <c r="B29" s="114" t="s">
        <v>253</v>
      </c>
      <c r="C29" s="114">
        <v>1</v>
      </c>
      <c r="D29" s="114">
        <f>VLOOKUP($B29,Parts!$A:$G,IF(D$1="t",4,3),FALSE)*$C29</f>
        <v>0</v>
      </c>
      <c r="E29" s="114">
        <f>VLOOKUP($B29,Parts!$A:$G,IF(E$1="t",4,3),FALSE)*$C29</f>
        <v>8.4499999999999993</v>
      </c>
      <c r="F29" s="114">
        <f>IFERROR(IF(A29=B29,0,VLOOKUP(A29,'Fan Summary'!A:E,2,FALSE))*C29,0)</f>
        <v>0</v>
      </c>
    </row>
    <row r="30" spans="1:6" ht="15" hidden="1" thickTop="1" x14ac:dyDescent="0.4">
      <c r="A30" s="114" t="s">
        <v>678</v>
      </c>
      <c r="B30" s="114" t="s">
        <v>998</v>
      </c>
      <c r="C30" s="114">
        <v>1</v>
      </c>
      <c r="D30" s="114">
        <f>VLOOKUP($B30,Parts!$A:$G,IF(D$1="t",4,3),FALSE)*$C30</f>
        <v>0</v>
      </c>
      <c r="E30" s="114">
        <f>VLOOKUP($B30,Parts!$A:$G,IF(E$1="t",4,3),FALSE)*$C30</f>
        <v>19.8</v>
      </c>
      <c r="F30" s="114">
        <f>IFERROR(IF(A30=B30,0,VLOOKUP(A30,'Fan Summary'!A:E,2,FALSE))*C30,0)</f>
        <v>0</v>
      </c>
    </row>
    <row r="31" spans="1:6" ht="15" hidden="1" thickTop="1" x14ac:dyDescent="0.4">
      <c r="A31" s="114" t="s">
        <v>678</v>
      </c>
      <c r="B31" s="114" t="s">
        <v>268</v>
      </c>
      <c r="D31" s="114">
        <f>VLOOKUP($B31,Parts!$A:$G,IF(D$1="t",4,3),FALSE)*$C31</f>
        <v>0</v>
      </c>
      <c r="E31" s="114">
        <f>VLOOKUP($B31,Parts!$A:$G,IF(E$1="t",4,3),FALSE)*$C31</f>
        <v>0</v>
      </c>
      <c r="F31" s="114">
        <f>IFERROR(IF(A31=B31,0,VLOOKUP(A31,'Fan Summary'!A:E,2,FALSE))*C31,0)</f>
        <v>0</v>
      </c>
    </row>
    <row r="32" spans="1:6" ht="15" hidden="1" thickTop="1" x14ac:dyDescent="0.4">
      <c r="A32" s="114" t="s">
        <v>678</v>
      </c>
      <c r="B32" s="114" t="s">
        <v>304</v>
      </c>
      <c r="C32" s="114">
        <v>1</v>
      </c>
      <c r="D32" s="114">
        <f>VLOOKUP($B32,Parts!$A:$G,IF(D$1="t",4,3),FALSE)*$C32</f>
        <v>1</v>
      </c>
      <c r="E32" s="114">
        <f>VLOOKUP($B32,Parts!$A:$G,IF(E$1="t",4,3),FALSE)*$C32</f>
        <v>57.95</v>
      </c>
      <c r="F32" s="114">
        <f>IFERROR(IF(A32=B32,0,VLOOKUP(A32,'Fan Summary'!A:E,2,FALSE))*C32,0)</f>
        <v>0</v>
      </c>
    </row>
    <row r="33" spans="1:6" ht="15" hidden="1" thickTop="1" x14ac:dyDescent="0.4">
      <c r="A33" s="114" t="s">
        <v>678</v>
      </c>
      <c r="B33" s="114" t="s">
        <v>1344</v>
      </c>
      <c r="C33" s="114">
        <v>1</v>
      </c>
      <c r="D33" s="114">
        <f>VLOOKUP($B33,Parts!$A:$G,IF(D$1="t",4,3),FALSE)*$C33</f>
        <v>0</v>
      </c>
      <c r="E33" s="114">
        <f>VLOOKUP($B33,Parts!$A:$G,IF(E$1="t",4,3),FALSE)*$C33</f>
        <v>91.05</v>
      </c>
      <c r="F33" s="114">
        <f>IFERROR(IF(A33=B33,0,VLOOKUP(A33,'Fan Summary'!A:E,2,FALSE))*C33,0)</f>
        <v>0</v>
      </c>
    </row>
    <row r="34" spans="1:6" ht="15" hidden="1" thickTop="1" x14ac:dyDescent="0.4">
      <c r="A34" s="114" t="s">
        <v>678</v>
      </c>
      <c r="B34" s="114" t="s">
        <v>1003</v>
      </c>
      <c r="C34" s="114">
        <v>1</v>
      </c>
      <c r="D34" s="114">
        <f>VLOOKUP($B34,Parts!$A:$G,IF(D$1="t",4,3),FALSE)*$C34</f>
        <v>0</v>
      </c>
      <c r="E34" s="114">
        <f>VLOOKUP($B34,Parts!$A:$G,IF(E$1="t",4,3),FALSE)*$C34</f>
        <v>16</v>
      </c>
      <c r="F34" s="114">
        <f>IFERROR(IF(A34=B34,0,VLOOKUP(A34,'Fan Summary'!A:E,2,FALSE))*C34,0)</f>
        <v>0</v>
      </c>
    </row>
    <row r="35" spans="1:6" ht="15" hidden="1" thickTop="1" x14ac:dyDescent="0.4">
      <c r="A35" s="114" t="s">
        <v>678</v>
      </c>
      <c r="B35" s="114" t="s">
        <v>1004</v>
      </c>
      <c r="C35" s="114">
        <v>1</v>
      </c>
      <c r="D35" s="114">
        <f>VLOOKUP($B35,Parts!$A:$G,IF(D$1="t",4,3),FALSE)*$C35</f>
        <v>0</v>
      </c>
      <c r="E35" s="114">
        <f>VLOOKUP($B35,Parts!$A:$G,IF(E$1="t",4,3),FALSE)*$C35</f>
        <v>360</v>
      </c>
      <c r="F35" s="114">
        <f>IFERROR(IF(A35=B35,0,VLOOKUP(A35,'Fan Summary'!A:E,2,FALSE))*C35,0)</f>
        <v>0</v>
      </c>
    </row>
    <row r="36" spans="1:6" ht="15" hidden="1" thickTop="1" x14ac:dyDescent="0.4">
      <c r="A36" s="114" t="s">
        <v>678</v>
      </c>
      <c r="B36" s="114" t="s">
        <v>1000</v>
      </c>
      <c r="C36" s="114">
        <v>1</v>
      </c>
      <c r="D36" s="114">
        <f>VLOOKUP($B36,Parts!$A:$G,IF(D$1="t",4,3),FALSE)*$C36</f>
        <v>1</v>
      </c>
      <c r="E36" s="114">
        <f>VLOOKUP($B36,Parts!$A:$G,IF(E$1="t",4,3),FALSE)*$C36</f>
        <v>0</v>
      </c>
      <c r="F36" s="114">
        <f>IFERROR(IF(A36=B36,0,VLOOKUP(A36,'Fan Summary'!A:E,2,FALSE))*C36,0)</f>
        <v>0</v>
      </c>
    </row>
    <row r="37" spans="1:6" ht="15" hidden="1" thickTop="1" x14ac:dyDescent="0.4">
      <c r="A37" s="114" t="s">
        <v>982</v>
      </c>
      <c r="B37" s="114" t="s">
        <v>982</v>
      </c>
      <c r="C37" s="114" t="s">
        <v>639</v>
      </c>
      <c r="D37" s="114">
        <f>SUM(D38)</f>
        <v>0</v>
      </c>
      <c r="E37" s="114">
        <f>SUM(E38)</f>
        <v>0</v>
      </c>
      <c r="F37" s="114">
        <f>IFERROR(IF(A37=B37,0,VLOOKUP(A37,'Fan Summary'!A:E,2,FALSE))*C37,0)</f>
        <v>0</v>
      </c>
    </row>
    <row r="38" spans="1:6" ht="15" hidden="1" thickTop="1" x14ac:dyDescent="0.4">
      <c r="A38" s="114" t="s">
        <v>982</v>
      </c>
      <c r="B38" s="114" t="s">
        <v>268</v>
      </c>
      <c r="D38" s="114">
        <f>VLOOKUP($B38,Parts!$A:$G,IF(D$1="t",4,3),FALSE)*$C38</f>
        <v>0</v>
      </c>
      <c r="E38" s="114">
        <f>VLOOKUP($B38,Parts!$A:$G,IF(E$1="t",4,3),FALSE)*$C38</f>
        <v>0</v>
      </c>
      <c r="F38" s="114">
        <f>IFERROR(IF(A38=B38,0,VLOOKUP(A38,'Fan Summary'!A:E,2,FALSE))*C38,0)</f>
        <v>0</v>
      </c>
    </row>
    <row r="39" spans="1:6" ht="15" hidden="1" thickTop="1" x14ac:dyDescent="0.4">
      <c r="A39" s="114" t="s">
        <v>983</v>
      </c>
      <c r="B39" s="114" t="s">
        <v>983</v>
      </c>
      <c r="C39" s="114" t="s">
        <v>639</v>
      </c>
      <c r="D39" s="114">
        <f>SUM(D40:D41)</f>
        <v>0</v>
      </c>
      <c r="E39" s="114">
        <f>SUM(E40:E41)</f>
        <v>37.799999999999997</v>
      </c>
      <c r="F39" s="114">
        <f>IFERROR(IF(A39=B39,0,VLOOKUP(A39,'Fan Summary'!A:E,2,FALSE))*C39,0)</f>
        <v>0</v>
      </c>
    </row>
    <row r="40" spans="1:6" ht="15" hidden="1" thickTop="1" x14ac:dyDescent="0.4">
      <c r="A40" s="114" t="s">
        <v>983</v>
      </c>
      <c r="B40" s="114" t="s">
        <v>268</v>
      </c>
      <c r="D40" s="114">
        <f>VLOOKUP($B40,Parts!$A:$G,IF(D$1="t",4,3),FALSE)*$C40</f>
        <v>0</v>
      </c>
      <c r="E40" s="114">
        <f>VLOOKUP($B40,Parts!$A:$G,IF(E$1="t",4,3),FALSE)*$C40</f>
        <v>0</v>
      </c>
      <c r="F40" s="114">
        <f>IFERROR(IF(A40=B40,0,VLOOKUP(A40,'Fan Summary'!A:E,2,FALSE))*C40,0)</f>
        <v>0</v>
      </c>
    </row>
    <row r="41" spans="1:6" ht="15" hidden="1" thickTop="1" x14ac:dyDescent="0.4">
      <c r="A41" s="114" t="s">
        <v>983</v>
      </c>
      <c r="B41" s="114" t="s">
        <v>1389</v>
      </c>
      <c r="C41" s="114">
        <v>1</v>
      </c>
      <c r="D41" s="114">
        <f>VLOOKUP($B41,Parts!$A:$G,IF(D$1="t",4,3),FALSE)*$C41</f>
        <v>0</v>
      </c>
      <c r="E41" s="114">
        <f>VLOOKUP($B41,Parts!$A:$G,IF(E$1="t",4,3),FALSE)*$C41</f>
        <v>37.799999999999997</v>
      </c>
      <c r="F41" s="114">
        <f>IFERROR(IF(A41=B41,0,VLOOKUP(A41,'Fan Summary'!A:E,2,FALSE))*C41,0)</f>
        <v>0</v>
      </c>
    </row>
    <row r="42" spans="1:6" ht="15" hidden="1" thickTop="1" x14ac:dyDescent="0.4">
      <c r="A42" s="114" t="s">
        <v>984</v>
      </c>
      <c r="B42" s="114" t="s">
        <v>984</v>
      </c>
      <c r="C42" s="114" t="s">
        <v>639</v>
      </c>
      <c r="D42" s="114">
        <f>SUM(D43:D44)</f>
        <v>0</v>
      </c>
      <c r="E42" s="114">
        <f>SUM(E43:E44)</f>
        <v>24.2</v>
      </c>
      <c r="F42" s="114">
        <f>IFERROR(IF(A42=B42,0,VLOOKUP(A42,'Fan Summary'!A:E,2,FALSE))*C42,0)</f>
        <v>0</v>
      </c>
    </row>
    <row r="43" spans="1:6" ht="15" hidden="1" thickTop="1" x14ac:dyDescent="0.4">
      <c r="A43" s="114" t="s">
        <v>984</v>
      </c>
      <c r="B43" s="114" t="s">
        <v>418</v>
      </c>
      <c r="D43" s="114">
        <f>VLOOKUP($B43,Parts!$A:$G,IF(D$1="t",4,3),FALSE)*$C43</f>
        <v>0</v>
      </c>
      <c r="E43" s="114">
        <f>VLOOKUP($B43,Parts!$A:$G,IF(E$1="t",4,3),FALSE)*$C43</f>
        <v>0</v>
      </c>
      <c r="F43" s="114">
        <f>IFERROR(IF(A43=B43,0,VLOOKUP(A43,'Fan Summary'!A:E,2,FALSE))*C43,0)</f>
        <v>0</v>
      </c>
    </row>
    <row r="44" spans="1:6" ht="15" hidden="1" thickTop="1" x14ac:dyDescent="0.4">
      <c r="A44" s="114" t="s">
        <v>984</v>
      </c>
      <c r="B44" s="114" t="s">
        <v>326</v>
      </c>
      <c r="C44" s="114">
        <v>1</v>
      </c>
      <c r="D44" s="114">
        <f>VLOOKUP($B44,Parts!$A:$G,IF(D$1="t",4,3),FALSE)*$C44</f>
        <v>0</v>
      </c>
      <c r="E44" s="114">
        <f>VLOOKUP($B44,Parts!$A:$G,IF(E$1="t",4,3),FALSE)*$C44</f>
        <v>24.2</v>
      </c>
      <c r="F44" s="114">
        <f>IFERROR(IF(A44=B44,0,VLOOKUP(A44,'Fan Summary'!A:E,2,FALSE))*C44,0)</f>
        <v>0</v>
      </c>
    </row>
    <row r="45" spans="1:6" ht="15" hidden="1" thickTop="1" x14ac:dyDescent="0.4">
      <c r="A45" s="114" t="s">
        <v>992</v>
      </c>
      <c r="B45" s="114" t="s">
        <v>992</v>
      </c>
      <c r="C45" s="114" t="s">
        <v>639</v>
      </c>
      <c r="D45" s="114">
        <f>SUM(D46:D48)</f>
        <v>0</v>
      </c>
      <c r="E45" s="114">
        <f>SUM(E46:E48)</f>
        <v>47.599999999999994</v>
      </c>
      <c r="F45" s="114">
        <f>IFERROR(IF(A45=B45,0,VLOOKUP(A45,'Fan Summary'!A:E,2,FALSE))*C45,0)</f>
        <v>0</v>
      </c>
    </row>
    <row r="46" spans="1:6" ht="15" hidden="1" thickTop="1" x14ac:dyDescent="0.4">
      <c r="A46" s="114" t="s">
        <v>992</v>
      </c>
      <c r="B46" s="114" t="s">
        <v>831</v>
      </c>
      <c r="C46" s="114">
        <v>1</v>
      </c>
      <c r="D46" s="114">
        <f>VLOOKUP($B46,Parts!$A:$G,IF(D$1="t",4,3),FALSE)*$C46</f>
        <v>0</v>
      </c>
      <c r="E46" s="114">
        <f>VLOOKUP($B46,Parts!$A:$G,IF(E$1="t",4,3),FALSE)*$C46</f>
        <v>23.4</v>
      </c>
      <c r="F46" s="114">
        <f>IFERROR(IF(A46=B46,0,VLOOKUP(A46,'Fan Summary'!A:E,2,FALSE))*C46,0)</f>
        <v>0</v>
      </c>
    </row>
    <row r="47" spans="1:6" ht="15" hidden="1" thickTop="1" x14ac:dyDescent="0.4">
      <c r="A47" s="114" t="s">
        <v>992</v>
      </c>
      <c r="B47" s="114" t="s">
        <v>697</v>
      </c>
      <c r="C47" s="114">
        <v>1</v>
      </c>
      <c r="D47" s="114">
        <f>VLOOKUP($B47,Parts!$A:$G,IF(D$1="t",4,3),FALSE)*$C47</f>
        <v>0</v>
      </c>
      <c r="E47" s="114">
        <f>VLOOKUP($B47,Parts!$A:$G,IF(E$1="t",4,3),FALSE)*$C47</f>
        <v>24.2</v>
      </c>
      <c r="F47" s="114">
        <f>IFERROR(IF(A47=B47,0,VLOOKUP(A47,'Fan Summary'!A:E,2,FALSE))*C47,0)</f>
        <v>0</v>
      </c>
    </row>
    <row r="48" spans="1:6" ht="15" hidden="1" thickTop="1" x14ac:dyDescent="0.4">
      <c r="A48" s="114" t="s">
        <v>992</v>
      </c>
      <c r="B48" s="114" t="s">
        <v>418</v>
      </c>
      <c r="D48" s="114">
        <f>VLOOKUP($B48,Parts!$A:$G,IF(D$1="t",4,3),FALSE)*$C48</f>
        <v>0</v>
      </c>
      <c r="E48" s="114">
        <f>VLOOKUP($B48,Parts!$A:$G,IF(E$1="t",4,3),FALSE)*$C48</f>
        <v>0</v>
      </c>
      <c r="F48" s="114">
        <f>IFERROR(IF(A48=B48,0,VLOOKUP(A48,'Fan Summary'!A:E,2,FALSE))*C48,0)</f>
        <v>0</v>
      </c>
    </row>
    <row r="49" spans="1:6" ht="15" hidden="1" thickTop="1" x14ac:dyDescent="0.4">
      <c r="A49" s="114" t="s">
        <v>991</v>
      </c>
      <c r="B49" s="114" t="s">
        <v>991</v>
      </c>
      <c r="C49" s="114" t="s">
        <v>639</v>
      </c>
      <c r="D49" s="114">
        <f>SUM(D50:D51)</f>
        <v>0</v>
      </c>
      <c r="E49" s="114">
        <f>SUM(E50:E51)</f>
        <v>24.2</v>
      </c>
      <c r="F49" s="114">
        <f>IFERROR(IF(A49=B49,0,VLOOKUP(A49,'Fan Summary'!A:E,2,FALSE))*C49,0)</f>
        <v>0</v>
      </c>
    </row>
    <row r="50" spans="1:6" ht="15" hidden="1" thickTop="1" x14ac:dyDescent="0.4">
      <c r="A50" s="114" t="s">
        <v>991</v>
      </c>
      <c r="B50" s="114" t="s">
        <v>418</v>
      </c>
      <c r="D50" s="114">
        <f>VLOOKUP($B50,Parts!$A:$G,IF(D$1="t",4,3),FALSE)*$C50</f>
        <v>0</v>
      </c>
      <c r="E50" s="114">
        <f>VLOOKUP($B50,Parts!$A:$G,IF(E$1="t",4,3),FALSE)*$C50</f>
        <v>0</v>
      </c>
      <c r="F50" s="114">
        <f>IFERROR(IF(A50=B50,0,VLOOKUP(A50,'Fan Summary'!A:E,2,FALSE))*C50,0)</f>
        <v>0</v>
      </c>
    </row>
    <row r="51" spans="1:6" ht="15" hidden="1" thickTop="1" x14ac:dyDescent="0.4">
      <c r="A51" s="114" t="s">
        <v>991</v>
      </c>
      <c r="B51" s="114" t="s">
        <v>326</v>
      </c>
      <c r="C51" s="114">
        <v>1</v>
      </c>
      <c r="D51" s="114">
        <f>VLOOKUP($B51,Parts!$A:$G,IF(D$1="t",4,3),FALSE)*$C51</f>
        <v>0</v>
      </c>
      <c r="E51" s="114">
        <f>VLOOKUP($B51,Parts!$A:$G,IF(E$1="t",4,3),FALSE)*$C51</f>
        <v>24.2</v>
      </c>
      <c r="F51" s="114">
        <f>IFERROR(IF(A51=B51,0,VLOOKUP(A51,'Fan Summary'!A:E,2,FALSE))*C51,0)</f>
        <v>0</v>
      </c>
    </row>
    <row r="52" spans="1:6" ht="15" hidden="1" thickTop="1" x14ac:dyDescent="0.4">
      <c r="A52" s="114" t="s">
        <v>993</v>
      </c>
      <c r="B52" s="114" t="s">
        <v>993</v>
      </c>
      <c r="C52" s="114" t="s">
        <v>639</v>
      </c>
      <c r="D52" s="114">
        <f t="shared" ref="D52:E52" si="0">SUM(D53:D54)</f>
        <v>0</v>
      </c>
      <c r="E52" s="114">
        <f t="shared" si="0"/>
        <v>24.2</v>
      </c>
      <c r="F52" s="114">
        <f>IFERROR(IF(A52=B52,0,VLOOKUP(A52,'Fan Summary'!A:E,2,FALSE))*C52,0)</f>
        <v>0</v>
      </c>
    </row>
    <row r="53" spans="1:6" ht="15" hidden="1" thickTop="1" x14ac:dyDescent="0.4">
      <c r="A53" s="114" t="s">
        <v>993</v>
      </c>
      <c r="B53" s="114" t="s">
        <v>418</v>
      </c>
      <c r="D53" s="114">
        <f>VLOOKUP($B53,Parts!$A:$G,IF(D$1="t",4,3),FALSE)*$C53</f>
        <v>0</v>
      </c>
      <c r="E53" s="114">
        <f>VLOOKUP($B53,Parts!$A:$G,IF(E$1="t",4,3),FALSE)*$C53</f>
        <v>0</v>
      </c>
      <c r="F53" s="114">
        <f>IFERROR(IF(A53=B53,0,VLOOKUP(A53,'Fan Summary'!A:E,2,FALSE))*C53,0)</f>
        <v>0</v>
      </c>
    </row>
    <row r="54" spans="1:6" ht="15" hidden="1" thickTop="1" x14ac:dyDescent="0.4">
      <c r="A54" s="114" t="s">
        <v>993</v>
      </c>
      <c r="B54" s="114" t="s">
        <v>326</v>
      </c>
      <c r="C54" s="114">
        <v>1</v>
      </c>
      <c r="D54" s="114">
        <f>VLOOKUP($B54,Parts!$A:$G,IF(D$1="t",4,3),FALSE)*$C54</f>
        <v>0</v>
      </c>
      <c r="E54" s="114">
        <f>VLOOKUP($B54,Parts!$A:$G,IF(E$1="t",4,3),FALSE)*$C54</f>
        <v>24.2</v>
      </c>
      <c r="F54" s="114">
        <f>IFERROR(IF(A54=B54,0,VLOOKUP(A54,'Fan Summary'!A:E,2,FALSE))*C54,0)</f>
        <v>0</v>
      </c>
    </row>
    <row r="55" spans="1:6" ht="15" hidden="1" thickTop="1" x14ac:dyDescent="0.4">
      <c r="A55" s="114" t="s">
        <v>1419</v>
      </c>
      <c r="B55" s="114" t="s">
        <v>1419</v>
      </c>
      <c r="C55" s="114" t="s">
        <v>639</v>
      </c>
      <c r="D55" s="114">
        <f>SUM(D56:D58)</f>
        <v>0</v>
      </c>
      <c r="E55" s="114">
        <f>SUM(E56:E58)</f>
        <v>84.2</v>
      </c>
      <c r="F55" s="114">
        <f>IFERROR(IF(A55=B55,0,VLOOKUP(A55,'Fan Summary'!A:E,2,FALSE))*C55,0)</f>
        <v>0</v>
      </c>
    </row>
    <row r="56" spans="1:6" ht="15" hidden="1" thickTop="1" x14ac:dyDescent="0.4">
      <c r="A56" s="114" t="s">
        <v>1419</v>
      </c>
      <c r="B56" s="114" t="s">
        <v>669</v>
      </c>
      <c r="C56" s="114">
        <v>1</v>
      </c>
      <c r="D56" s="114">
        <f>VLOOKUP($B56,Parts!$A:$G,IF(D$1="t",4,3),FALSE)*$C56</f>
        <v>0</v>
      </c>
      <c r="E56" s="114">
        <f>VLOOKUP($B56,Parts!$A:$G,IF(E$1="t",4,3),FALSE)*$C56</f>
        <v>60</v>
      </c>
      <c r="F56" s="114">
        <f>IFERROR(IF(A56=B56,0,VLOOKUP(A56,'Fan Summary'!A:E,2,FALSE))*C56,0)</f>
        <v>0</v>
      </c>
    </row>
    <row r="57" spans="1:6" ht="15" hidden="1" thickTop="1" x14ac:dyDescent="0.4">
      <c r="A57" s="114" t="s">
        <v>1419</v>
      </c>
      <c r="B57" s="114" t="s">
        <v>418</v>
      </c>
      <c r="D57" s="114">
        <f>VLOOKUP($B57,Parts!$A:$G,IF(D$1="t",4,3),FALSE)*$C57</f>
        <v>0</v>
      </c>
      <c r="E57" s="114">
        <f>VLOOKUP($B57,Parts!$A:$G,IF(E$1="t",4,3),FALSE)*$C57</f>
        <v>0</v>
      </c>
      <c r="F57" s="114">
        <f>IFERROR(IF(A57=B57,0,VLOOKUP(A57,'Fan Summary'!A:E,2,FALSE))*C57,0)</f>
        <v>0</v>
      </c>
    </row>
    <row r="58" spans="1:6" ht="15" hidden="1" thickTop="1" x14ac:dyDescent="0.4">
      <c r="A58" s="114" t="s">
        <v>1419</v>
      </c>
      <c r="B58" s="114" t="s">
        <v>326</v>
      </c>
      <c r="C58" s="114">
        <v>1</v>
      </c>
      <c r="D58" s="114">
        <f>VLOOKUP($B58,Parts!$A:$G,IF(D$1="t",4,3),FALSE)*$C58</f>
        <v>0</v>
      </c>
      <c r="E58" s="114">
        <f>VLOOKUP($B58,Parts!$A:$G,IF(E$1="t",4,3),FALSE)*$C58</f>
        <v>24.2</v>
      </c>
      <c r="F58" s="114">
        <f>IFERROR(IF(A58=B58,0,VLOOKUP(A58,'Fan Summary'!A:E,2,FALSE))*C58,0)</f>
        <v>0</v>
      </c>
    </row>
    <row r="59" spans="1:6" ht="15" hidden="1" thickTop="1" x14ac:dyDescent="0.4">
      <c r="A59" s="114" t="s">
        <v>1418</v>
      </c>
      <c r="B59" s="114" t="s">
        <v>1418</v>
      </c>
      <c r="C59" s="114" t="s">
        <v>639</v>
      </c>
      <c r="D59" s="114">
        <f>SUM(D60:D62)</f>
        <v>0</v>
      </c>
      <c r="E59" s="114">
        <f>SUM(E60:E62)</f>
        <v>331.4</v>
      </c>
      <c r="F59" s="114">
        <f>IFERROR(IF(A59=B59,0,VLOOKUP(A59,'Fan Summary'!A:E,2,FALSE))*C59,0)</f>
        <v>0</v>
      </c>
    </row>
    <row r="60" spans="1:6" ht="15" hidden="1" thickTop="1" x14ac:dyDescent="0.4">
      <c r="A60" s="114" t="s">
        <v>1418</v>
      </c>
      <c r="B60" s="114" t="s">
        <v>985</v>
      </c>
      <c r="C60" s="114">
        <v>1</v>
      </c>
      <c r="D60" s="114">
        <f>VLOOKUP($B60,Parts!$A:$G,IF(D$1="t",4,3),FALSE)*$C60</f>
        <v>0</v>
      </c>
      <c r="E60" s="114">
        <f>VLOOKUP($B60,Parts!$A:$G,IF(E$1="t",4,3),FALSE)*$C60</f>
        <v>307.2</v>
      </c>
      <c r="F60" s="114">
        <f>IFERROR(IF(A60=B60,0,VLOOKUP(A60,'Fan Summary'!A:E,2,FALSE))*C60,0)</f>
        <v>0</v>
      </c>
    </row>
    <row r="61" spans="1:6" ht="15" hidden="1" thickTop="1" x14ac:dyDescent="0.4">
      <c r="A61" s="114" t="s">
        <v>1418</v>
      </c>
      <c r="B61" s="114" t="s">
        <v>418</v>
      </c>
      <c r="D61" s="114">
        <f>VLOOKUP($B61,Parts!$A:$G,IF(D$1="t",4,3),FALSE)*$C61</f>
        <v>0</v>
      </c>
      <c r="E61" s="114">
        <f>VLOOKUP($B61,Parts!$A:$G,IF(E$1="t",4,3),FALSE)*$C61</f>
        <v>0</v>
      </c>
      <c r="F61" s="114">
        <f>IFERROR(IF(A61=B61,0,VLOOKUP(A61,'Fan Summary'!A:E,2,FALSE))*C61,0)</f>
        <v>0</v>
      </c>
    </row>
    <row r="62" spans="1:6" ht="15" hidden="1" thickTop="1" x14ac:dyDescent="0.4">
      <c r="A62" s="114" t="s">
        <v>1418</v>
      </c>
      <c r="B62" s="114" t="s">
        <v>326</v>
      </c>
      <c r="C62" s="114">
        <v>1</v>
      </c>
      <c r="D62" s="114">
        <f>VLOOKUP($B62,Parts!$A:$G,IF(D$1="t",4,3),FALSE)*$C62</f>
        <v>0</v>
      </c>
      <c r="E62" s="114">
        <f>VLOOKUP($B62,Parts!$A:$G,IF(E$1="t",4,3),FALSE)*$C62</f>
        <v>24.2</v>
      </c>
      <c r="F62" s="114">
        <f>IFERROR(IF(A62=B62,0,VLOOKUP(A62,'Fan Summary'!A:E,2,FALSE))*C62,0)</f>
        <v>0</v>
      </c>
    </row>
    <row r="63" spans="1:6" ht="15" hidden="1" thickTop="1" x14ac:dyDescent="0.4">
      <c r="A63" s="114" t="s">
        <v>1417</v>
      </c>
      <c r="B63" s="114" t="s">
        <v>1417</v>
      </c>
      <c r="C63" s="114" t="s">
        <v>639</v>
      </c>
      <c r="D63" s="114">
        <f>SUM(D64)</f>
        <v>1</v>
      </c>
      <c r="E63" s="114">
        <f>SUM(E64)</f>
        <v>60</v>
      </c>
      <c r="F63" s="114">
        <f>IFERROR(IF(A63=B63,0,VLOOKUP(A63,'Fan Summary'!A:E,2,FALSE))*C63,0)</f>
        <v>0</v>
      </c>
    </row>
    <row r="64" spans="1:6" ht="15" hidden="1" thickTop="1" x14ac:dyDescent="0.4">
      <c r="A64" s="114" t="s">
        <v>1417</v>
      </c>
      <c r="B64" s="114" t="s">
        <v>986</v>
      </c>
      <c r="C64" s="114">
        <v>1</v>
      </c>
      <c r="D64" s="114">
        <f>VLOOKUP($B64,Parts!$A:$G,IF(D$1="t",4,3),FALSE)*$C64</f>
        <v>1</v>
      </c>
      <c r="E64" s="114">
        <f>VLOOKUP($B64,Parts!$A:$G,IF(E$1="t",4,3),FALSE)*$C64</f>
        <v>60</v>
      </c>
      <c r="F64" s="114">
        <f>IFERROR(IF(A64=B64,0,VLOOKUP(A64,'Fan Summary'!A:E,2,FALSE))*C64,0)</f>
        <v>0</v>
      </c>
    </row>
    <row r="65" spans="1:6" ht="15" hidden="1" thickTop="1" x14ac:dyDescent="0.4">
      <c r="A65" s="114" t="s">
        <v>1416</v>
      </c>
      <c r="B65" s="114" t="s">
        <v>1416</v>
      </c>
      <c r="C65" s="114" t="s">
        <v>639</v>
      </c>
      <c r="D65" s="114">
        <f>SUM(D66)</f>
        <v>2</v>
      </c>
      <c r="E65" s="114">
        <f>SUM(E66)</f>
        <v>80</v>
      </c>
      <c r="F65" s="114">
        <f>IFERROR(IF(A65=B65,0,VLOOKUP(A65,'Fan Summary'!A:E,2,FALSE))*C65,0)</f>
        <v>0</v>
      </c>
    </row>
    <row r="66" spans="1:6" ht="15" hidden="1" thickTop="1" x14ac:dyDescent="0.4">
      <c r="A66" s="114" t="s">
        <v>1416</v>
      </c>
      <c r="B66" s="114" t="s">
        <v>588</v>
      </c>
      <c r="C66" s="114">
        <v>1</v>
      </c>
      <c r="D66" s="114">
        <f>VLOOKUP($B66,Parts!$A:$G,IF(D$1="t",4,3),FALSE)*$C66</f>
        <v>2</v>
      </c>
      <c r="E66" s="114">
        <f>VLOOKUP($B66,Parts!$A:$G,IF(E$1="t",4,3),FALSE)*$C66</f>
        <v>80</v>
      </c>
      <c r="F66" s="114">
        <f>IFERROR(IF(A66=B66,0,VLOOKUP(A66,'Fan Summary'!A:E,2,FALSE))*C66,0)</f>
        <v>0</v>
      </c>
    </row>
    <row r="67" spans="1:6" ht="15" hidden="1" thickTop="1" x14ac:dyDescent="0.4">
      <c r="A67" s="114" t="s">
        <v>1415</v>
      </c>
      <c r="B67" s="114" t="s">
        <v>1415</v>
      </c>
      <c r="C67" s="114" t="s">
        <v>639</v>
      </c>
      <c r="D67" s="114">
        <f>SUM(D68)</f>
        <v>1</v>
      </c>
      <c r="E67" s="114">
        <f>SUM(E68)</f>
        <v>57.95</v>
      </c>
      <c r="F67" s="114">
        <f>IFERROR(IF(A67=B67,0,VLOOKUP(A67,'Fan Summary'!A:E,2,FALSE))*C67,0)</f>
        <v>0</v>
      </c>
    </row>
    <row r="68" spans="1:6" ht="15" hidden="1" thickTop="1" x14ac:dyDescent="0.4">
      <c r="A68" s="114" t="s">
        <v>1415</v>
      </c>
      <c r="B68" s="114" t="s">
        <v>304</v>
      </c>
      <c r="C68" s="114">
        <v>1</v>
      </c>
      <c r="D68" s="114">
        <f>VLOOKUP($B68,Parts!$A:$G,IF(D$1="t",4,3),FALSE)*$C68</f>
        <v>1</v>
      </c>
      <c r="E68" s="114">
        <f>VLOOKUP($B68,Parts!$A:$G,IF(E$1="t",4,3),FALSE)*$C68</f>
        <v>57.95</v>
      </c>
      <c r="F68" s="114">
        <f>IFERROR(IF(A68=B68,0,VLOOKUP(A68,'Fan Summary'!A:E,2,FALSE))*C68,0)</f>
        <v>0</v>
      </c>
    </row>
    <row r="69" spans="1:6" ht="15" hidden="1" thickTop="1" x14ac:dyDescent="0.4">
      <c r="A69" s="114" t="s">
        <v>1414</v>
      </c>
      <c r="B69" s="114" t="s">
        <v>1414</v>
      </c>
      <c r="C69" s="114" t="s">
        <v>639</v>
      </c>
      <c r="D69" s="114">
        <f>SUM(D70:D71)</f>
        <v>0</v>
      </c>
      <c r="E69" s="114">
        <f>SUM(E70:E71)</f>
        <v>23.4</v>
      </c>
      <c r="F69" s="114">
        <f>IFERROR(IF(A69=B69,0,VLOOKUP(A69,'Fan Summary'!A:E,2,FALSE))*C69,0)</f>
        <v>0</v>
      </c>
    </row>
    <row r="70" spans="1:6" ht="15" hidden="1" thickTop="1" x14ac:dyDescent="0.4">
      <c r="A70" s="114" t="s">
        <v>1414</v>
      </c>
      <c r="B70" s="114" t="s">
        <v>269</v>
      </c>
      <c r="D70" s="114">
        <f>VLOOKUP($B70,Parts!$A:$G,IF(D$1="t",4,3),FALSE)*$C70</f>
        <v>0</v>
      </c>
      <c r="E70" s="114">
        <f>VLOOKUP($B70,Parts!$A:$G,IF(E$1="t",4,3),FALSE)*$C70</f>
        <v>0</v>
      </c>
      <c r="F70" s="114">
        <f>IFERROR(IF(A70=B70,0,VLOOKUP(A70,'Fan Summary'!A:E,2,FALSE))*C70,0)</f>
        <v>0</v>
      </c>
    </row>
    <row r="71" spans="1:6" ht="15" hidden="1" thickTop="1" x14ac:dyDescent="0.4">
      <c r="A71" s="114" t="s">
        <v>1414</v>
      </c>
      <c r="B71" s="114" t="s">
        <v>831</v>
      </c>
      <c r="C71" s="114">
        <v>1</v>
      </c>
      <c r="D71" s="114">
        <f>VLOOKUP($B71,Parts!$A:$G,IF(D$1="t",4,3),FALSE)*$C71</f>
        <v>0</v>
      </c>
      <c r="E71" s="114">
        <f>VLOOKUP($B71,Parts!$A:$G,IF(E$1="t",4,3),FALSE)*$C71</f>
        <v>23.4</v>
      </c>
      <c r="F71" s="114">
        <f>IFERROR(IF(A71=B71,0,VLOOKUP(A71,'Fan Summary'!A:E,2,FALSE))*C71,0)</f>
        <v>0</v>
      </c>
    </row>
    <row r="72" spans="1:6" ht="15" hidden="1" thickTop="1" x14ac:dyDescent="0.4">
      <c r="A72" s="114" t="s">
        <v>1413</v>
      </c>
      <c r="B72" s="114" t="s">
        <v>1413</v>
      </c>
      <c r="C72" s="114" t="s">
        <v>639</v>
      </c>
      <c r="D72" s="114">
        <f>SUM(D73:D83)</f>
        <v>3</v>
      </c>
      <c r="E72" s="114">
        <f>SUM(E73:E83)</f>
        <v>1587.5600000000002</v>
      </c>
      <c r="F72" s="114">
        <f>IFERROR(IF(A72=B72,0,VLOOKUP(A72,'Fan Summary'!A:E,2,FALSE))*C72,0)</f>
        <v>0</v>
      </c>
    </row>
    <row r="73" spans="1:6" ht="15" hidden="1" thickTop="1" x14ac:dyDescent="0.4">
      <c r="A73" s="114" t="s">
        <v>1413</v>
      </c>
      <c r="B73" s="114" t="s">
        <v>268</v>
      </c>
      <c r="D73" s="114">
        <f>VLOOKUP($B73,Parts!$A:$G,IF(D$1="t",4,3),FALSE)*$C73</f>
        <v>0</v>
      </c>
      <c r="E73" s="114">
        <f>VLOOKUP($B73,Parts!$A:$G,IF(E$1="t",4,3),FALSE)*$C73</f>
        <v>0</v>
      </c>
      <c r="F73" s="114">
        <f>IFERROR(IF(A73=B73,0,VLOOKUP(A73,'Fan Summary'!A:E,2,FALSE))*C73,0)</f>
        <v>0</v>
      </c>
    </row>
    <row r="74" spans="1:6" ht="15" hidden="1" thickTop="1" x14ac:dyDescent="0.4">
      <c r="A74" s="114" t="s">
        <v>1413</v>
      </c>
      <c r="B74" s="114" t="s">
        <v>268</v>
      </c>
      <c r="D74" s="114">
        <f>VLOOKUP($B74,Parts!$A:$G,IF(D$1="t",4,3),FALSE)*$C74</f>
        <v>0</v>
      </c>
      <c r="E74" s="114">
        <f>VLOOKUP($B74,Parts!$A:$G,IF(E$1="t",4,3),FALSE)*$C74</f>
        <v>0</v>
      </c>
      <c r="F74" s="114">
        <f>IFERROR(IF(A74=B74,0,VLOOKUP(A74,'Fan Summary'!A:E,2,FALSE))*C74,0)</f>
        <v>0</v>
      </c>
    </row>
    <row r="75" spans="1:6" ht="15" hidden="1" thickTop="1" x14ac:dyDescent="0.4">
      <c r="A75" s="114" t="s">
        <v>1413</v>
      </c>
      <c r="B75" s="114" t="s">
        <v>418</v>
      </c>
      <c r="D75" s="114">
        <f>VLOOKUP($B75,Parts!$A:$G,IF(D$1="t",4,3),FALSE)*$C75</f>
        <v>0</v>
      </c>
      <c r="E75" s="114">
        <f>VLOOKUP($B75,Parts!$A:$G,IF(E$1="t",4,3),FALSE)*$C75</f>
        <v>0</v>
      </c>
      <c r="F75" s="114">
        <f>IFERROR(IF(A75=B75,0,VLOOKUP(A75,'Fan Summary'!A:E,2,FALSE))*C75,0)</f>
        <v>0</v>
      </c>
    </row>
    <row r="76" spans="1:6" ht="15" hidden="1" thickTop="1" x14ac:dyDescent="0.4">
      <c r="A76" s="114" t="s">
        <v>1413</v>
      </c>
      <c r="B76" s="114" t="s">
        <v>1250</v>
      </c>
      <c r="C76" s="114">
        <v>1</v>
      </c>
      <c r="D76" s="114">
        <f>VLOOKUP($B76,Parts!$A:$G,IF(D$1="t",4,3),FALSE)*$C76</f>
        <v>2</v>
      </c>
      <c r="E76" s="114">
        <f>VLOOKUP($B76,Parts!$A:$G,IF(E$1="t",4,3),FALSE)*$C76</f>
        <v>971.52</v>
      </c>
      <c r="F76" s="114">
        <f>IFERROR(IF(A76=B76,0,VLOOKUP(A76,'Fan Summary'!A:E,2,FALSE))*C76,0)</f>
        <v>0</v>
      </c>
    </row>
    <row r="77" spans="1:6" ht="15" hidden="1" thickTop="1" x14ac:dyDescent="0.4">
      <c r="A77" s="114" t="s">
        <v>1413</v>
      </c>
      <c r="B77" s="114" t="s">
        <v>1040</v>
      </c>
      <c r="C77" s="114">
        <v>1</v>
      </c>
      <c r="D77" s="114">
        <f>VLOOKUP($B77,Parts!$A:$G,IF(D$1="t",4,3),FALSE)*$C77</f>
        <v>0</v>
      </c>
      <c r="E77" s="114">
        <f>VLOOKUP($B77,Parts!$A:$G,IF(E$1="t",4,3),FALSE)*$C77</f>
        <v>43.44</v>
      </c>
      <c r="F77" s="114">
        <f>IFERROR(IF(A77=B77,0,VLOOKUP(A77,'Fan Summary'!A:E,2,FALSE))*C77,0)</f>
        <v>0</v>
      </c>
    </row>
    <row r="78" spans="1:6" ht="15" hidden="1" thickTop="1" x14ac:dyDescent="0.4">
      <c r="A78" s="114" t="s">
        <v>1413</v>
      </c>
      <c r="B78" s="114" t="s">
        <v>1344</v>
      </c>
      <c r="C78" s="114">
        <v>1</v>
      </c>
      <c r="D78" s="114">
        <f>VLOOKUP($B78,Parts!$A:$G,IF(D$1="t",4,3),FALSE)*$C78</f>
        <v>0</v>
      </c>
      <c r="E78" s="114">
        <f>VLOOKUP($B78,Parts!$A:$G,IF(E$1="t",4,3),FALSE)*$C78</f>
        <v>91.05</v>
      </c>
      <c r="F78" s="114">
        <f>IFERROR(IF(A78=B78,0,VLOOKUP(A78,'Fan Summary'!A:E,2,FALSE))*C78,0)</f>
        <v>0</v>
      </c>
    </row>
    <row r="79" spans="1:6" ht="15" hidden="1" thickTop="1" x14ac:dyDescent="0.4">
      <c r="A79" s="114" t="s">
        <v>1413</v>
      </c>
      <c r="B79" s="114" t="s">
        <v>326</v>
      </c>
      <c r="C79" s="114">
        <v>1</v>
      </c>
      <c r="D79" s="114">
        <f>VLOOKUP($B79,Parts!$A:$G,IF(D$1="t",4,3),FALSE)*$C79</f>
        <v>0</v>
      </c>
      <c r="E79" s="114">
        <f>VLOOKUP($B79,Parts!$A:$G,IF(E$1="t",4,3),FALSE)*$C79</f>
        <v>24.2</v>
      </c>
      <c r="F79" s="114">
        <f>IFERROR(IF(A79=B79,0,VLOOKUP(A79,'Fan Summary'!A:E,2,FALSE))*C79,0)</f>
        <v>0</v>
      </c>
    </row>
    <row r="80" spans="1:6" ht="15" hidden="1" thickTop="1" x14ac:dyDescent="0.4">
      <c r="A80" s="114" t="s">
        <v>1413</v>
      </c>
      <c r="B80" s="114" t="s">
        <v>1003</v>
      </c>
      <c r="C80" s="114">
        <v>1</v>
      </c>
      <c r="D80" s="114">
        <f>VLOOKUP($B80,Parts!$A:$G,IF(D$1="t",4,3),FALSE)*$C80</f>
        <v>0</v>
      </c>
      <c r="E80" s="114">
        <f>VLOOKUP($B80,Parts!$A:$G,IF(E$1="t",4,3),FALSE)*$C80</f>
        <v>16</v>
      </c>
      <c r="F80" s="114">
        <f>IFERROR(IF(A80=B80,0,VLOOKUP(A80,'Fan Summary'!A:E,2,FALSE))*C80,0)</f>
        <v>0</v>
      </c>
    </row>
    <row r="81" spans="1:6" ht="15" hidden="1" thickTop="1" x14ac:dyDescent="0.4">
      <c r="A81" s="114" t="s">
        <v>1413</v>
      </c>
      <c r="B81" s="114" t="s">
        <v>831</v>
      </c>
      <c r="C81" s="114">
        <v>1</v>
      </c>
      <c r="D81" s="114">
        <f>VLOOKUP($B81,Parts!$A:$G,IF(D$1="t",4,3),FALSE)*$C81</f>
        <v>0</v>
      </c>
      <c r="E81" s="114">
        <f>VLOOKUP($B81,Parts!$A:$G,IF(E$1="t",4,3),FALSE)*$C81</f>
        <v>23.4</v>
      </c>
      <c r="F81" s="114">
        <f>IFERROR(IF(A81=B81,0,VLOOKUP(A81,'Fan Summary'!A:E,2,FALSE))*C81,0)</f>
        <v>0</v>
      </c>
    </row>
    <row r="82" spans="1:6" ht="15" hidden="1" thickTop="1" x14ac:dyDescent="0.4">
      <c r="A82" s="114" t="s">
        <v>1413</v>
      </c>
      <c r="B82" s="114" t="s">
        <v>304</v>
      </c>
      <c r="C82" s="114">
        <v>1</v>
      </c>
      <c r="D82" s="114">
        <f>VLOOKUP($B82,Parts!$A:$G,IF(D$1="t",4,3),FALSE)*$C82</f>
        <v>1</v>
      </c>
      <c r="E82" s="114">
        <f>VLOOKUP($B82,Parts!$A:$G,IF(E$1="t",4,3),FALSE)*$C82</f>
        <v>57.95</v>
      </c>
      <c r="F82" s="114">
        <f>IFERROR(IF(A82=B82,0,VLOOKUP(A82,'Fan Summary'!A:E,2,FALSE))*C82,0)</f>
        <v>0</v>
      </c>
    </row>
    <row r="83" spans="1:6" ht="15" hidden="1" thickTop="1" x14ac:dyDescent="0.4">
      <c r="A83" s="114" t="s">
        <v>1413</v>
      </c>
      <c r="B83" s="114" t="s">
        <v>1004</v>
      </c>
      <c r="C83" s="114">
        <v>1</v>
      </c>
      <c r="D83" s="114">
        <f>VLOOKUP($B83,Parts!$A:$G,IF(D$1="t",4,3),FALSE)*$C83</f>
        <v>0</v>
      </c>
      <c r="E83" s="114">
        <f>VLOOKUP($B83,Parts!$A:$G,IF(E$1="t",4,3),FALSE)*$C83</f>
        <v>360</v>
      </c>
      <c r="F83" s="114">
        <f>IFERROR(IF(A83=B83,0,VLOOKUP(A83,'Fan Summary'!A:E,2,FALSE))*C83,0)</f>
        <v>0</v>
      </c>
    </row>
    <row r="84" spans="1:6" ht="15" hidden="1" thickTop="1" x14ac:dyDescent="0.4">
      <c r="A84" s="114" t="s">
        <v>1412</v>
      </c>
      <c r="B84" s="114" t="s">
        <v>1412</v>
      </c>
      <c r="C84" s="114" t="s">
        <v>639</v>
      </c>
      <c r="D84" s="114">
        <f>SUM(D85:D87)</f>
        <v>0</v>
      </c>
      <c r="E84" s="114">
        <f>SUM(E85:E87)</f>
        <v>39.4</v>
      </c>
      <c r="F84" s="114">
        <f>IFERROR(IF(A84=B84,0,VLOOKUP(A84,'Fan Summary'!A:E,2,FALSE))*C84,0)</f>
        <v>0</v>
      </c>
    </row>
    <row r="85" spans="1:6" ht="15" hidden="1" thickTop="1" x14ac:dyDescent="0.4">
      <c r="A85" s="114" t="s">
        <v>1412</v>
      </c>
      <c r="B85" s="114" t="s">
        <v>269</v>
      </c>
      <c r="D85" s="114">
        <f>VLOOKUP($B85,Parts!$A:$G,IF(D$1="t",4,3),FALSE)*$C85</f>
        <v>0</v>
      </c>
      <c r="E85" s="114">
        <f>VLOOKUP($B85,Parts!$A:$G,IF(E$1="t",4,3),FALSE)*$C85</f>
        <v>0</v>
      </c>
      <c r="F85" s="114">
        <f>IFERROR(IF(A85=B85,0,VLOOKUP(A85,'Fan Summary'!A:E,2,FALSE))*C85,0)</f>
        <v>0</v>
      </c>
    </row>
    <row r="86" spans="1:6" ht="15" hidden="1" thickTop="1" x14ac:dyDescent="0.4">
      <c r="A86" s="114" t="s">
        <v>1412</v>
      </c>
      <c r="B86" s="114" t="s">
        <v>831</v>
      </c>
      <c r="C86" s="114">
        <v>1</v>
      </c>
      <c r="D86" s="114">
        <f>VLOOKUP($B86,Parts!$A:$G,IF(D$1="t",4,3),FALSE)*$C86</f>
        <v>0</v>
      </c>
      <c r="E86" s="114">
        <f>VLOOKUP($B86,Parts!$A:$G,IF(E$1="t",4,3),FALSE)*$C86</f>
        <v>23.4</v>
      </c>
      <c r="F86" s="114">
        <f>IFERROR(IF(A86=B86,0,VLOOKUP(A86,'Fan Summary'!A:E,2,FALSE))*C86,0)</f>
        <v>0</v>
      </c>
    </row>
    <row r="87" spans="1:6" ht="15" hidden="1" thickTop="1" x14ac:dyDescent="0.4">
      <c r="A87" s="114" t="s">
        <v>1412</v>
      </c>
      <c r="B87" s="114" t="s">
        <v>1003</v>
      </c>
      <c r="C87" s="114">
        <v>1</v>
      </c>
      <c r="D87" s="114">
        <f>VLOOKUP($B87,Parts!$A:$G,IF(D$1="t",4,3),FALSE)*$C87</f>
        <v>0</v>
      </c>
      <c r="E87" s="114">
        <f>VLOOKUP($B87,Parts!$A:$G,IF(E$1="t",4,3),FALSE)*$C87</f>
        <v>16</v>
      </c>
      <c r="F87" s="114">
        <f>IFERROR(IF(A87=B87,0,VLOOKUP(A87,'Fan Summary'!A:E,2,FALSE))*C87,0)</f>
        <v>0</v>
      </c>
    </row>
    <row r="88" spans="1:6" ht="15" thickTop="1" x14ac:dyDescent="0.4">
      <c r="A88" s="114" t="s">
        <v>1411</v>
      </c>
      <c r="B88" s="114" t="s">
        <v>1411</v>
      </c>
      <c r="C88" s="114" t="s">
        <v>639</v>
      </c>
      <c r="D88" s="114">
        <f>SUM(D89:D102)</f>
        <v>5</v>
      </c>
      <c r="E88" s="114">
        <f>SUM(E89:E102)</f>
        <v>1736.0800000000002</v>
      </c>
      <c r="F88" s="114">
        <f>IFERROR(IF(A88=B88,0,VLOOKUP(A88,'Fan Summary'!A:E,2,FALSE))*C88,0)</f>
        <v>0</v>
      </c>
    </row>
    <row r="89" spans="1:6" x14ac:dyDescent="0.4">
      <c r="A89" s="114" t="s">
        <v>1411</v>
      </c>
      <c r="B89" s="114" t="s">
        <v>1040</v>
      </c>
      <c r="C89" s="114">
        <v>1</v>
      </c>
      <c r="D89" s="114">
        <f>VLOOKUP($B89,Parts!$A:$G,IF(D$1="t",4,3),FALSE)*$C89</f>
        <v>0</v>
      </c>
      <c r="E89" s="114">
        <f>VLOOKUP($B89,Parts!$A:$G,IF(E$1="t",4,3),FALSE)*$C89</f>
        <v>43.44</v>
      </c>
      <c r="F89" s="114">
        <f>IFERROR(IF(A89=B89,0,VLOOKUP(A89,'Fan Summary'!A:E,2,FALSE))*C89,0)</f>
        <v>0</v>
      </c>
    </row>
    <row r="90" spans="1:6" x14ac:dyDescent="0.4">
      <c r="A90" s="114" t="s">
        <v>1411</v>
      </c>
      <c r="B90" s="114" t="s">
        <v>1039</v>
      </c>
      <c r="C90" s="114">
        <v>1</v>
      </c>
      <c r="D90" s="114">
        <f>VLOOKUP($B90,Parts!$A:$G,IF(D$1="t",4,3),FALSE)*$C90</f>
        <v>0</v>
      </c>
      <c r="E90" s="114">
        <f>VLOOKUP($B90,Parts!$A:$G,IF(E$1="t",4,3),FALSE)*$C90</f>
        <v>46.46</v>
      </c>
      <c r="F90" s="114">
        <f>IFERROR(IF(A90=B90,0,VLOOKUP(A90,'Fan Summary'!A:E,2,FALSE))*C90,0)</f>
        <v>0</v>
      </c>
    </row>
    <row r="91" spans="1:6" x14ac:dyDescent="0.4">
      <c r="A91" s="114" t="s">
        <v>1411</v>
      </c>
      <c r="B91" s="114" t="s">
        <v>1250</v>
      </c>
      <c r="C91" s="114">
        <v>1</v>
      </c>
      <c r="D91" s="114">
        <f>VLOOKUP($B91,Parts!$A:$G,IF(D$1="t",4,3),FALSE)*$C91</f>
        <v>2</v>
      </c>
      <c r="E91" s="114">
        <f>VLOOKUP($B91,Parts!$A:$G,IF(E$1="t",4,3),FALSE)*$C91</f>
        <v>971.52</v>
      </c>
      <c r="F91" s="114">
        <f>IFERROR(IF(A91=B91,0,VLOOKUP(A91,'Fan Summary'!A:E,2,FALSE))*C91,0)</f>
        <v>0</v>
      </c>
    </row>
    <row r="92" spans="1:6" x14ac:dyDescent="0.4">
      <c r="A92" s="114" t="s">
        <v>1411</v>
      </c>
      <c r="B92" s="114" t="s">
        <v>999</v>
      </c>
      <c r="C92" s="114">
        <v>1</v>
      </c>
      <c r="D92" s="114">
        <f>VLOOKUP($B92,Parts!$A:$G,IF(D$1="t",4,3),FALSE)*$C92</f>
        <v>0</v>
      </c>
      <c r="E92" s="114">
        <f>VLOOKUP($B92,Parts!$A:$G,IF(E$1="t",4,3),FALSE)*$C92</f>
        <v>60</v>
      </c>
      <c r="F92" s="114">
        <f>IFERROR(IF(A92=B92,0,VLOOKUP(A92,'Fan Summary'!A:E,2,FALSE))*C92,0)</f>
        <v>0</v>
      </c>
    </row>
    <row r="93" spans="1:6" x14ac:dyDescent="0.4">
      <c r="A93" s="114" t="s">
        <v>1411</v>
      </c>
      <c r="B93" s="114" t="s">
        <v>1290</v>
      </c>
      <c r="C93" s="114">
        <v>1</v>
      </c>
      <c r="D93" s="114">
        <f>VLOOKUP($B93,Parts!$A:$G,IF(D$1="t",4,3),FALSE)*$C93</f>
        <v>1</v>
      </c>
      <c r="E93" s="114">
        <f>VLOOKUP($B93,Parts!$A:$G,IF(E$1="t",4,3),FALSE)*$C93</f>
        <v>47</v>
      </c>
      <c r="F93" s="114">
        <f>IFERROR(IF(A93=B93,0,VLOOKUP(A93,'Fan Summary'!A:E,2,FALSE))*C93,0)</f>
        <v>0</v>
      </c>
    </row>
    <row r="94" spans="1:6" x14ac:dyDescent="0.4">
      <c r="A94" s="114" t="s">
        <v>1411</v>
      </c>
      <c r="B94" s="114" t="s">
        <v>1291</v>
      </c>
      <c r="C94" s="114">
        <v>1</v>
      </c>
      <c r="D94" s="114">
        <f>VLOOKUP($B94,Parts!$A:$G,IF(D$1="t",4,3),FALSE)*$C94</f>
        <v>1</v>
      </c>
      <c r="E94" s="114">
        <f>VLOOKUP($B94,Parts!$A:$G,IF(E$1="t",4,3),FALSE)*$C94</f>
        <v>420</v>
      </c>
      <c r="F94" s="114">
        <f>IFERROR(IF(A94=B94,0,VLOOKUP(A94,'Fan Summary'!A:E,2,FALSE))*C94,0)</f>
        <v>0</v>
      </c>
    </row>
    <row r="95" spans="1:6" x14ac:dyDescent="0.4">
      <c r="A95" s="114" t="s">
        <v>1411</v>
      </c>
      <c r="B95" s="114" t="s">
        <v>1003</v>
      </c>
      <c r="C95" s="114">
        <v>1</v>
      </c>
      <c r="D95" s="114">
        <f>VLOOKUP($B95,Parts!$A:$G,IF(D$1="t",4,3),FALSE)*$C95</f>
        <v>0</v>
      </c>
      <c r="E95" s="114">
        <f>VLOOKUP($B95,Parts!$A:$G,IF(E$1="t",4,3),FALSE)*$C95</f>
        <v>16</v>
      </c>
      <c r="F95" s="114">
        <f>IFERROR(IF(A95=B95,0,VLOOKUP(A95,'Fan Summary'!A:E,2,FALSE))*C95,0)</f>
        <v>0</v>
      </c>
    </row>
    <row r="96" spans="1:6" x14ac:dyDescent="0.4">
      <c r="A96" s="114" t="s">
        <v>1411</v>
      </c>
      <c r="B96" s="114" t="s">
        <v>1023</v>
      </c>
      <c r="C96" s="114">
        <v>1</v>
      </c>
      <c r="D96" s="114">
        <f>VLOOKUP($B96,Parts!$A:$G,IF(D$1="t",4,3),FALSE)*$C96</f>
        <v>0</v>
      </c>
      <c r="E96" s="114">
        <f>VLOOKUP($B96,Parts!$A:$G,IF(E$1="t",4,3),FALSE)*$C96</f>
        <v>11.46</v>
      </c>
      <c r="F96" s="114">
        <f>IFERROR(IF(A96=B96,0,VLOOKUP(A96,'Fan Summary'!A:E,2,FALSE))*C96,0)</f>
        <v>0</v>
      </c>
    </row>
    <row r="97" spans="1:6" x14ac:dyDescent="0.4">
      <c r="A97" s="114" t="s">
        <v>1411</v>
      </c>
      <c r="B97" s="114" t="s">
        <v>1292</v>
      </c>
      <c r="C97" s="114">
        <v>1</v>
      </c>
      <c r="D97" s="114">
        <f>VLOOKUP($B97,Parts!$A:$G,IF(D$1="t",4,3),FALSE)*$C97</f>
        <v>1</v>
      </c>
      <c r="E97" s="114">
        <f>VLOOKUP($B97,Parts!$A:$G,IF(E$1="t",4,3),FALSE)*$C97</f>
        <v>36</v>
      </c>
      <c r="F97" s="114">
        <f>IFERROR(IF(A97=B97,0,VLOOKUP(A97,'Fan Summary'!A:E,2,FALSE))*C97,0)</f>
        <v>0</v>
      </c>
    </row>
    <row r="98" spans="1:6" x14ac:dyDescent="0.4">
      <c r="A98" s="114" t="s">
        <v>1411</v>
      </c>
      <c r="B98" s="114" t="s">
        <v>326</v>
      </c>
      <c r="C98" s="114">
        <v>1</v>
      </c>
      <c r="D98" s="114">
        <f>VLOOKUP($B98,Parts!$A:$G,IF(D$1="t",4,3),FALSE)*$C98</f>
        <v>0</v>
      </c>
      <c r="E98" s="114">
        <f>VLOOKUP($B98,Parts!$A:$G,IF(E$1="t",4,3),FALSE)*$C98</f>
        <v>24.2</v>
      </c>
      <c r="F98" s="114">
        <f>IFERROR(IF(A98=B98,0,VLOOKUP(A98,'Fan Summary'!A:E,2,FALSE))*C98,0)</f>
        <v>0</v>
      </c>
    </row>
    <row r="99" spans="1:6" x14ac:dyDescent="0.4">
      <c r="A99" s="114" t="s">
        <v>1411</v>
      </c>
      <c r="B99" s="114" t="s">
        <v>322</v>
      </c>
      <c r="C99" s="114">
        <v>1</v>
      </c>
      <c r="D99" s="114">
        <f>VLOOKUP($B99,Parts!$A:$G,IF(D$1="t",4,3),FALSE)*$C99</f>
        <v>0</v>
      </c>
      <c r="E99" s="114">
        <f>VLOOKUP($B99,Parts!$A:$G,IF(E$1="t",4,3),FALSE)*$C99</f>
        <v>0</v>
      </c>
      <c r="F99" s="114">
        <f>IFERROR(IF(A99=B99,0,VLOOKUP(A99,'Fan Summary'!A:E,2,FALSE))*C99,0)</f>
        <v>0</v>
      </c>
    </row>
    <row r="100" spans="1:6" x14ac:dyDescent="0.4">
      <c r="A100" s="114" t="s">
        <v>1411</v>
      </c>
      <c r="B100" s="114" t="s">
        <v>1253</v>
      </c>
      <c r="C100" s="114">
        <v>1</v>
      </c>
      <c r="D100" s="114">
        <f>VLOOKUP($B100,Parts!$A:$G,IF(D$1="t",4,3),FALSE)*$C100</f>
        <v>0</v>
      </c>
      <c r="E100" s="114">
        <f>VLOOKUP($B100,Parts!$A:$G,IF(E$1="t",4,3),FALSE)*$C100</f>
        <v>60</v>
      </c>
      <c r="F100" s="114">
        <f>IFERROR(IF(A100=B100,0,VLOOKUP(A100,'Fan Summary'!A:E,2,FALSE))*C100,0)</f>
        <v>0</v>
      </c>
    </row>
    <row r="101" spans="1:6" x14ac:dyDescent="0.4">
      <c r="A101" s="114" t="s">
        <v>1411</v>
      </c>
      <c r="B101" s="114" t="s">
        <v>267</v>
      </c>
      <c r="D101" s="114">
        <f>VLOOKUP($B101,Parts!$A:$G,IF(D$1="t",4,3),FALSE)*$C101</f>
        <v>0</v>
      </c>
      <c r="E101" s="114">
        <f>VLOOKUP($B101,Parts!$A:$G,IF(E$1="t",4,3),FALSE)*$C101</f>
        <v>0</v>
      </c>
      <c r="F101" s="114">
        <f>IFERROR(IF(A101=B101,0,VLOOKUP(A101,'Fan Summary'!A:E,2,FALSE))*C101,0)</f>
        <v>0</v>
      </c>
    </row>
    <row r="102" spans="1:6" x14ac:dyDescent="0.4">
      <c r="A102" s="114" t="s">
        <v>1411</v>
      </c>
      <c r="B102" s="114" t="s">
        <v>269</v>
      </c>
      <c r="D102" s="114">
        <f>VLOOKUP($B102,Parts!$A:$G,IF(D$1="t",4,3),FALSE)*$C102</f>
        <v>0</v>
      </c>
      <c r="E102" s="114">
        <f>VLOOKUP($B102,Parts!$A:$G,IF(E$1="t",4,3),FALSE)*$C102</f>
        <v>0</v>
      </c>
      <c r="F102" s="114">
        <f>IFERROR(IF(A102=B102,0,VLOOKUP(A102,'Fan Summary'!A:E,2,FALSE))*C102,0)</f>
        <v>0</v>
      </c>
    </row>
  </sheetData>
  <autoFilter ref="A1:F102" xr:uid="{C0D197AC-523F-42DA-8228-76A85589300D}">
    <filterColumn colId="0">
      <filters>
        <filter val="KEF [Facet]"/>
      </filters>
    </filterColumn>
  </autoFilter>
  <conditionalFormatting sqref="B1:E1048576 F1">
    <cfRule type="cellIs" dxfId="131" priority="41" operator="equal">
      <formula>""</formula>
    </cfRule>
  </conditionalFormatting>
  <conditionalFormatting sqref="A72:A83">
    <cfRule type="cellIs" dxfId="130" priority="3" operator="equal">
      <formula>""</formula>
    </cfRule>
  </conditionalFormatting>
  <conditionalFormatting sqref="A84:A87">
    <cfRule type="cellIs" dxfId="129" priority="2" operator="equal">
      <formula>""</formula>
    </cfRule>
  </conditionalFormatting>
  <conditionalFormatting sqref="A88:A102">
    <cfRule type="cellIs" dxfId="128" priority="1" operator="equal">
      <formula>""</formula>
    </cfRule>
  </conditionalFormatting>
  <conditionalFormatting sqref="A42:A44">
    <cfRule type="cellIs" dxfId="127" priority="13" operator="equal">
      <formula>""</formula>
    </cfRule>
  </conditionalFormatting>
  <conditionalFormatting sqref="A49:A51">
    <cfRule type="cellIs" dxfId="126" priority="11" operator="equal">
      <formula>""</formula>
    </cfRule>
  </conditionalFormatting>
  <conditionalFormatting sqref="A45:A48">
    <cfRule type="cellIs" dxfId="125" priority="12" operator="equal">
      <formula>""</formula>
    </cfRule>
  </conditionalFormatting>
  <conditionalFormatting sqref="A63:A64">
    <cfRule type="cellIs" dxfId="124" priority="7" operator="equal">
      <formula>""</formula>
    </cfRule>
  </conditionalFormatting>
  <conditionalFormatting sqref="A8:A13">
    <cfRule type="cellIs" dxfId="123" priority="25" operator="equal">
      <formula>""</formula>
    </cfRule>
  </conditionalFormatting>
  <conditionalFormatting sqref="A2:A7">
    <cfRule type="cellIs" dxfId="122" priority="24" operator="equal">
      <formula>""</formula>
    </cfRule>
  </conditionalFormatting>
  <conditionalFormatting sqref="A14:A15">
    <cfRule type="cellIs" dxfId="121" priority="23" operator="equal">
      <formula>""</formula>
    </cfRule>
  </conditionalFormatting>
  <conditionalFormatting sqref="A16:A17">
    <cfRule type="cellIs" dxfId="120" priority="22" operator="equal">
      <formula>""</formula>
    </cfRule>
  </conditionalFormatting>
  <conditionalFormatting sqref="A18:A19">
    <cfRule type="cellIs" dxfId="119" priority="21" operator="equal">
      <formula>""</formula>
    </cfRule>
  </conditionalFormatting>
  <conditionalFormatting sqref="A20:A21">
    <cfRule type="cellIs" dxfId="118" priority="20" operator="equal">
      <formula>""</formula>
    </cfRule>
  </conditionalFormatting>
  <conditionalFormatting sqref="A22:A23">
    <cfRule type="cellIs" dxfId="117" priority="19" operator="equal">
      <formula>""</formula>
    </cfRule>
  </conditionalFormatting>
  <conditionalFormatting sqref="A24:A25">
    <cfRule type="cellIs" dxfId="116" priority="18" operator="equal">
      <formula>""</formula>
    </cfRule>
  </conditionalFormatting>
  <conditionalFormatting sqref="A26:A27">
    <cfRule type="cellIs" dxfId="115" priority="17" operator="equal">
      <formula>""</formula>
    </cfRule>
  </conditionalFormatting>
  <conditionalFormatting sqref="A28:A36">
    <cfRule type="cellIs" dxfId="114" priority="16" operator="equal">
      <formula>""</formula>
    </cfRule>
  </conditionalFormatting>
  <conditionalFormatting sqref="A37:A38">
    <cfRule type="cellIs" dxfId="113" priority="15" operator="equal">
      <formula>""</formula>
    </cfRule>
  </conditionalFormatting>
  <conditionalFormatting sqref="A39:A41">
    <cfRule type="cellIs" dxfId="112" priority="14" operator="equal">
      <formula>""</formula>
    </cfRule>
  </conditionalFormatting>
  <conditionalFormatting sqref="A52:A54">
    <cfRule type="cellIs" dxfId="111" priority="10" operator="equal">
      <formula>""</formula>
    </cfRule>
  </conditionalFormatting>
  <conditionalFormatting sqref="A55:A58">
    <cfRule type="cellIs" dxfId="110" priority="9" operator="equal">
      <formula>""</formula>
    </cfRule>
  </conditionalFormatting>
  <conditionalFormatting sqref="A59:A62">
    <cfRule type="cellIs" dxfId="109" priority="8" operator="equal">
      <formula>""</formula>
    </cfRule>
  </conditionalFormatting>
  <conditionalFormatting sqref="A65:A66">
    <cfRule type="cellIs" dxfId="108" priority="6" operator="equal">
      <formula>""</formula>
    </cfRule>
  </conditionalFormatting>
  <conditionalFormatting sqref="A67:A68">
    <cfRule type="cellIs" dxfId="107" priority="5" operator="equal">
      <formula>""</formula>
    </cfRule>
  </conditionalFormatting>
  <conditionalFormatting sqref="A69:A71">
    <cfRule type="cellIs" dxfId="106" priority="4"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C89624-4A27-4F02-B69B-1609FBC1230D}">
          <x14:formula1>
            <xm:f>'[AAA-MechElec - 1.0_SS.xlsx]Part List'!#REF!</xm:f>
          </x14:formula1>
          <xm:sqref>B36 B38 B40 B43:B44 B46:B48 B50:B51 B53:B54 B56:B58 B60:B62 B64 B66 B68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4901-2235-4413-81FB-F7C5AF18D44D}">
  <dimension ref="A1:R24"/>
  <sheetViews>
    <sheetView workbookViewId="0">
      <selection activeCell="B22" sqref="B22"/>
    </sheetView>
  </sheetViews>
  <sheetFormatPr defaultRowHeight="14.6" x14ac:dyDescent="0.4"/>
  <sheetData>
    <row r="1" spans="1:18" x14ac:dyDescent="0.4">
      <c r="A1" s="318" t="s">
        <v>676</v>
      </c>
      <c r="B1" s="114" t="s">
        <v>982</v>
      </c>
      <c r="C1" s="114" t="s">
        <v>983</v>
      </c>
      <c r="D1" s="114" t="s">
        <v>984</v>
      </c>
      <c r="E1" s="114" t="s">
        <v>669</v>
      </c>
      <c r="F1" s="114" t="s">
        <v>985</v>
      </c>
      <c r="G1" s="114" t="s">
        <v>1410</v>
      </c>
      <c r="H1" s="114" t="s">
        <v>987</v>
      </c>
      <c r="I1" s="114" t="s">
        <v>988</v>
      </c>
      <c r="J1" s="114" t="s">
        <v>989</v>
      </c>
      <c r="K1" s="114" t="s">
        <v>1240</v>
      </c>
      <c r="L1" s="114" t="s">
        <v>1287</v>
      </c>
      <c r="M1" s="114" t="s">
        <v>1003</v>
      </c>
      <c r="O1" t="s">
        <v>1018</v>
      </c>
      <c r="P1" s="114"/>
      <c r="Q1" s="114"/>
      <c r="R1" s="114"/>
    </row>
    <row r="2" spans="1:18" x14ac:dyDescent="0.4">
      <c r="A2" s="318" t="s">
        <v>1401</v>
      </c>
      <c r="B2" s="114" t="s">
        <v>885</v>
      </c>
      <c r="C2" s="114" t="s">
        <v>885</v>
      </c>
      <c r="D2" s="114" t="s">
        <v>984</v>
      </c>
      <c r="E2" s="114" t="s">
        <v>885</v>
      </c>
      <c r="F2" s="114" t="s">
        <v>885</v>
      </c>
      <c r="G2" s="114" t="s">
        <v>885</v>
      </c>
      <c r="H2" s="114" t="s">
        <v>885</v>
      </c>
      <c r="I2" s="114" t="s">
        <v>885</v>
      </c>
      <c r="J2" s="114" t="s">
        <v>885</v>
      </c>
      <c r="K2" s="114" t="s">
        <v>885</v>
      </c>
      <c r="L2" s="114" t="s">
        <v>886</v>
      </c>
      <c r="M2" s="114" t="s">
        <v>885</v>
      </c>
      <c r="O2" s="117" t="s">
        <v>1403</v>
      </c>
    </row>
    <row r="3" spans="1:18" x14ac:dyDescent="0.4">
      <c r="A3" s="318" t="s">
        <v>678</v>
      </c>
      <c r="B3" s="114" t="s">
        <v>886</v>
      </c>
      <c r="C3" s="114" t="s">
        <v>886</v>
      </c>
      <c r="D3" s="114" t="s">
        <v>992</v>
      </c>
      <c r="E3" s="114" t="s">
        <v>886</v>
      </c>
      <c r="F3" s="114" t="s">
        <v>886</v>
      </c>
      <c r="G3" s="114" t="s">
        <v>886</v>
      </c>
      <c r="H3" s="114" t="s">
        <v>886</v>
      </c>
      <c r="I3" s="114" t="s">
        <v>886</v>
      </c>
      <c r="J3" s="114" t="s">
        <v>886</v>
      </c>
      <c r="K3" s="114" t="s">
        <v>886</v>
      </c>
      <c r="L3" s="114" t="s">
        <v>1413</v>
      </c>
      <c r="M3" s="114" t="s">
        <v>886</v>
      </c>
      <c r="O3" s="117" t="s">
        <v>1404</v>
      </c>
    </row>
    <row r="4" spans="1:18" x14ac:dyDescent="0.4">
      <c r="A4" s="318" t="s">
        <v>1402</v>
      </c>
      <c r="B4" s="114"/>
      <c r="C4" s="114"/>
      <c r="D4" s="114" t="s">
        <v>991</v>
      </c>
      <c r="E4" s="114"/>
      <c r="F4" s="114"/>
      <c r="G4" s="114"/>
      <c r="H4" s="114"/>
      <c r="I4" s="114"/>
      <c r="J4" s="114"/>
      <c r="K4" s="114"/>
      <c r="L4" s="114" t="s">
        <v>1411</v>
      </c>
      <c r="M4" s="114"/>
      <c r="O4" s="117" t="s">
        <v>1405</v>
      </c>
    </row>
    <row r="5" spans="1:18" x14ac:dyDescent="0.4">
      <c r="A5" s="318"/>
      <c r="B5" s="114"/>
      <c r="C5" s="114"/>
      <c r="D5" s="114" t="s">
        <v>993</v>
      </c>
      <c r="E5" s="114"/>
      <c r="F5" s="114"/>
      <c r="G5" s="114"/>
      <c r="H5" s="114"/>
      <c r="I5" s="114"/>
      <c r="J5" s="114"/>
      <c r="K5" s="114"/>
      <c r="L5" s="114"/>
      <c r="M5" s="114"/>
      <c r="O5" s="117" t="s">
        <v>1406</v>
      </c>
    </row>
    <row r="6" spans="1:18" x14ac:dyDescent="0.4">
      <c r="A6" s="318"/>
      <c r="B6" s="114"/>
      <c r="C6" s="114"/>
      <c r="D6" s="114" t="s">
        <v>886</v>
      </c>
      <c r="E6" s="114"/>
      <c r="F6" s="114"/>
      <c r="G6" s="114"/>
      <c r="H6" s="114"/>
      <c r="I6" s="114"/>
      <c r="J6" s="114"/>
      <c r="K6" s="114"/>
      <c r="L6" s="114"/>
      <c r="M6" s="114"/>
      <c r="O6" s="117" t="s">
        <v>1407</v>
      </c>
    </row>
    <row r="7" spans="1:18" x14ac:dyDescent="0.4">
      <c r="O7" s="117" t="s">
        <v>1408</v>
      </c>
    </row>
    <row r="8" spans="1:18" x14ac:dyDescent="0.4">
      <c r="O8" s="117" t="s">
        <v>1409</v>
      </c>
    </row>
    <row r="23" spans="1:4" x14ac:dyDescent="0.4">
      <c r="A23" s="114"/>
      <c r="B23" s="114"/>
      <c r="C23" s="114"/>
      <c r="D23" s="114"/>
    </row>
    <row r="24" spans="1:4" x14ac:dyDescent="0.4">
      <c r="A24" s="1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C0BF-27C6-4008-AE83-3DA45F276170}">
  <dimension ref="A1:B6"/>
  <sheetViews>
    <sheetView workbookViewId="0">
      <selection activeCell="H8" sqref="H8"/>
    </sheetView>
  </sheetViews>
  <sheetFormatPr defaultRowHeight="14.6" x14ac:dyDescent="0.4"/>
  <cols>
    <col min="1" max="1" width="27.765625" customWidth="1"/>
  </cols>
  <sheetData>
    <row r="1" spans="1:2" x14ac:dyDescent="0.4">
      <c r="A1" t="s">
        <v>1398</v>
      </c>
      <c r="B1" s="423">
        <v>80</v>
      </c>
    </row>
    <row r="3" spans="1:2" x14ac:dyDescent="0.4">
      <c r="A3" t="s">
        <v>885</v>
      </c>
    </row>
    <row r="4" spans="1:2" x14ac:dyDescent="0.4">
      <c r="A4" t="s">
        <v>886</v>
      </c>
    </row>
    <row r="6" spans="1:2" x14ac:dyDescent="0.4">
      <c r="A6" t="s">
        <v>1429</v>
      </c>
      <c r="B6">
        <v>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5B57-9EE3-4FD4-98CA-7FF7C48A31A5}">
  <dimension ref="A1:G139"/>
  <sheetViews>
    <sheetView workbookViewId="0">
      <pane ySplit="1" topLeftCell="A2" activePane="bottomLeft" state="frozen"/>
      <selection pane="bottomLeft" activeCell="F22" sqref="F22"/>
    </sheetView>
  </sheetViews>
  <sheetFormatPr defaultColWidth="9.23046875" defaultRowHeight="14.6" x14ac:dyDescent="0.4"/>
  <cols>
    <col min="1" max="2" width="19.4609375" style="114" customWidth="1"/>
    <col min="3" max="3" width="16.69140625" style="423" customWidth="1"/>
    <col min="4" max="4" width="11.53515625" style="114" customWidth="1"/>
    <col min="5" max="5" width="14.69140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903</v>
      </c>
      <c r="E1" s="33" t="s">
        <v>749</v>
      </c>
      <c r="F1" s="33" t="s">
        <v>929</v>
      </c>
      <c r="G1" s="33" t="s">
        <v>742</v>
      </c>
    </row>
    <row r="2" spans="1:7" x14ac:dyDescent="0.4">
      <c r="A2" s="114" t="s">
        <v>998</v>
      </c>
      <c r="B2" s="114" t="s">
        <v>744</v>
      </c>
      <c r="C2" s="423">
        <v>19.8</v>
      </c>
      <c r="D2" s="114">
        <v>0</v>
      </c>
      <c r="E2" s="114" t="s">
        <v>833</v>
      </c>
      <c r="G2" s="114" t="s">
        <v>747</v>
      </c>
    </row>
    <row r="3" spans="1:7" x14ac:dyDescent="0.4">
      <c r="A3" s="114" t="s">
        <v>1039</v>
      </c>
      <c r="B3" s="114" t="s">
        <v>743</v>
      </c>
      <c r="C3" s="423">
        <v>46.46</v>
      </c>
      <c r="D3" s="114">
        <v>0</v>
      </c>
      <c r="E3" s="114" t="s">
        <v>833</v>
      </c>
      <c r="G3" s="114" t="s">
        <v>747</v>
      </c>
    </row>
    <row r="4" spans="1:7" x14ac:dyDescent="0.4">
      <c r="A4" s="114" t="s">
        <v>268</v>
      </c>
      <c r="C4" s="423">
        <v>0.85</v>
      </c>
      <c r="D4" s="332">
        <v>0.1</v>
      </c>
      <c r="E4" s="114" t="s">
        <v>773</v>
      </c>
    </row>
    <row r="5" spans="1:7" x14ac:dyDescent="0.4">
      <c r="A5" s="114" t="s">
        <v>304</v>
      </c>
      <c r="B5" s="114" t="s">
        <v>765</v>
      </c>
      <c r="C5" s="423">
        <v>57.95</v>
      </c>
      <c r="D5" s="114">
        <v>1</v>
      </c>
      <c r="E5" s="114" t="s">
        <v>833</v>
      </c>
      <c r="G5" s="114" t="s">
        <v>760</v>
      </c>
    </row>
    <row r="6" spans="1:7" x14ac:dyDescent="0.4">
      <c r="A6" s="114" t="s">
        <v>253</v>
      </c>
      <c r="B6" s="114" t="s">
        <v>756</v>
      </c>
      <c r="C6" s="423">
        <v>8.4499999999999993</v>
      </c>
      <c r="D6" s="114">
        <v>0</v>
      </c>
      <c r="E6" s="114" t="s">
        <v>833</v>
      </c>
      <c r="G6" s="114" t="s">
        <v>762</v>
      </c>
    </row>
    <row r="7" spans="1:7" x14ac:dyDescent="0.4">
      <c r="A7" s="114" t="s">
        <v>1040</v>
      </c>
      <c r="B7" s="114" t="s">
        <v>758</v>
      </c>
      <c r="C7" s="423">
        <v>43.44</v>
      </c>
      <c r="D7" s="114">
        <v>0</v>
      </c>
      <c r="E7" s="114" t="s">
        <v>833</v>
      </c>
      <c r="G7" s="114" t="s">
        <v>762</v>
      </c>
    </row>
    <row r="8" spans="1:7" x14ac:dyDescent="0.4">
      <c r="A8" s="114" t="s">
        <v>1000</v>
      </c>
      <c r="C8" s="423">
        <v>0</v>
      </c>
      <c r="D8" s="114">
        <v>1</v>
      </c>
    </row>
    <row r="9" spans="1:7" ht="43.75" x14ac:dyDescent="0.4">
      <c r="A9" s="114" t="s">
        <v>1344</v>
      </c>
      <c r="B9" s="282" t="s">
        <v>778</v>
      </c>
      <c r="C9" s="423">
        <f>37.8 +
53.25</f>
        <v>91.05</v>
      </c>
    </row>
    <row r="10" spans="1:7" x14ac:dyDescent="0.4">
      <c r="A10" s="117" t="s">
        <v>326</v>
      </c>
      <c r="B10" s="114" t="s">
        <v>768</v>
      </c>
      <c r="C10" s="423">
        <v>24.2</v>
      </c>
      <c r="E10" s="114" t="s">
        <v>833</v>
      </c>
      <c r="G10" s="114" t="s">
        <v>767</v>
      </c>
    </row>
    <row r="11" spans="1:7" x14ac:dyDescent="0.4">
      <c r="A11" s="440" t="s">
        <v>588</v>
      </c>
      <c r="C11" s="423">
        <v>80</v>
      </c>
      <c r="D11" s="114">
        <v>2</v>
      </c>
    </row>
    <row r="12" spans="1:7" x14ac:dyDescent="0.4">
      <c r="A12" s="114" t="s">
        <v>669</v>
      </c>
      <c r="C12" s="423">
        <v>60</v>
      </c>
    </row>
    <row r="13" spans="1:7" x14ac:dyDescent="0.4">
      <c r="A13" s="114" t="s">
        <v>1003</v>
      </c>
      <c r="B13" s="114" t="s">
        <v>754</v>
      </c>
      <c r="C13" s="423">
        <v>16</v>
      </c>
      <c r="E13" s="114" t="s">
        <v>833</v>
      </c>
      <c r="G13" s="114" t="s">
        <v>753</v>
      </c>
    </row>
    <row r="14" spans="1:7" x14ac:dyDescent="0.4">
      <c r="A14" s="114" t="s">
        <v>418</v>
      </c>
      <c r="C14" s="423">
        <v>0.28000000000000003</v>
      </c>
      <c r="D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E19" s="114" t="s">
        <v>833</v>
      </c>
    </row>
    <row r="20" spans="1:7" x14ac:dyDescent="0.4">
      <c r="A20" s="441" t="s">
        <v>986</v>
      </c>
      <c r="C20" s="423">
        <v>60</v>
      </c>
      <c r="D20" s="114">
        <v>1</v>
      </c>
    </row>
    <row r="21" spans="1:7" x14ac:dyDescent="0.4">
      <c r="A21" s="441" t="s">
        <v>269</v>
      </c>
      <c r="C21" s="423">
        <v>1.056</v>
      </c>
      <c r="D21" s="114">
        <v>0.1</v>
      </c>
      <c r="F21" s="282"/>
    </row>
    <row r="22" spans="1:7" x14ac:dyDescent="0.4">
      <c r="A22" s="114" t="s">
        <v>301</v>
      </c>
      <c r="D22" s="114">
        <v>0.25</v>
      </c>
      <c r="F22" s="282"/>
    </row>
    <row r="23" spans="1:7" x14ac:dyDescent="0.4">
      <c r="A23" s="114" t="s">
        <v>239</v>
      </c>
      <c r="D23" s="114">
        <v>1</v>
      </c>
      <c r="F23" s="282"/>
    </row>
    <row r="24" spans="1:7" x14ac:dyDescent="0.4">
      <c r="A24" s="114" t="s">
        <v>1035</v>
      </c>
      <c r="D24" s="114">
        <v>0.5</v>
      </c>
      <c r="F24" s="282"/>
    </row>
    <row r="25" spans="1:7" x14ac:dyDescent="0.4">
      <c r="A25" s="441" t="s">
        <v>1018</v>
      </c>
      <c r="D25" s="114">
        <v>1</v>
      </c>
      <c r="F25" s="282"/>
    </row>
    <row r="26" spans="1:7" x14ac:dyDescent="0.4">
      <c r="A26" s="441" t="s">
        <v>1038</v>
      </c>
      <c r="D26" s="114">
        <v>1</v>
      </c>
      <c r="F26" s="282"/>
    </row>
    <row r="27" spans="1:7" x14ac:dyDescent="0.4">
      <c r="A27" s="114" t="s">
        <v>1236</v>
      </c>
      <c r="C27" s="423">
        <v>360</v>
      </c>
      <c r="F27" s="282"/>
    </row>
    <row r="28" spans="1:7" x14ac:dyDescent="0.4">
      <c r="A28" s="441" t="s">
        <v>1250</v>
      </c>
      <c r="B28" s="297" t="s">
        <v>786</v>
      </c>
      <c r="C28" s="423">
        <v>971.52</v>
      </c>
      <c r="D28" s="114">
        <v>2</v>
      </c>
      <c r="F28" s="282"/>
    </row>
    <row r="29" spans="1:7" x14ac:dyDescent="0.4">
      <c r="A29" s="114" t="s">
        <v>1061</v>
      </c>
      <c r="B29" s="114" t="s">
        <v>960</v>
      </c>
      <c r="C29" s="423">
        <v>243.55</v>
      </c>
      <c r="D29" s="114">
        <v>4</v>
      </c>
      <c r="E29" s="114" t="s">
        <v>833</v>
      </c>
      <c r="G29" s="282"/>
    </row>
    <row r="30" spans="1:7" x14ac:dyDescent="0.4">
      <c r="A30" s="114" t="s">
        <v>1062</v>
      </c>
      <c r="B30" s="114" t="s">
        <v>745</v>
      </c>
      <c r="C30" s="423">
        <v>294.60000000000002</v>
      </c>
      <c r="D30" s="114">
        <v>4</v>
      </c>
      <c r="E30" s="114" t="s">
        <v>833</v>
      </c>
    </row>
    <row r="31" spans="1:7" x14ac:dyDescent="0.4">
      <c r="A31" s="114" t="s">
        <v>1063</v>
      </c>
      <c r="B31" s="114" t="s">
        <v>963</v>
      </c>
      <c r="C31" s="423">
        <v>488.25</v>
      </c>
      <c r="D31" s="114">
        <v>4</v>
      </c>
      <c r="E31" s="114" t="s">
        <v>833</v>
      </c>
      <c r="F31" s="282"/>
    </row>
    <row r="32" spans="1:7" x14ac:dyDescent="0.4">
      <c r="A32" s="114" t="s">
        <v>1064</v>
      </c>
      <c r="B32" s="114" t="s">
        <v>969</v>
      </c>
      <c r="C32" s="423">
        <v>700.9</v>
      </c>
      <c r="D32" s="114">
        <v>4</v>
      </c>
      <c r="E32" s="114" t="s">
        <v>833</v>
      </c>
    </row>
    <row r="33" spans="1:5" x14ac:dyDescent="0.4">
      <c r="A33" s="114" t="s">
        <v>1065</v>
      </c>
      <c r="B33" s="114" t="s">
        <v>970</v>
      </c>
      <c r="C33" s="423">
        <v>243.55</v>
      </c>
      <c r="D33" s="114">
        <v>4</v>
      </c>
      <c r="E33" s="114" t="s">
        <v>833</v>
      </c>
    </row>
    <row r="34" spans="1:5" x14ac:dyDescent="0.4">
      <c r="A34" s="114" t="s">
        <v>1066</v>
      </c>
      <c r="B34" s="114" t="s">
        <v>971</v>
      </c>
      <c r="C34" s="423">
        <v>356.4</v>
      </c>
      <c r="D34" s="114">
        <v>4</v>
      </c>
      <c r="E34" s="114" t="s">
        <v>833</v>
      </c>
    </row>
    <row r="35" spans="1:5" x14ac:dyDescent="0.4">
      <c r="A35" s="114" t="s">
        <v>1067</v>
      </c>
      <c r="B35" s="114" t="s">
        <v>972</v>
      </c>
      <c r="C35" s="423">
        <v>541.75</v>
      </c>
      <c r="D35" s="114">
        <v>4</v>
      </c>
      <c r="E35" s="114" t="s">
        <v>833</v>
      </c>
    </row>
    <row r="36" spans="1:5" x14ac:dyDescent="0.4">
      <c r="A36" s="114" t="s">
        <v>1068</v>
      </c>
      <c r="B36" s="114" t="s">
        <v>973</v>
      </c>
      <c r="C36" s="423">
        <v>651</v>
      </c>
      <c r="D36" s="114">
        <v>4</v>
      </c>
      <c r="E36" s="114" t="s">
        <v>833</v>
      </c>
    </row>
    <row r="37" spans="1:5" x14ac:dyDescent="0.4">
      <c r="A37" s="114" t="s">
        <v>1069</v>
      </c>
      <c r="B37" s="114" t="s">
        <v>969</v>
      </c>
      <c r="C37" s="423">
        <v>700.9</v>
      </c>
      <c r="D37" s="114">
        <v>4</v>
      </c>
      <c r="E37" s="114" t="s">
        <v>833</v>
      </c>
    </row>
    <row r="38" spans="1:5" x14ac:dyDescent="0.4">
      <c r="A38" s="114" t="s">
        <v>1070</v>
      </c>
      <c r="B38" s="114" t="s">
        <v>1071</v>
      </c>
      <c r="C38" s="423">
        <v>999999</v>
      </c>
      <c r="D38" s="114">
        <v>999999</v>
      </c>
      <c r="E38" s="114" t="s">
        <v>1072</v>
      </c>
    </row>
    <row r="39" spans="1:5" x14ac:dyDescent="0.4">
      <c r="A39" s="114" t="s">
        <v>1073</v>
      </c>
      <c r="B39" s="114" t="s">
        <v>1074</v>
      </c>
      <c r="C39" s="423">
        <v>999999</v>
      </c>
      <c r="D39" s="114">
        <v>999999</v>
      </c>
      <c r="E39" s="114" t="s">
        <v>1072</v>
      </c>
    </row>
    <row r="40" spans="1:5" x14ac:dyDescent="0.4">
      <c r="A40" s="114" t="s">
        <v>1075</v>
      </c>
      <c r="B40" s="114" t="s">
        <v>1076</v>
      </c>
      <c r="C40" s="423">
        <v>999999</v>
      </c>
      <c r="D40" s="114">
        <v>999999</v>
      </c>
      <c r="E40" s="114" t="s">
        <v>1072</v>
      </c>
    </row>
    <row r="41" spans="1:5" x14ac:dyDescent="0.4">
      <c r="A41" s="114" t="s">
        <v>1077</v>
      </c>
      <c r="B41" s="114" t="s">
        <v>1078</v>
      </c>
      <c r="C41" s="423">
        <v>999999</v>
      </c>
      <c r="D41" s="114">
        <v>999999</v>
      </c>
      <c r="E41" s="114" t="s">
        <v>1072</v>
      </c>
    </row>
    <row r="42" spans="1:5" x14ac:dyDescent="0.4">
      <c r="A42" s="114" t="s">
        <v>1079</v>
      </c>
      <c r="B42" s="114" t="s">
        <v>1080</v>
      </c>
      <c r="C42" s="423">
        <v>999999</v>
      </c>
      <c r="D42" s="114">
        <v>999999</v>
      </c>
      <c r="E42" s="114" t="s">
        <v>1072</v>
      </c>
    </row>
    <row r="43" spans="1:5" x14ac:dyDescent="0.4">
      <c r="A43" s="114" t="s">
        <v>1081</v>
      </c>
      <c r="B43" s="114" t="s">
        <v>1082</v>
      </c>
      <c r="C43" s="423">
        <v>999999</v>
      </c>
      <c r="D43" s="114">
        <v>999999</v>
      </c>
      <c r="E43" s="114" t="s">
        <v>1072</v>
      </c>
    </row>
    <row r="44" spans="1:5" x14ac:dyDescent="0.4">
      <c r="A44" s="114" t="s">
        <v>1083</v>
      </c>
      <c r="B44" s="114" t="s">
        <v>1084</v>
      </c>
      <c r="C44" s="423">
        <v>999999</v>
      </c>
      <c r="D44" s="114">
        <v>999999</v>
      </c>
      <c r="E44" s="114" t="s">
        <v>1072</v>
      </c>
    </row>
    <row r="45" spans="1:5" x14ac:dyDescent="0.4">
      <c r="A45" s="114" t="s">
        <v>1085</v>
      </c>
      <c r="B45" s="114" t="s">
        <v>1086</v>
      </c>
      <c r="C45" s="423">
        <v>999999</v>
      </c>
      <c r="D45" s="114">
        <v>999999</v>
      </c>
      <c r="E45" s="114" t="s">
        <v>1072</v>
      </c>
    </row>
    <row r="46" spans="1:5" x14ac:dyDescent="0.4">
      <c r="A46" s="114" t="s">
        <v>1087</v>
      </c>
      <c r="B46" s="114" t="s">
        <v>1088</v>
      </c>
      <c r="C46" s="423">
        <v>999999</v>
      </c>
      <c r="D46" s="114">
        <v>999999</v>
      </c>
      <c r="E46" s="114" t="s">
        <v>1072</v>
      </c>
    </row>
    <row r="47" spans="1:5" x14ac:dyDescent="0.4">
      <c r="A47" s="114" t="s">
        <v>1089</v>
      </c>
      <c r="B47" s="114" t="s">
        <v>1090</v>
      </c>
      <c r="C47" s="423">
        <v>999999</v>
      </c>
      <c r="D47" s="114">
        <v>999999</v>
      </c>
      <c r="E47" s="114" t="s">
        <v>1072</v>
      </c>
    </row>
    <row r="48" spans="1:5" x14ac:dyDescent="0.4">
      <c r="A48" s="114" t="s">
        <v>1091</v>
      </c>
      <c r="B48" s="114" t="s">
        <v>1092</v>
      </c>
      <c r="C48" s="423">
        <v>999999</v>
      </c>
      <c r="D48" s="114">
        <v>999999</v>
      </c>
      <c r="E48" s="114" t="s">
        <v>1072</v>
      </c>
    </row>
    <row r="49" spans="1:5" x14ac:dyDescent="0.4">
      <c r="A49" s="114" t="s">
        <v>1093</v>
      </c>
      <c r="B49" s="114" t="s">
        <v>1094</v>
      </c>
      <c r="C49" s="423">
        <v>999999</v>
      </c>
      <c r="D49" s="114">
        <v>999999</v>
      </c>
      <c r="E49" s="114" t="s">
        <v>1072</v>
      </c>
    </row>
    <row r="50" spans="1:5" x14ac:dyDescent="0.4">
      <c r="A50" s="114" t="s">
        <v>1095</v>
      </c>
      <c r="B50" s="114" t="s">
        <v>1096</v>
      </c>
      <c r="C50" s="423">
        <v>999999</v>
      </c>
      <c r="D50" s="114">
        <v>999999</v>
      </c>
      <c r="E50" s="114" t="s">
        <v>1072</v>
      </c>
    </row>
    <row r="51" spans="1:5" x14ac:dyDescent="0.4">
      <c r="A51" s="114" t="s">
        <v>1097</v>
      </c>
      <c r="B51" s="114" t="s">
        <v>1098</v>
      </c>
      <c r="C51" s="423">
        <v>999999</v>
      </c>
      <c r="D51" s="114">
        <v>999999</v>
      </c>
      <c r="E51" s="114" t="s">
        <v>1072</v>
      </c>
    </row>
    <row r="52" spans="1:5" x14ac:dyDescent="0.4">
      <c r="A52" s="114" t="s">
        <v>1099</v>
      </c>
      <c r="B52" s="114" t="s">
        <v>1100</v>
      </c>
      <c r="C52" s="423">
        <v>999999</v>
      </c>
      <c r="D52" s="114">
        <v>999999</v>
      </c>
      <c r="E52" s="114" t="s">
        <v>1072</v>
      </c>
    </row>
    <row r="53" spans="1:5" x14ac:dyDescent="0.4">
      <c r="A53" s="114" t="s">
        <v>1101</v>
      </c>
      <c r="B53" s="114" t="s">
        <v>1102</v>
      </c>
      <c r="C53" s="423">
        <v>999999</v>
      </c>
      <c r="D53" s="114">
        <v>999999</v>
      </c>
      <c r="E53" s="114" t="s">
        <v>1072</v>
      </c>
    </row>
    <row r="54" spans="1:5" x14ac:dyDescent="0.4">
      <c r="A54" s="114" t="s">
        <v>1103</v>
      </c>
      <c r="B54" s="114" t="s">
        <v>1104</v>
      </c>
      <c r="C54" s="423">
        <v>999999</v>
      </c>
      <c r="D54" s="114">
        <v>999999</v>
      </c>
      <c r="E54" s="114" t="s">
        <v>1072</v>
      </c>
    </row>
    <row r="55" spans="1:5" x14ac:dyDescent="0.4">
      <c r="A55" s="114" t="s">
        <v>1105</v>
      </c>
      <c r="B55" s="114" t="s">
        <v>1106</v>
      </c>
      <c r="C55" s="423">
        <v>999999</v>
      </c>
      <c r="D55" s="114">
        <v>999999</v>
      </c>
      <c r="E55" s="114" t="s">
        <v>1072</v>
      </c>
    </row>
    <row r="56" spans="1:5" x14ac:dyDescent="0.4">
      <c r="A56" s="114" t="s">
        <v>1107</v>
      </c>
      <c r="B56" s="114" t="s">
        <v>1108</v>
      </c>
      <c r="C56" s="423">
        <v>999999</v>
      </c>
      <c r="D56" s="114">
        <v>999999</v>
      </c>
      <c r="E56" s="114" t="s">
        <v>1072</v>
      </c>
    </row>
    <row r="57" spans="1:5" x14ac:dyDescent="0.4">
      <c r="A57" s="114" t="s">
        <v>1109</v>
      </c>
      <c r="B57" s="114" t="s">
        <v>1110</v>
      </c>
      <c r="C57" s="423">
        <v>999999</v>
      </c>
      <c r="D57" s="114">
        <v>999999</v>
      </c>
      <c r="E57" s="114" t="s">
        <v>1072</v>
      </c>
    </row>
    <row r="58" spans="1:5" x14ac:dyDescent="0.4">
      <c r="A58" s="114" t="s">
        <v>1111</v>
      </c>
      <c r="B58" s="114" t="s">
        <v>1112</v>
      </c>
      <c r="C58" s="423">
        <v>999999</v>
      </c>
      <c r="D58" s="114">
        <v>999999</v>
      </c>
      <c r="E58" s="114" t="s">
        <v>1072</v>
      </c>
    </row>
    <row r="59" spans="1:5" x14ac:dyDescent="0.4">
      <c r="A59" s="114" t="s">
        <v>1113</v>
      </c>
      <c r="B59" s="114" t="s">
        <v>1114</v>
      </c>
      <c r="C59" s="423">
        <v>999999</v>
      </c>
      <c r="D59" s="114">
        <v>999999</v>
      </c>
      <c r="E59" s="114" t="s">
        <v>1072</v>
      </c>
    </row>
    <row r="60" spans="1:5" x14ac:dyDescent="0.4">
      <c r="A60" s="114" t="s">
        <v>1115</v>
      </c>
      <c r="B60" s="114" t="s">
        <v>1116</v>
      </c>
      <c r="C60" s="423">
        <v>999999</v>
      </c>
      <c r="D60" s="114">
        <v>999999</v>
      </c>
      <c r="E60" s="114" t="s">
        <v>1072</v>
      </c>
    </row>
    <row r="61" spans="1:5" x14ac:dyDescent="0.4">
      <c r="A61" s="114" t="s">
        <v>1117</v>
      </c>
      <c r="B61" s="114" t="s">
        <v>1118</v>
      </c>
      <c r="C61" s="423">
        <v>999999</v>
      </c>
      <c r="D61" s="114">
        <v>999999</v>
      </c>
      <c r="E61" s="114" t="s">
        <v>1072</v>
      </c>
    </row>
    <row r="62" spans="1:5" x14ac:dyDescent="0.4">
      <c r="A62" s="114" t="s">
        <v>1119</v>
      </c>
      <c r="B62" s="114" t="s">
        <v>1120</v>
      </c>
      <c r="C62" s="423">
        <v>999999</v>
      </c>
      <c r="D62" s="114">
        <v>999999</v>
      </c>
      <c r="E62" s="114" t="s">
        <v>1072</v>
      </c>
    </row>
    <row r="63" spans="1:5" x14ac:dyDescent="0.4">
      <c r="A63" s="114" t="s">
        <v>1121</v>
      </c>
      <c r="B63" s="114" t="s">
        <v>1122</v>
      </c>
      <c r="C63" s="423">
        <v>999999</v>
      </c>
      <c r="D63" s="114">
        <v>999999</v>
      </c>
      <c r="E63" s="114" t="s">
        <v>1072</v>
      </c>
    </row>
    <row r="64" spans="1:5" x14ac:dyDescent="0.4">
      <c r="A64" s="114" t="s">
        <v>1123</v>
      </c>
      <c r="B64" s="114" t="s">
        <v>1124</v>
      </c>
      <c r="C64" s="423">
        <v>999999</v>
      </c>
      <c r="D64" s="114">
        <v>999999</v>
      </c>
      <c r="E64" s="114" t="s">
        <v>1072</v>
      </c>
    </row>
    <row r="65" spans="1:5" x14ac:dyDescent="0.4">
      <c r="A65" s="114" t="s">
        <v>1125</v>
      </c>
      <c r="B65" s="114" t="s">
        <v>1126</v>
      </c>
      <c r="C65" s="423">
        <v>999999</v>
      </c>
      <c r="D65" s="114">
        <v>999999</v>
      </c>
      <c r="E65" s="114" t="s">
        <v>1072</v>
      </c>
    </row>
    <row r="66" spans="1:5" x14ac:dyDescent="0.4">
      <c r="A66" s="114" t="s">
        <v>1127</v>
      </c>
      <c r="B66" s="114" t="s">
        <v>1128</v>
      </c>
      <c r="C66" s="423">
        <v>999999</v>
      </c>
      <c r="D66" s="114">
        <v>999999</v>
      </c>
      <c r="E66" s="114" t="s">
        <v>1072</v>
      </c>
    </row>
    <row r="67" spans="1:5" x14ac:dyDescent="0.4">
      <c r="A67" s="114" t="s">
        <v>1129</v>
      </c>
      <c r="B67" s="114" t="s">
        <v>1130</v>
      </c>
      <c r="C67" s="423">
        <v>999999</v>
      </c>
      <c r="D67" s="114">
        <v>999999</v>
      </c>
      <c r="E67" s="114" t="s">
        <v>1072</v>
      </c>
    </row>
    <row r="68" spans="1:5" x14ac:dyDescent="0.4">
      <c r="A68" s="114" t="s">
        <v>1131</v>
      </c>
      <c r="B68" s="114" t="s">
        <v>1132</v>
      </c>
      <c r="C68" s="423">
        <v>999999</v>
      </c>
      <c r="D68" s="114">
        <v>999999</v>
      </c>
      <c r="E68" s="114" t="s">
        <v>1072</v>
      </c>
    </row>
    <row r="69" spans="1:5" x14ac:dyDescent="0.4">
      <c r="A69" s="114" t="s">
        <v>1133</v>
      </c>
      <c r="B69" s="114" t="s">
        <v>1134</v>
      </c>
      <c r="C69" s="423">
        <v>999999</v>
      </c>
      <c r="D69" s="114">
        <v>999999</v>
      </c>
      <c r="E69" s="114" t="s">
        <v>1072</v>
      </c>
    </row>
    <row r="70" spans="1:5" x14ac:dyDescent="0.4">
      <c r="A70" s="114" t="s">
        <v>1135</v>
      </c>
      <c r="B70" s="114" t="s">
        <v>1136</v>
      </c>
      <c r="C70" s="423">
        <v>999999</v>
      </c>
      <c r="D70" s="114">
        <v>999999</v>
      </c>
      <c r="E70" s="114" t="s">
        <v>1072</v>
      </c>
    </row>
    <row r="71" spans="1:5" x14ac:dyDescent="0.4">
      <c r="A71" s="114" t="s">
        <v>1137</v>
      </c>
      <c r="B71" s="114" t="s">
        <v>1138</v>
      </c>
      <c r="C71" s="423">
        <v>999999</v>
      </c>
      <c r="D71" s="114">
        <v>999999</v>
      </c>
      <c r="E71" s="114" t="s">
        <v>1072</v>
      </c>
    </row>
    <row r="72" spans="1:5" x14ac:dyDescent="0.4">
      <c r="A72" s="114" t="s">
        <v>1139</v>
      </c>
      <c r="B72" s="114" t="s">
        <v>1140</v>
      </c>
      <c r="C72" s="423">
        <v>999999</v>
      </c>
      <c r="D72" s="114">
        <v>999999</v>
      </c>
      <c r="E72" s="114" t="s">
        <v>1072</v>
      </c>
    </row>
    <row r="73" spans="1:5" x14ac:dyDescent="0.4">
      <c r="A73" s="114" t="s">
        <v>1141</v>
      </c>
      <c r="B73" s="114" t="s">
        <v>1142</v>
      </c>
      <c r="C73" s="423">
        <v>999999</v>
      </c>
      <c r="D73" s="114">
        <v>999999</v>
      </c>
      <c r="E73" s="114" t="s">
        <v>1072</v>
      </c>
    </row>
    <row r="74" spans="1:5" x14ac:dyDescent="0.4">
      <c r="A74" s="114" t="s">
        <v>1143</v>
      </c>
      <c r="B74" s="114" t="s">
        <v>1144</v>
      </c>
      <c r="C74" s="423">
        <v>999999</v>
      </c>
      <c r="D74" s="114">
        <v>999999</v>
      </c>
      <c r="E74" s="114" t="s">
        <v>1072</v>
      </c>
    </row>
    <row r="75" spans="1:5" x14ac:dyDescent="0.4">
      <c r="A75" s="114" t="s">
        <v>1145</v>
      </c>
      <c r="B75" s="114" t="s">
        <v>1146</v>
      </c>
      <c r="C75" s="423">
        <v>999999</v>
      </c>
      <c r="D75" s="114">
        <v>999999</v>
      </c>
      <c r="E75" s="114" t="s">
        <v>1072</v>
      </c>
    </row>
    <row r="76" spans="1:5" x14ac:dyDescent="0.4">
      <c r="A76" s="114" t="s">
        <v>1147</v>
      </c>
      <c r="B76" s="114" t="s">
        <v>1148</v>
      </c>
      <c r="C76" s="423">
        <v>999999</v>
      </c>
      <c r="D76" s="114">
        <v>999999</v>
      </c>
      <c r="E76" s="114" t="s">
        <v>1072</v>
      </c>
    </row>
    <row r="77" spans="1:5" x14ac:dyDescent="0.4">
      <c r="A77" s="114" t="s">
        <v>1149</v>
      </c>
      <c r="B77" s="114" t="s">
        <v>1150</v>
      </c>
      <c r="C77" s="423">
        <v>999999</v>
      </c>
      <c r="D77" s="114">
        <v>999999</v>
      </c>
      <c r="E77" s="114" t="s">
        <v>1072</v>
      </c>
    </row>
    <row r="78" spans="1:5" x14ac:dyDescent="0.4">
      <c r="A78" s="114" t="s">
        <v>1151</v>
      </c>
      <c r="B78" s="114" t="s">
        <v>1152</v>
      </c>
      <c r="C78" s="423">
        <v>999999</v>
      </c>
      <c r="D78" s="114">
        <v>999999</v>
      </c>
      <c r="E78" s="114" t="s">
        <v>1072</v>
      </c>
    </row>
    <row r="79" spans="1:5" x14ac:dyDescent="0.4">
      <c r="A79" s="114" t="s">
        <v>1153</v>
      </c>
      <c r="B79" s="114" t="s">
        <v>1154</v>
      </c>
      <c r="C79" s="423">
        <v>999999</v>
      </c>
      <c r="D79" s="114">
        <v>999999</v>
      </c>
      <c r="E79" s="114" t="s">
        <v>1072</v>
      </c>
    </row>
    <row r="80" spans="1:5" x14ac:dyDescent="0.4">
      <c r="A80" s="114" t="s">
        <v>1155</v>
      </c>
      <c r="B80" s="114" t="s">
        <v>1156</v>
      </c>
      <c r="C80" s="423">
        <v>999999</v>
      </c>
      <c r="D80" s="114">
        <v>999999</v>
      </c>
      <c r="E80" s="114" t="s">
        <v>1072</v>
      </c>
    </row>
    <row r="81" spans="1:5" x14ac:dyDescent="0.4">
      <c r="A81" s="114" t="s">
        <v>1157</v>
      </c>
      <c r="B81" s="114" t="s">
        <v>1158</v>
      </c>
      <c r="C81" s="423">
        <v>999999</v>
      </c>
      <c r="D81" s="114">
        <v>999999</v>
      </c>
      <c r="E81" s="114" t="s">
        <v>1072</v>
      </c>
    </row>
    <row r="82" spans="1:5" x14ac:dyDescent="0.4">
      <c r="A82" s="114" t="s">
        <v>1159</v>
      </c>
      <c r="B82" s="114" t="s">
        <v>1160</v>
      </c>
      <c r="C82" s="423">
        <v>999999</v>
      </c>
      <c r="D82" s="114">
        <v>999999</v>
      </c>
      <c r="E82" s="114" t="s">
        <v>1072</v>
      </c>
    </row>
    <row r="83" spans="1:5" x14ac:dyDescent="0.4">
      <c r="A83" s="114" t="s">
        <v>1161</v>
      </c>
      <c r="B83" s="114" t="s">
        <v>1162</v>
      </c>
      <c r="C83" s="423">
        <v>999999</v>
      </c>
      <c r="D83" s="114">
        <v>999999</v>
      </c>
      <c r="E83" s="114" t="s">
        <v>1072</v>
      </c>
    </row>
    <row r="84" spans="1:5" x14ac:dyDescent="0.4">
      <c r="A84" s="114" t="s">
        <v>1163</v>
      </c>
      <c r="B84" s="114" t="s">
        <v>1164</v>
      </c>
      <c r="C84" s="423">
        <v>999999</v>
      </c>
      <c r="D84" s="114">
        <v>999999</v>
      </c>
      <c r="E84" s="114" t="s">
        <v>1072</v>
      </c>
    </row>
    <row r="85" spans="1:5" x14ac:dyDescent="0.4">
      <c r="A85" s="114" t="s">
        <v>1165</v>
      </c>
      <c r="B85" s="114" t="s">
        <v>1166</v>
      </c>
      <c r="C85" s="423">
        <v>999999</v>
      </c>
      <c r="D85" s="114">
        <v>999999</v>
      </c>
      <c r="E85" s="114" t="s">
        <v>1072</v>
      </c>
    </row>
    <row r="86" spans="1:5" x14ac:dyDescent="0.4">
      <c r="A86" s="114" t="s">
        <v>1167</v>
      </c>
      <c r="B86" s="114" t="s">
        <v>1168</v>
      </c>
      <c r="C86" s="423">
        <v>999999</v>
      </c>
      <c r="D86" s="114">
        <v>999999</v>
      </c>
      <c r="E86" s="114" t="s">
        <v>1072</v>
      </c>
    </row>
    <row r="87" spans="1:5" x14ac:dyDescent="0.4">
      <c r="A87" s="114" t="s">
        <v>1169</v>
      </c>
      <c r="B87" s="114" t="s">
        <v>1170</v>
      </c>
      <c r="C87" s="423">
        <v>999999</v>
      </c>
      <c r="D87" s="114">
        <v>999999</v>
      </c>
      <c r="E87" s="114" t="s">
        <v>1072</v>
      </c>
    </row>
    <row r="88" spans="1:5" x14ac:dyDescent="0.4">
      <c r="A88" s="114" t="s">
        <v>1171</v>
      </c>
      <c r="B88" s="114" t="s">
        <v>1172</v>
      </c>
      <c r="C88" s="423">
        <v>999999</v>
      </c>
      <c r="D88" s="114">
        <v>999999</v>
      </c>
      <c r="E88" s="114" t="s">
        <v>1072</v>
      </c>
    </row>
    <row r="89" spans="1:5" x14ac:dyDescent="0.4">
      <c r="A89" s="114" t="s">
        <v>1173</v>
      </c>
      <c r="B89" s="114" t="s">
        <v>1174</v>
      </c>
      <c r="C89" s="423">
        <v>999999</v>
      </c>
      <c r="D89" s="114">
        <v>999999</v>
      </c>
      <c r="E89" s="114" t="s">
        <v>1072</v>
      </c>
    </row>
    <row r="90" spans="1:5" x14ac:dyDescent="0.4">
      <c r="A90" s="114" t="s">
        <v>1175</v>
      </c>
      <c r="B90" s="114" t="s">
        <v>1176</v>
      </c>
      <c r="C90" s="423">
        <v>999999</v>
      </c>
      <c r="D90" s="114">
        <v>999999</v>
      </c>
      <c r="E90" s="114" t="s">
        <v>1072</v>
      </c>
    </row>
    <row r="91" spans="1:5" x14ac:dyDescent="0.4">
      <c r="A91" s="114" t="s">
        <v>1177</v>
      </c>
      <c r="B91" s="114" t="s">
        <v>1178</v>
      </c>
      <c r="C91" s="423">
        <v>999999</v>
      </c>
      <c r="D91" s="114">
        <v>999999</v>
      </c>
      <c r="E91" s="114" t="s">
        <v>1072</v>
      </c>
    </row>
    <row r="92" spans="1:5" x14ac:dyDescent="0.4">
      <c r="A92" s="114" t="s">
        <v>1179</v>
      </c>
      <c r="B92" s="114" t="s">
        <v>1180</v>
      </c>
      <c r="C92" s="423">
        <v>999999</v>
      </c>
      <c r="D92" s="114">
        <v>999999</v>
      </c>
      <c r="E92" s="114" t="s">
        <v>1072</v>
      </c>
    </row>
    <row r="93" spans="1:5" x14ac:dyDescent="0.4">
      <c r="A93" s="114" t="s">
        <v>1181</v>
      </c>
      <c r="B93" s="114" t="s">
        <v>1182</v>
      </c>
      <c r="C93" s="423">
        <v>999999</v>
      </c>
      <c r="D93" s="114">
        <v>999999</v>
      </c>
      <c r="E93" s="114" t="s">
        <v>1072</v>
      </c>
    </row>
    <row r="94" spans="1:5" x14ac:dyDescent="0.4">
      <c r="A94" s="114" t="s">
        <v>1183</v>
      </c>
      <c r="B94" s="114" t="s">
        <v>1184</v>
      </c>
      <c r="C94" s="423">
        <v>999999</v>
      </c>
      <c r="D94" s="114">
        <v>999999</v>
      </c>
      <c r="E94" s="114" t="s">
        <v>1072</v>
      </c>
    </row>
    <row r="95" spans="1:5" x14ac:dyDescent="0.4">
      <c r="A95" s="114" t="s">
        <v>1185</v>
      </c>
      <c r="B95" s="114" t="s">
        <v>1186</v>
      </c>
      <c r="C95" s="423">
        <v>999999</v>
      </c>
      <c r="D95" s="114">
        <v>999999</v>
      </c>
      <c r="E95" s="114" t="s">
        <v>1072</v>
      </c>
    </row>
    <row r="96" spans="1:5" x14ac:dyDescent="0.4">
      <c r="A96" s="114" t="s">
        <v>1187</v>
      </c>
      <c r="B96" s="114" t="s">
        <v>1188</v>
      </c>
      <c r="C96" s="423">
        <v>999999</v>
      </c>
      <c r="D96" s="114">
        <v>999999</v>
      </c>
      <c r="E96" s="114" t="s">
        <v>1072</v>
      </c>
    </row>
    <row r="97" spans="1:5" x14ac:dyDescent="0.4">
      <c r="A97" s="114" t="s">
        <v>1189</v>
      </c>
      <c r="B97" s="114" t="s">
        <v>1190</v>
      </c>
      <c r="C97" s="423">
        <v>999999</v>
      </c>
      <c r="D97" s="114">
        <v>999999</v>
      </c>
      <c r="E97" s="114" t="s">
        <v>1072</v>
      </c>
    </row>
    <row r="98" spans="1:5" x14ac:dyDescent="0.4">
      <c r="A98" s="114" t="s">
        <v>1191</v>
      </c>
      <c r="B98" s="114" t="s">
        <v>1192</v>
      </c>
      <c r="C98" s="423">
        <v>999999</v>
      </c>
      <c r="D98" s="114">
        <v>999999</v>
      </c>
      <c r="E98" s="114" t="s">
        <v>1072</v>
      </c>
    </row>
    <row r="99" spans="1:5" x14ac:dyDescent="0.4">
      <c r="A99" s="114" t="s">
        <v>1193</v>
      </c>
      <c r="B99" s="114" t="s">
        <v>1194</v>
      </c>
      <c r="C99" s="423">
        <v>999999</v>
      </c>
      <c r="D99" s="114">
        <v>999999</v>
      </c>
      <c r="E99" s="114" t="s">
        <v>1072</v>
      </c>
    </row>
    <row r="100" spans="1:5" x14ac:dyDescent="0.4">
      <c r="A100" s="114" t="s">
        <v>1195</v>
      </c>
      <c r="B100" s="114" t="s">
        <v>1196</v>
      </c>
      <c r="C100" s="423">
        <v>999999</v>
      </c>
      <c r="D100" s="114">
        <v>999999</v>
      </c>
      <c r="E100" s="114" t="s">
        <v>1072</v>
      </c>
    </row>
    <row r="101" spans="1:5" x14ac:dyDescent="0.4">
      <c r="A101" s="114" t="s">
        <v>1197</v>
      </c>
      <c r="B101" s="114" t="s">
        <v>1198</v>
      </c>
      <c r="C101" s="423">
        <v>999999</v>
      </c>
      <c r="D101" s="114">
        <v>999999</v>
      </c>
      <c r="E101" s="114" t="s">
        <v>1072</v>
      </c>
    </row>
    <row r="102" spans="1:5" x14ac:dyDescent="0.4">
      <c r="A102" s="114" t="s">
        <v>1199</v>
      </c>
      <c r="B102" s="114" t="s">
        <v>1200</v>
      </c>
      <c r="C102" s="423">
        <v>999999</v>
      </c>
      <c r="D102" s="114">
        <v>999999</v>
      </c>
      <c r="E102" s="114" t="s">
        <v>1072</v>
      </c>
    </row>
    <row r="103" spans="1:5" x14ac:dyDescent="0.4">
      <c r="A103" s="114" t="s">
        <v>1201</v>
      </c>
      <c r="B103" s="114" t="s">
        <v>1202</v>
      </c>
      <c r="C103" s="423">
        <v>999999</v>
      </c>
      <c r="D103" s="114">
        <v>999999</v>
      </c>
      <c r="E103" s="114" t="s">
        <v>1072</v>
      </c>
    </row>
    <row r="104" spans="1:5" x14ac:dyDescent="0.4">
      <c r="A104" s="114" t="s">
        <v>1203</v>
      </c>
      <c r="B104" s="114" t="s">
        <v>1204</v>
      </c>
      <c r="C104" s="423">
        <v>999999</v>
      </c>
      <c r="D104" s="114">
        <v>999999</v>
      </c>
      <c r="E104" s="114" t="s">
        <v>1072</v>
      </c>
    </row>
    <row r="105" spans="1:5" x14ac:dyDescent="0.4">
      <c r="A105" s="114" t="s">
        <v>1205</v>
      </c>
      <c r="B105" s="114" t="s">
        <v>1206</v>
      </c>
      <c r="C105" s="423">
        <v>999999</v>
      </c>
      <c r="D105" s="114">
        <v>999999</v>
      </c>
      <c r="E105" s="114" t="s">
        <v>1072</v>
      </c>
    </row>
    <row r="106" spans="1:5" x14ac:dyDescent="0.4">
      <c r="A106" s="114" t="s">
        <v>1207</v>
      </c>
      <c r="B106" s="114" t="s">
        <v>1208</v>
      </c>
      <c r="C106" s="423">
        <v>999999</v>
      </c>
      <c r="D106" s="114">
        <v>999999</v>
      </c>
      <c r="E106" s="114" t="s">
        <v>1072</v>
      </c>
    </row>
    <row r="107" spans="1:5" x14ac:dyDescent="0.4">
      <c r="A107" s="114" t="s">
        <v>1209</v>
      </c>
      <c r="B107" s="114" t="s">
        <v>1210</v>
      </c>
      <c r="C107" s="423">
        <v>999999</v>
      </c>
      <c r="D107" s="114">
        <v>999999</v>
      </c>
      <c r="E107" s="114" t="s">
        <v>1072</v>
      </c>
    </row>
    <row r="108" spans="1:5" x14ac:dyDescent="0.4">
      <c r="A108" s="114" t="s">
        <v>1211</v>
      </c>
      <c r="B108" s="114" t="s">
        <v>1212</v>
      </c>
      <c r="C108" s="423">
        <v>999999</v>
      </c>
      <c r="D108" s="114">
        <v>999999</v>
      </c>
      <c r="E108" s="114" t="s">
        <v>1072</v>
      </c>
    </row>
    <row r="109" spans="1:5" x14ac:dyDescent="0.4">
      <c r="A109" s="114" t="s">
        <v>1213</v>
      </c>
      <c r="B109" s="114" t="s">
        <v>1214</v>
      </c>
      <c r="C109" s="423">
        <v>999999</v>
      </c>
      <c r="D109" s="114">
        <v>999999</v>
      </c>
      <c r="E109" s="114" t="s">
        <v>1072</v>
      </c>
    </row>
    <row r="110" spans="1:5" x14ac:dyDescent="0.4">
      <c r="A110" s="114" t="s">
        <v>1215</v>
      </c>
      <c r="B110" s="114" t="s">
        <v>1216</v>
      </c>
      <c r="C110" s="423">
        <v>999999</v>
      </c>
      <c r="D110" s="114">
        <v>999999</v>
      </c>
      <c r="E110" s="114" t="s">
        <v>1072</v>
      </c>
    </row>
    <row r="111" spans="1:5" x14ac:dyDescent="0.4">
      <c r="A111" s="114" t="s">
        <v>1217</v>
      </c>
      <c r="B111" s="114" t="s">
        <v>1218</v>
      </c>
      <c r="C111" s="423">
        <v>999999</v>
      </c>
      <c r="D111" s="114">
        <v>999999</v>
      </c>
      <c r="E111" s="114" t="s">
        <v>1072</v>
      </c>
    </row>
    <row r="112" spans="1:5" x14ac:dyDescent="0.4">
      <c r="A112" s="114" t="s">
        <v>1219</v>
      </c>
      <c r="B112" s="114" t="s">
        <v>1220</v>
      </c>
      <c r="C112" s="423">
        <v>999999</v>
      </c>
      <c r="D112" s="114">
        <v>999999</v>
      </c>
      <c r="E112" s="114" t="s">
        <v>1072</v>
      </c>
    </row>
    <row r="113" spans="1:7" x14ac:dyDescent="0.4">
      <c r="A113" s="114" t="s">
        <v>1221</v>
      </c>
      <c r="B113" s="114" t="s">
        <v>1222</v>
      </c>
      <c r="C113" s="423">
        <v>999999</v>
      </c>
      <c r="D113" s="114">
        <v>999999</v>
      </c>
      <c r="E113" s="114" t="s">
        <v>1072</v>
      </c>
    </row>
    <row r="114" spans="1:7" x14ac:dyDescent="0.4">
      <c r="A114" s="114" t="s">
        <v>1223</v>
      </c>
      <c r="B114" s="114" t="s">
        <v>1224</v>
      </c>
      <c r="C114" s="423">
        <v>999999</v>
      </c>
      <c r="D114" s="114">
        <v>999999</v>
      </c>
      <c r="E114" s="114" t="s">
        <v>1072</v>
      </c>
    </row>
    <row r="115" spans="1:7" x14ac:dyDescent="0.4">
      <c r="A115" s="114" t="s">
        <v>1225</v>
      </c>
      <c r="B115" s="114" t="s">
        <v>1226</v>
      </c>
      <c r="C115" s="423">
        <v>999999</v>
      </c>
      <c r="D115" s="114">
        <v>999999</v>
      </c>
      <c r="E115" s="114" t="s">
        <v>1072</v>
      </c>
    </row>
    <row r="116" spans="1:7" x14ac:dyDescent="0.4">
      <c r="A116" s="114" t="s">
        <v>1227</v>
      </c>
      <c r="B116" s="114" t="s">
        <v>1228</v>
      </c>
      <c r="C116" s="423">
        <v>999999</v>
      </c>
      <c r="D116" s="114">
        <v>999999</v>
      </c>
      <c r="E116" s="114" t="s">
        <v>1072</v>
      </c>
    </row>
    <row r="117" spans="1:7" x14ac:dyDescent="0.4">
      <c r="A117" s="114" t="s">
        <v>1229</v>
      </c>
      <c r="B117" s="114" t="s">
        <v>1230</v>
      </c>
      <c r="C117" s="423">
        <v>999999</v>
      </c>
      <c r="D117" s="114">
        <v>999999</v>
      </c>
      <c r="E117" s="114" t="s">
        <v>1072</v>
      </c>
    </row>
    <row r="118" spans="1:7" x14ac:dyDescent="0.4">
      <c r="A118" s="114" t="s">
        <v>1231</v>
      </c>
      <c r="B118" s="114" t="s">
        <v>1231</v>
      </c>
      <c r="C118" s="423">
        <v>62</v>
      </c>
      <c r="E118" s="114" t="s">
        <v>833</v>
      </c>
    </row>
    <row r="119" spans="1:7" x14ac:dyDescent="0.4">
      <c r="A119" s="114" t="s">
        <v>267</v>
      </c>
      <c r="B119" s="114" t="s">
        <v>267</v>
      </c>
      <c r="C119" s="423">
        <v>3.48</v>
      </c>
      <c r="D119" s="114">
        <v>0.1</v>
      </c>
      <c r="E119" s="114" t="s">
        <v>773</v>
      </c>
    </row>
    <row r="120" spans="1:7" x14ac:dyDescent="0.4">
      <c r="A120" s="114" t="s">
        <v>266</v>
      </c>
      <c r="B120" s="114" t="s">
        <v>266</v>
      </c>
      <c r="C120" s="423">
        <v>4.5599999999999996</v>
      </c>
      <c r="D120" s="114">
        <v>0.1</v>
      </c>
      <c r="E120" s="114" t="s">
        <v>773</v>
      </c>
    </row>
    <row r="121" spans="1:7" x14ac:dyDescent="0.4">
      <c r="A121" s="114" t="s">
        <v>360</v>
      </c>
      <c r="B121" s="114" t="s">
        <v>360</v>
      </c>
      <c r="C121" s="423">
        <v>2.4</v>
      </c>
      <c r="D121" s="114">
        <v>0.1</v>
      </c>
      <c r="E121" s="114" t="s">
        <v>773</v>
      </c>
    </row>
    <row r="122" spans="1:7" x14ac:dyDescent="0.4">
      <c r="A122" s="114" t="s">
        <v>350</v>
      </c>
      <c r="B122" s="114" t="s">
        <v>350</v>
      </c>
      <c r="D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D126" s="114">
        <v>0.1</v>
      </c>
    </row>
    <row r="127" spans="1:7" x14ac:dyDescent="0.4">
      <c r="A127" s="114" t="s">
        <v>1290</v>
      </c>
      <c r="B127" s="297" t="s">
        <v>751</v>
      </c>
      <c r="C127" s="300">
        <v>47</v>
      </c>
      <c r="D127" s="114">
        <v>1</v>
      </c>
      <c r="G127" s="297" t="s">
        <v>752</v>
      </c>
    </row>
    <row r="128" spans="1:7" x14ac:dyDescent="0.4">
      <c r="A128" s="114" t="s">
        <v>1291</v>
      </c>
      <c r="C128" s="423">
        <v>420</v>
      </c>
      <c r="D128" s="114">
        <v>1</v>
      </c>
    </row>
    <row r="129" spans="1:7" x14ac:dyDescent="0.4">
      <c r="A129" s="114" t="s">
        <v>1023</v>
      </c>
      <c r="B129" s="297" t="s">
        <v>764</v>
      </c>
      <c r="C129" s="423">
        <v>11.46</v>
      </c>
      <c r="G129" s="297" t="s">
        <v>766</v>
      </c>
    </row>
    <row r="130" spans="1:7" x14ac:dyDescent="0.4">
      <c r="A130" s="114" t="s">
        <v>1292</v>
      </c>
      <c r="C130" s="423">
        <v>36</v>
      </c>
      <c r="D130" s="114">
        <v>1</v>
      </c>
    </row>
    <row r="131" spans="1:7" x14ac:dyDescent="0.4">
      <c r="A131" s="114" t="s">
        <v>476</v>
      </c>
      <c r="C131" s="423">
        <v>324</v>
      </c>
      <c r="D131" s="114">
        <v>0</v>
      </c>
    </row>
    <row r="132" spans="1:7" x14ac:dyDescent="0.4">
      <c r="A132" s="114" t="s">
        <v>477</v>
      </c>
      <c r="C132" s="423">
        <v>180</v>
      </c>
      <c r="D132" s="114">
        <v>0</v>
      </c>
    </row>
    <row r="133" spans="1:7" x14ac:dyDescent="0.4">
      <c r="A133" s="114" t="s">
        <v>1306</v>
      </c>
      <c r="B133" s="297" t="s">
        <v>785</v>
      </c>
      <c r="C133" s="301">
        <v>541.20000000000005</v>
      </c>
      <c r="D133" s="114">
        <v>2</v>
      </c>
    </row>
    <row r="134" spans="1:7" x14ac:dyDescent="0.4">
      <c r="A134" s="114" t="s">
        <v>1307</v>
      </c>
      <c r="B134" s="297" t="s">
        <v>789</v>
      </c>
      <c r="C134" s="301">
        <v>721.6</v>
      </c>
      <c r="D134" s="114">
        <v>2</v>
      </c>
    </row>
    <row r="135" spans="1:7" x14ac:dyDescent="0.4">
      <c r="A135" s="114" t="s">
        <v>1308</v>
      </c>
      <c r="B135" s="297" t="s">
        <v>788</v>
      </c>
      <c r="C135" s="301">
        <v>1021.9</v>
      </c>
      <c r="D135" s="114">
        <v>2</v>
      </c>
    </row>
    <row r="136" spans="1:7" x14ac:dyDescent="0.4">
      <c r="A136" s="114" t="s">
        <v>325</v>
      </c>
      <c r="C136" s="423">
        <v>240</v>
      </c>
      <c r="D136" s="114">
        <v>1</v>
      </c>
    </row>
    <row r="137" spans="1:7" x14ac:dyDescent="0.4">
      <c r="A137" s="114" t="s">
        <v>989</v>
      </c>
      <c r="B137" s="423" t="str">
        <f>B13</f>
        <v>PL22G24LED + PL22R24LED</v>
      </c>
      <c r="C137" s="423">
        <f>C13</f>
        <v>16</v>
      </c>
      <c r="D137" s="423">
        <f>D13</f>
        <v>0</v>
      </c>
      <c r="E137" s="423" t="str">
        <f t="shared" ref="E137:G137" si="0">E13</f>
        <v>Dore</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0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FBFA608-F1F8-42E2-8CC4-075DE806A37A}">
          <x14:formula1>
            <xm:f>'D:\Github\IGOC-Workspace\Mech Elec Template\[V2 - XXX -  Mech Elec - Rev A.xlsx]Sheet1'!#REF!</xm:f>
          </x14:formula1>
          <xm:sqref>A22:A23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08C5-0411-4D81-8A22-AF719FD9B8E2}">
  <dimension ref="A1:O8"/>
  <sheetViews>
    <sheetView tabSelected="1" workbookViewId="0">
      <selection activeCell="M22" sqref="M22"/>
    </sheetView>
  </sheetViews>
  <sheetFormatPr defaultRowHeight="14.6" x14ac:dyDescent="0.4"/>
  <cols>
    <col min="1" max="16384" width="9.23046875" style="114"/>
  </cols>
  <sheetData>
    <row r="1" spans="1:15" x14ac:dyDescent="0.4">
      <c r="A1" s="318" t="s">
        <v>676</v>
      </c>
      <c r="B1" s="114" t="s">
        <v>982</v>
      </c>
      <c r="C1" s="114" t="s">
        <v>983</v>
      </c>
      <c r="D1" s="114" t="s">
        <v>984</v>
      </c>
      <c r="E1" s="114" t="s">
        <v>669</v>
      </c>
      <c r="F1" s="114" t="s">
        <v>985</v>
      </c>
      <c r="G1" s="114" t="s">
        <v>1410</v>
      </c>
      <c r="H1" s="114" t="s">
        <v>987</v>
      </c>
      <c r="I1" s="114" t="s">
        <v>988</v>
      </c>
      <c r="J1" s="114" t="s">
        <v>989</v>
      </c>
      <c r="K1" s="114" t="s">
        <v>1240</v>
      </c>
      <c r="L1" s="114" t="s">
        <v>1287</v>
      </c>
      <c r="M1" s="114" t="s">
        <v>1003</v>
      </c>
      <c r="O1" s="114" t="s">
        <v>1018</v>
      </c>
    </row>
    <row r="2" spans="1:15" x14ac:dyDescent="0.4">
      <c r="A2" s="318" t="s">
        <v>1401</v>
      </c>
      <c r="B2" s="114" t="s">
        <v>885</v>
      </c>
      <c r="C2" s="114" t="s">
        <v>885</v>
      </c>
      <c r="D2" s="114" t="s">
        <v>984</v>
      </c>
      <c r="E2" s="114" t="s">
        <v>885</v>
      </c>
      <c r="F2" s="114" t="s">
        <v>885</v>
      </c>
      <c r="G2" s="114" t="s">
        <v>885</v>
      </c>
      <c r="H2" s="114" t="s">
        <v>885</v>
      </c>
      <c r="I2" s="114" t="s">
        <v>885</v>
      </c>
      <c r="J2" s="114" t="s">
        <v>885</v>
      </c>
      <c r="K2" s="114" t="s">
        <v>885</v>
      </c>
      <c r="L2" s="114" t="s">
        <v>886</v>
      </c>
      <c r="M2" s="114" t="s">
        <v>885</v>
      </c>
      <c r="O2" s="117" t="s">
        <v>1403</v>
      </c>
    </row>
    <row r="3" spans="1:15" x14ac:dyDescent="0.4">
      <c r="A3" s="318" t="s">
        <v>678</v>
      </c>
      <c r="B3" s="114" t="s">
        <v>886</v>
      </c>
      <c r="C3" s="114" t="s">
        <v>886</v>
      </c>
      <c r="D3" s="114" t="s">
        <v>992</v>
      </c>
      <c r="E3" s="114" t="s">
        <v>886</v>
      </c>
      <c r="F3" s="114" t="s">
        <v>886</v>
      </c>
      <c r="G3" s="114" t="s">
        <v>886</v>
      </c>
      <c r="H3" s="114" t="s">
        <v>886</v>
      </c>
      <c r="I3" s="114" t="s">
        <v>886</v>
      </c>
      <c r="J3" s="114" t="s">
        <v>886</v>
      </c>
      <c r="K3" s="114" t="s">
        <v>886</v>
      </c>
      <c r="L3" s="114" t="s">
        <v>1413</v>
      </c>
      <c r="M3" s="114" t="s">
        <v>886</v>
      </c>
      <c r="O3" s="117" t="s">
        <v>1404</v>
      </c>
    </row>
    <row r="4" spans="1:15" x14ac:dyDescent="0.4">
      <c r="A4" s="318" t="s">
        <v>1402</v>
      </c>
      <c r="D4" s="114" t="s">
        <v>991</v>
      </c>
      <c r="L4" s="114" t="s">
        <v>1411</v>
      </c>
      <c r="O4" s="117" t="s">
        <v>1405</v>
      </c>
    </row>
    <row r="5" spans="1:15" x14ac:dyDescent="0.4">
      <c r="A5" s="318"/>
      <c r="D5" s="114" t="s">
        <v>993</v>
      </c>
      <c r="O5" s="117" t="s">
        <v>1406</v>
      </c>
    </row>
    <row r="6" spans="1:15" x14ac:dyDescent="0.4">
      <c r="A6" s="318"/>
      <c r="D6" s="114" t="s">
        <v>886</v>
      </c>
      <c r="O6" s="117" t="s">
        <v>1407</v>
      </c>
    </row>
    <row r="7" spans="1:15" x14ac:dyDescent="0.4">
      <c r="O7" s="117" t="s">
        <v>1408</v>
      </c>
    </row>
    <row r="8" spans="1:15" x14ac:dyDescent="0.4">
      <c r="O8" s="117" t="s">
        <v>1409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2"/>
  <sheetViews>
    <sheetView workbookViewId="0"/>
  </sheetViews>
  <sheetFormatPr defaultColWidth="9.23046875" defaultRowHeight="14.6" x14ac:dyDescent="0.4"/>
  <cols>
    <col min="1" max="1" width="13.69140625" style="114" bestFit="1" customWidth="1"/>
    <col min="2" max="2" width="7.69140625" style="114" bestFit="1" customWidth="1"/>
    <col min="3" max="3" width="18.84375" style="114" bestFit="1" customWidth="1"/>
    <col min="4" max="4" width="19.07421875" style="423" customWidth="1"/>
    <col min="5" max="5" width="5.69140625" style="114" bestFit="1" customWidth="1"/>
    <col min="6" max="6" width="16.69140625" style="114" bestFit="1" customWidth="1"/>
    <col min="7" max="7" width="3.07421875" style="114" bestFit="1" customWidth="1"/>
    <col min="8" max="8" width="5.07421875" style="114" bestFit="1" customWidth="1"/>
    <col min="9" max="9" width="5.69140625" style="114" bestFit="1" customWidth="1"/>
    <col min="10" max="16384" width="9.23046875" style="114"/>
  </cols>
  <sheetData>
    <row r="1" spans="1:9" s="33" customFormat="1" x14ac:dyDescent="0.4">
      <c r="A1" s="33" t="s">
        <v>1232</v>
      </c>
      <c r="B1" s="33" t="s">
        <v>749</v>
      </c>
      <c r="C1" s="33" t="s">
        <v>1232</v>
      </c>
      <c r="D1" s="442" t="s">
        <v>932</v>
      </c>
      <c r="E1" s="33" t="s">
        <v>929</v>
      </c>
      <c r="F1" s="33" t="s">
        <v>1233</v>
      </c>
      <c r="G1" s="33" t="s">
        <v>1232</v>
      </c>
      <c r="H1" s="33" t="s">
        <v>932</v>
      </c>
      <c r="I1" s="33" t="s">
        <v>929</v>
      </c>
    </row>
    <row r="2" spans="1:9" x14ac:dyDescent="0.4">
      <c r="A2" s="114" t="s">
        <v>1061</v>
      </c>
      <c r="B2" s="114" t="s">
        <v>833</v>
      </c>
      <c r="C2" s="114" t="s">
        <v>960</v>
      </c>
      <c r="D2" s="423">
        <f>VLOOKUP(C2,'Part List'!B:D,2,FALSE)</f>
        <v>243.55</v>
      </c>
      <c r="H2" s="423" t="e">
        <f>VLOOKUP(G2,'Part List'!B:D,2,FALSE)</f>
        <v>#N/A</v>
      </c>
    </row>
    <row r="3" spans="1:9" x14ac:dyDescent="0.4">
      <c r="A3" s="114" t="s">
        <v>1062</v>
      </c>
      <c r="B3" s="114" t="s">
        <v>833</v>
      </c>
      <c r="C3" s="114" t="s">
        <v>745</v>
      </c>
      <c r="D3" s="423">
        <f>VLOOKUP(C3,'Part List'!B:D,2,FALSE)</f>
        <v>294.60000000000002</v>
      </c>
      <c r="H3" s="423" t="e">
        <f>VLOOKUP(G3,'Part List'!B:D,2,FALSE)</f>
        <v>#N/A</v>
      </c>
    </row>
    <row r="4" spans="1:9" x14ac:dyDescent="0.4">
      <c r="A4" s="114" t="s">
        <v>1063</v>
      </c>
      <c r="B4" s="114" t="s">
        <v>833</v>
      </c>
      <c r="C4" s="114" t="s">
        <v>963</v>
      </c>
      <c r="D4" s="423">
        <f>VLOOKUP(C4,'Part List'!B:D,2,FALSE)</f>
        <v>488.25</v>
      </c>
      <c r="H4" s="423" t="e">
        <f>VLOOKUP(G4,'Part List'!B:D,2,FALSE)</f>
        <v>#N/A</v>
      </c>
    </row>
    <row r="5" spans="1:9" x14ac:dyDescent="0.4">
      <c r="A5" s="114" t="s">
        <v>1234</v>
      </c>
      <c r="B5" s="114" t="s">
        <v>833</v>
      </c>
      <c r="C5" s="114" t="s">
        <v>967</v>
      </c>
      <c r="D5" s="423" t="e">
        <f>VLOOKUP(C5,'Part List'!B:D,2,FALSE)</f>
        <v>#N/A</v>
      </c>
      <c r="H5" s="423" t="e">
        <f>VLOOKUP(G5,'Part List'!B:D,2,FALSE)</f>
        <v>#N/A</v>
      </c>
    </row>
    <row r="6" spans="1:9" x14ac:dyDescent="0.4">
      <c r="A6" s="114" t="s">
        <v>1064</v>
      </c>
      <c r="B6" s="114" t="s">
        <v>833</v>
      </c>
      <c r="C6" s="114" t="s">
        <v>969</v>
      </c>
      <c r="D6" s="423">
        <f>VLOOKUP(C6,'Part List'!B:D,2,FALSE)</f>
        <v>700.9</v>
      </c>
      <c r="H6" s="423" t="e">
        <f>VLOOKUP(G6,'Part List'!B:D,2,FALSE)</f>
        <v>#N/A</v>
      </c>
    </row>
    <row r="7" spans="1:9" x14ac:dyDescent="0.4">
      <c r="A7" s="114" t="s">
        <v>1065</v>
      </c>
      <c r="B7" s="114" t="s">
        <v>833</v>
      </c>
      <c r="C7" s="114" t="s">
        <v>970</v>
      </c>
      <c r="D7" s="423">
        <f>VLOOKUP(C7,'Part List'!B:D,2,FALSE)</f>
        <v>243.55</v>
      </c>
      <c r="H7" s="423" t="e">
        <f>VLOOKUP(G7,'Part List'!B:D,2,FALSE)</f>
        <v>#N/A</v>
      </c>
    </row>
    <row r="8" spans="1:9" x14ac:dyDescent="0.4">
      <c r="A8" s="114" t="s">
        <v>1066</v>
      </c>
      <c r="B8" s="114" t="s">
        <v>833</v>
      </c>
      <c r="C8" s="114" t="s">
        <v>971</v>
      </c>
      <c r="D8" s="423">
        <f>VLOOKUP(C8,'Part List'!B:D,2,FALSE)</f>
        <v>356.4</v>
      </c>
      <c r="H8" s="423" t="e">
        <f>VLOOKUP(G8,'Part List'!B:D,2,FALSE)</f>
        <v>#N/A</v>
      </c>
    </row>
    <row r="9" spans="1:9" x14ac:dyDescent="0.4">
      <c r="A9" s="114" t="s">
        <v>1067</v>
      </c>
      <c r="B9" s="114" t="s">
        <v>833</v>
      </c>
      <c r="C9" s="114" t="s">
        <v>972</v>
      </c>
      <c r="D9" s="423">
        <f>VLOOKUP(C9,'Part List'!B:D,2,FALSE)</f>
        <v>541.75</v>
      </c>
      <c r="H9" s="423" t="e">
        <f>VLOOKUP(G9,'Part List'!B:D,2,FALSE)</f>
        <v>#N/A</v>
      </c>
    </row>
    <row r="10" spans="1:9" x14ac:dyDescent="0.4">
      <c r="A10" s="114" t="s">
        <v>1068</v>
      </c>
      <c r="B10" s="114" t="s">
        <v>833</v>
      </c>
      <c r="C10" s="114" t="s">
        <v>973</v>
      </c>
      <c r="D10" s="423">
        <f>VLOOKUP(C10,'Part List'!B:D,2,FALSE)</f>
        <v>651</v>
      </c>
      <c r="H10" s="423" t="e">
        <f>VLOOKUP(G10,'Part List'!B:D,2,FALSE)</f>
        <v>#N/A</v>
      </c>
    </row>
    <row r="11" spans="1:9" x14ac:dyDescent="0.4">
      <c r="A11" s="114" t="s">
        <v>1069</v>
      </c>
      <c r="B11" s="114" t="s">
        <v>833</v>
      </c>
      <c r="C11" s="114" t="s">
        <v>969</v>
      </c>
      <c r="D11" s="423">
        <f>VLOOKUP(C11,'Part List'!B:D,2,FALSE)</f>
        <v>700.9</v>
      </c>
      <c r="H11" s="423" t="e">
        <f>VLOOKUP(G11,'Part List'!B:D,2,FALSE)</f>
        <v>#N/A</v>
      </c>
    </row>
    <row r="12" spans="1:9" x14ac:dyDescent="0.4">
      <c r="A12" s="114" t="s">
        <v>1070</v>
      </c>
      <c r="B12" s="114" t="s">
        <v>1072</v>
      </c>
      <c r="C12" s="114" t="s">
        <v>1071</v>
      </c>
      <c r="D12" s="423">
        <f>VLOOKUP(C12,'Part List'!B:D,2,FALSE)</f>
        <v>999999</v>
      </c>
      <c r="H12" s="423" t="e">
        <f>VLOOKUP(G12,'Part List'!B:D,2,FALSE)</f>
        <v>#N/A</v>
      </c>
    </row>
    <row r="13" spans="1:9" x14ac:dyDescent="0.4">
      <c r="A13" s="114" t="s">
        <v>1073</v>
      </c>
      <c r="B13" s="114" t="s">
        <v>1072</v>
      </c>
      <c r="C13" s="114" t="s">
        <v>1074</v>
      </c>
      <c r="D13" s="423">
        <f>VLOOKUP(C13,'Part List'!B:D,2,FALSE)</f>
        <v>999999</v>
      </c>
      <c r="H13" s="423" t="e">
        <f>VLOOKUP(G13,'Part List'!B:D,2,FALSE)</f>
        <v>#N/A</v>
      </c>
    </row>
    <row r="14" spans="1:9" x14ac:dyDescent="0.4">
      <c r="A14" s="114" t="s">
        <v>1075</v>
      </c>
      <c r="B14" s="114" t="s">
        <v>1072</v>
      </c>
      <c r="C14" s="114" t="s">
        <v>1076</v>
      </c>
      <c r="D14" s="423">
        <f>VLOOKUP(C14,'Part List'!B:D,2,FALSE)</f>
        <v>999999</v>
      </c>
      <c r="H14" s="423" t="e">
        <f>VLOOKUP(G14,'Part List'!B:D,2,FALSE)</f>
        <v>#N/A</v>
      </c>
    </row>
    <row r="15" spans="1:9" x14ac:dyDescent="0.4">
      <c r="A15" s="114" t="s">
        <v>1077</v>
      </c>
      <c r="B15" s="114" t="s">
        <v>1072</v>
      </c>
      <c r="C15" s="114" t="s">
        <v>1078</v>
      </c>
      <c r="D15" s="423">
        <f>VLOOKUP(C15,'Part List'!B:D,2,FALSE)</f>
        <v>999999</v>
      </c>
      <c r="H15" s="423" t="e">
        <f>VLOOKUP(G15,'Part List'!B:D,2,FALSE)</f>
        <v>#N/A</v>
      </c>
    </row>
    <row r="16" spans="1:9" x14ac:dyDescent="0.4">
      <c r="A16" s="114" t="s">
        <v>1079</v>
      </c>
      <c r="B16" s="114" t="s">
        <v>1072</v>
      </c>
      <c r="C16" s="114" t="s">
        <v>1080</v>
      </c>
      <c r="D16" s="423">
        <f>VLOOKUP(C16,'Part List'!B:D,2,FALSE)</f>
        <v>999999</v>
      </c>
      <c r="H16" s="423" t="e">
        <f>VLOOKUP(G16,'Part List'!B:D,2,FALSE)</f>
        <v>#N/A</v>
      </c>
    </row>
    <row r="17" spans="1:8" x14ac:dyDescent="0.4">
      <c r="A17" s="114" t="s">
        <v>1081</v>
      </c>
      <c r="B17" s="114" t="s">
        <v>1072</v>
      </c>
      <c r="C17" s="114" t="s">
        <v>1082</v>
      </c>
      <c r="D17" s="423">
        <f>VLOOKUP(C17,'Part List'!B:D,2,FALSE)</f>
        <v>999999</v>
      </c>
      <c r="H17" s="423" t="e">
        <f>VLOOKUP(G17,'Part List'!B:D,2,FALSE)</f>
        <v>#N/A</v>
      </c>
    </row>
    <row r="18" spans="1:8" x14ac:dyDescent="0.4">
      <c r="A18" s="114" t="s">
        <v>1083</v>
      </c>
      <c r="B18" s="114" t="s">
        <v>1072</v>
      </c>
      <c r="C18" s="114" t="s">
        <v>1084</v>
      </c>
      <c r="D18" s="423">
        <f>VLOOKUP(C18,'Part List'!B:D,2,FALSE)</f>
        <v>999999</v>
      </c>
      <c r="H18" s="423" t="e">
        <f>VLOOKUP(G18,'Part List'!B:D,2,FALSE)</f>
        <v>#N/A</v>
      </c>
    </row>
    <row r="19" spans="1:8" x14ac:dyDescent="0.4">
      <c r="A19" s="114" t="s">
        <v>1085</v>
      </c>
      <c r="B19" s="114" t="s">
        <v>1072</v>
      </c>
      <c r="C19" s="114" t="s">
        <v>1086</v>
      </c>
      <c r="D19" s="423">
        <f>VLOOKUP(C19,'Part List'!B:D,2,FALSE)</f>
        <v>999999</v>
      </c>
      <c r="H19" s="423" t="e">
        <f>VLOOKUP(G19,'Part List'!B:D,2,FALSE)</f>
        <v>#N/A</v>
      </c>
    </row>
    <row r="20" spans="1:8" x14ac:dyDescent="0.4">
      <c r="A20" s="114" t="s">
        <v>1087</v>
      </c>
      <c r="B20" s="114" t="s">
        <v>1072</v>
      </c>
      <c r="C20" s="114" t="s">
        <v>1088</v>
      </c>
      <c r="D20" s="423">
        <f>VLOOKUP(C20,'Part List'!B:D,2,FALSE)</f>
        <v>999999</v>
      </c>
      <c r="H20" s="423" t="e">
        <f>VLOOKUP(G20,'Part List'!B:D,2,FALSE)</f>
        <v>#N/A</v>
      </c>
    </row>
    <row r="21" spans="1:8" x14ac:dyDescent="0.4">
      <c r="A21" s="114" t="s">
        <v>1089</v>
      </c>
      <c r="B21" s="114" t="s">
        <v>1072</v>
      </c>
      <c r="C21" s="114" t="s">
        <v>1090</v>
      </c>
      <c r="D21" s="423">
        <f>VLOOKUP(C21,'Part List'!B:D,2,FALSE)</f>
        <v>999999</v>
      </c>
      <c r="H21" s="423" t="e">
        <f>VLOOKUP(G21,'Part List'!B:D,2,FALSE)</f>
        <v>#N/A</v>
      </c>
    </row>
    <row r="22" spans="1:8" x14ac:dyDescent="0.4">
      <c r="A22" s="114" t="s">
        <v>1091</v>
      </c>
      <c r="B22" s="114" t="s">
        <v>1072</v>
      </c>
      <c r="C22" s="114" t="s">
        <v>1092</v>
      </c>
      <c r="D22" s="423">
        <f>VLOOKUP(C22,'Part List'!B:D,2,FALSE)</f>
        <v>999999</v>
      </c>
      <c r="H22" s="423" t="e">
        <f>VLOOKUP(G22,'Part List'!B:D,2,FALSE)</f>
        <v>#N/A</v>
      </c>
    </row>
    <row r="23" spans="1:8" x14ac:dyDescent="0.4">
      <c r="A23" s="114" t="s">
        <v>1093</v>
      </c>
      <c r="B23" s="114" t="s">
        <v>1072</v>
      </c>
      <c r="C23" s="114" t="s">
        <v>1094</v>
      </c>
      <c r="D23" s="423">
        <f>VLOOKUP(C23,'Part List'!B:D,2,FALSE)</f>
        <v>999999</v>
      </c>
      <c r="H23" s="423" t="e">
        <f>VLOOKUP(G23,'Part List'!B:D,2,FALSE)</f>
        <v>#N/A</v>
      </c>
    </row>
    <row r="24" spans="1:8" x14ac:dyDescent="0.4">
      <c r="A24" s="114" t="s">
        <v>1095</v>
      </c>
      <c r="B24" s="114" t="s">
        <v>1072</v>
      </c>
      <c r="C24" s="114" t="s">
        <v>1096</v>
      </c>
      <c r="D24" s="423">
        <f>VLOOKUP(C24,'Part List'!B:D,2,FALSE)</f>
        <v>999999</v>
      </c>
      <c r="H24" s="423" t="e">
        <f>VLOOKUP(G24,'Part List'!B:D,2,FALSE)</f>
        <v>#N/A</v>
      </c>
    </row>
    <row r="25" spans="1:8" x14ac:dyDescent="0.4">
      <c r="A25" s="114" t="s">
        <v>1097</v>
      </c>
      <c r="B25" s="114" t="s">
        <v>1072</v>
      </c>
      <c r="C25" s="114" t="s">
        <v>1098</v>
      </c>
      <c r="D25" s="423">
        <f>VLOOKUP(C25,'Part List'!B:D,2,FALSE)</f>
        <v>999999</v>
      </c>
      <c r="H25" s="423" t="e">
        <f>VLOOKUP(G25,'Part List'!B:D,2,FALSE)</f>
        <v>#N/A</v>
      </c>
    </row>
    <row r="26" spans="1:8" x14ac:dyDescent="0.4">
      <c r="A26" s="114" t="s">
        <v>1099</v>
      </c>
      <c r="B26" s="114" t="s">
        <v>1072</v>
      </c>
      <c r="C26" s="114" t="s">
        <v>1100</v>
      </c>
      <c r="D26" s="423">
        <f>VLOOKUP(C26,'Part List'!B:D,2,FALSE)</f>
        <v>999999</v>
      </c>
      <c r="H26" s="423" t="e">
        <f>VLOOKUP(G26,'Part List'!B:D,2,FALSE)</f>
        <v>#N/A</v>
      </c>
    </row>
    <row r="27" spans="1:8" x14ac:dyDescent="0.4">
      <c r="A27" s="114" t="s">
        <v>1101</v>
      </c>
      <c r="B27" s="114" t="s">
        <v>1072</v>
      </c>
      <c r="C27" s="114" t="s">
        <v>1102</v>
      </c>
      <c r="D27" s="423">
        <f>VLOOKUP(C27,'Part List'!B:D,2,FALSE)</f>
        <v>999999</v>
      </c>
      <c r="H27" s="423" t="e">
        <f>VLOOKUP(G27,'Part List'!B:D,2,FALSE)</f>
        <v>#N/A</v>
      </c>
    </row>
    <row r="28" spans="1:8" x14ac:dyDescent="0.4">
      <c r="A28" s="114" t="s">
        <v>1103</v>
      </c>
      <c r="B28" s="114" t="s">
        <v>1072</v>
      </c>
      <c r="C28" s="114" t="s">
        <v>1104</v>
      </c>
      <c r="D28" s="423">
        <f>VLOOKUP(C28,'Part List'!B:D,2,FALSE)</f>
        <v>999999</v>
      </c>
      <c r="H28" s="423" t="e">
        <f>VLOOKUP(G28,'Part List'!B:D,2,FALSE)</f>
        <v>#N/A</v>
      </c>
    </row>
    <row r="29" spans="1:8" x14ac:dyDescent="0.4">
      <c r="A29" s="114" t="s">
        <v>1105</v>
      </c>
      <c r="B29" s="114" t="s">
        <v>1072</v>
      </c>
      <c r="C29" s="114" t="s">
        <v>1106</v>
      </c>
      <c r="D29" s="423">
        <f>VLOOKUP(C29,'Part List'!B:D,2,FALSE)</f>
        <v>999999</v>
      </c>
      <c r="H29" s="423" t="e">
        <f>VLOOKUP(G29,'Part List'!B:D,2,FALSE)</f>
        <v>#N/A</v>
      </c>
    </row>
    <row r="30" spans="1:8" x14ac:dyDescent="0.4">
      <c r="A30" s="114" t="s">
        <v>1107</v>
      </c>
      <c r="B30" s="114" t="s">
        <v>1072</v>
      </c>
      <c r="C30" s="114" t="s">
        <v>1108</v>
      </c>
      <c r="D30" s="423">
        <f>VLOOKUP(C30,'Part List'!B:D,2,FALSE)</f>
        <v>999999</v>
      </c>
      <c r="H30" s="423" t="e">
        <f>VLOOKUP(G30,'Part List'!B:D,2,FALSE)</f>
        <v>#N/A</v>
      </c>
    </row>
    <row r="31" spans="1:8" x14ac:dyDescent="0.4">
      <c r="A31" s="114" t="s">
        <v>1109</v>
      </c>
      <c r="B31" s="114" t="s">
        <v>1072</v>
      </c>
      <c r="C31" s="114" t="s">
        <v>1110</v>
      </c>
      <c r="D31" s="423">
        <f>VLOOKUP(C31,'Part List'!B:D,2,FALSE)</f>
        <v>999999</v>
      </c>
      <c r="H31" s="423" t="e">
        <f>VLOOKUP(G31,'Part List'!B:D,2,FALSE)</f>
        <v>#N/A</v>
      </c>
    </row>
    <row r="32" spans="1:8" x14ac:dyDescent="0.4">
      <c r="A32" s="114" t="s">
        <v>1111</v>
      </c>
      <c r="B32" s="114" t="s">
        <v>1072</v>
      </c>
      <c r="C32" s="114" t="s">
        <v>1112</v>
      </c>
      <c r="D32" s="423">
        <f>VLOOKUP(C32,'Part List'!B:D,2,FALSE)</f>
        <v>999999</v>
      </c>
      <c r="H32" s="423" t="e">
        <f>VLOOKUP(G32,'Part List'!B:D,2,FALSE)</f>
        <v>#N/A</v>
      </c>
    </row>
    <row r="33" spans="1:8" x14ac:dyDescent="0.4">
      <c r="A33" s="114" t="s">
        <v>1113</v>
      </c>
      <c r="B33" s="114" t="s">
        <v>1072</v>
      </c>
      <c r="C33" s="114" t="s">
        <v>1114</v>
      </c>
      <c r="D33" s="423">
        <f>VLOOKUP(C33,'Part List'!B:D,2,FALSE)</f>
        <v>999999</v>
      </c>
      <c r="H33" s="423" t="e">
        <f>VLOOKUP(G33,'Part List'!B:D,2,FALSE)</f>
        <v>#N/A</v>
      </c>
    </row>
    <row r="34" spans="1:8" x14ac:dyDescent="0.4">
      <c r="A34" s="114" t="s">
        <v>1115</v>
      </c>
      <c r="B34" s="114" t="s">
        <v>1072</v>
      </c>
      <c r="C34" s="114" t="s">
        <v>1116</v>
      </c>
      <c r="D34" s="423">
        <f>VLOOKUP(C34,'Part List'!B:D,2,FALSE)</f>
        <v>999999</v>
      </c>
      <c r="H34" s="423" t="e">
        <f>VLOOKUP(G34,'Part List'!B:D,2,FALSE)</f>
        <v>#N/A</v>
      </c>
    </row>
    <row r="35" spans="1:8" x14ac:dyDescent="0.4">
      <c r="A35" s="114" t="s">
        <v>1117</v>
      </c>
      <c r="B35" s="114" t="s">
        <v>1072</v>
      </c>
      <c r="C35" s="114" t="s">
        <v>1118</v>
      </c>
      <c r="D35" s="423">
        <f>VLOOKUP(C35,'Part List'!B:D,2,FALSE)</f>
        <v>999999</v>
      </c>
      <c r="H35" s="423" t="e">
        <f>VLOOKUP(G35,'Part List'!B:D,2,FALSE)</f>
        <v>#N/A</v>
      </c>
    </row>
    <row r="36" spans="1:8" x14ac:dyDescent="0.4">
      <c r="A36" s="114" t="s">
        <v>1119</v>
      </c>
      <c r="B36" s="114" t="s">
        <v>1072</v>
      </c>
      <c r="C36" s="114" t="s">
        <v>1120</v>
      </c>
      <c r="D36" s="423">
        <f>VLOOKUP(C36,'Part List'!B:D,2,FALSE)</f>
        <v>999999</v>
      </c>
      <c r="H36" s="423" t="e">
        <f>VLOOKUP(G36,'Part List'!B:D,2,FALSE)</f>
        <v>#N/A</v>
      </c>
    </row>
    <row r="37" spans="1:8" x14ac:dyDescent="0.4">
      <c r="A37" s="114" t="s">
        <v>1121</v>
      </c>
      <c r="B37" s="114" t="s">
        <v>1072</v>
      </c>
      <c r="C37" s="114" t="s">
        <v>1122</v>
      </c>
      <c r="D37" s="423">
        <f>VLOOKUP(C37,'Part List'!B:D,2,FALSE)</f>
        <v>999999</v>
      </c>
      <c r="H37" s="423" t="e">
        <f>VLOOKUP(G37,'Part List'!B:D,2,FALSE)</f>
        <v>#N/A</v>
      </c>
    </row>
    <row r="38" spans="1:8" x14ac:dyDescent="0.4">
      <c r="A38" s="114" t="s">
        <v>1123</v>
      </c>
      <c r="B38" s="114" t="s">
        <v>1072</v>
      </c>
      <c r="C38" s="114" t="s">
        <v>1124</v>
      </c>
      <c r="D38" s="423">
        <f>VLOOKUP(C38,'Part List'!B:D,2,FALSE)</f>
        <v>999999</v>
      </c>
      <c r="H38" s="423" t="e">
        <f>VLOOKUP(G38,'Part List'!B:D,2,FALSE)</f>
        <v>#N/A</v>
      </c>
    </row>
    <row r="39" spans="1:8" x14ac:dyDescent="0.4">
      <c r="A39" s="114" t="s">
        <v>1125</v>
      </c>
      <c r="B39" s="114" t="s">
        <v>1072</v>
      </c>
      <c r="C39" s="114" t="s">
        <v>1126</v>
      </c>
      <c r="D39" s="423">
        <f>VLOOKUP(C39,'Part List'!B:D,2,FALSE)</f>
        <v>999999</v>
      </c>
      <c r="H39" s="423" t="e">
        <f>VLOOKUP(G39,'Part List'!B:D,2,FALSE)</f>
        <v>#N/A</v>
      </c>
    </row>
    <row r="40" spans="1:8" x14ac:dyDescent="0.4">
      <c r="A40" s="114" t="s">
        <v>1127</v>
      </c>
      <c r="B40" s="114" t="s">
        <v>1072</v>
      </c>
      <c r="C40" s="114" t="s">
        <v>1128</v>
      </c>
      <c r="D40" s="423">
        <f>VLOOKUP(C40,'Part List'!B:D,2,FALSE)</f>
        <v>999999</v>
      </c>
      <c r="H40" s="423" t="e">
        <f>VLOOKUP(G40,'Part List'!B:D,2,FALSE)</f>
        <v>#N/A</v>
      </c>
    </row>
    <row r="41" spans="1:8" x14ac:dyDescent="0.4">
      <c r="A41" s="114" t="s">
        <v>1129</v>
      </c>
      <c r="B41" s="114" t="s">
        <v>1072</v>
      </c>
      <c r="C41" s="114" t="s">
        <v>1130</v>
      </c>
      <c r="D41" s="423">
        <f>VLOOKUP(C41,'Part List'!B:D,2,FALSE)</f>
        <v>999999</v>
      </c>
      <c r="H41" s="423" t="e">
        <f>VLOOKUP(G41,'Part List'!B:D,2,FALSE)</f>
        <v>#N/A</v>
      </c>
    </row>
    <row r="42" spans="1:8" x14ac:dyDescent="0.4">
      <c r="A42" s="114" t="s">
        <v>1131</v>
      </c>
      <c r="B42" s="114" t="s">
        <v>1072</v>
      </c>
      <c r="C42" s="114" t="s">
        <v>1132</v>
      </c>
      <c r="D42" s="423">
        <f>VLOOKUP(C42,'Part List'!B:D,2,FALSE)</f>
        <v>999999</v>
      </c>
      <c r="H42" s="423" t="e">
        <f>VLOOKUP(G42,'Part List'!B:D,2,FALSE)</f>
        <v>#N/A</v>
      </c>
    </row>
    <row r="43" spans="1:8" x14ac:dyDescent="0.4">
      <c r="A43" s="114" t="s">
        <v>1133</v>
      </c>
      <c r="B43" s="114" t="s">
        <v>1072</v>
      </c>
      <c r="C43" s="114" t="s">
        <v>1134</v>
      </c>
      <c r="D43" s="423">
        <f>VLOOKUP(C43,'Part List'!B:D,2,FALSE)</f>
        <v>999999</v>
      </c>
      <c r="H43" s="423" t="e">
        <f>VLOOKUP(G43,'Part List'!B:D,2,FALSE)</f>
        <v>#N/A</v>
      </c>
    </row>
    <row r="44" spans="1:8" x14ac:dyDescent="0.4">
      <c r="A44" s="114" t="s">
        <v>1135</v>
      </c>
      <c r="B44" s="114" t="s">
        <v>1072</v>
      </c>
      <c r="C44" s="114" t="s">
        <v>1136</v>
      </c>
      <c r="D44" s="423">
        <f>VLOOKUP(C44,'Part List'!B:D,2,FALSE)</f>
        <v>999999</v>
      </c>
      <c r="H44" s="423" t="e">
        <f>VLOOKUP(G44,'Part List'!B:D,2,FALSE)</f>
        <v>#N/A</v>
      </c>
    </row>
    <row r="45" spans="1:8" x14ac:dyDescent="0.4">
      <c r="A45" s="114" t="s">
        <v>1137</v>
      </c>
      <c r="B45" s="114" t="s">
        <v>1072</v>
      </c>
      <c r="C45" s="114" t="s">
        <v>1138</v>
      </c>
      <c r="D45" s="423">
        <f>VLOOKUP(C45,'Part List'!B:D,2,FALSE)</f>
        <v>999999</v>
      </c>
      <c r="H45" s="423" t="e">
        <f>VLOOKUP(G45,'Part List'!B:D,2,FALSE)</f>
        <v>#N/A</v>
      </c>
    </row>
    <row r="46" spans="1:8" x14ac:dyDescent="0.4">
      <c r="A46" s="114" t="s">
        <v>1139</v>
      </c>
      <c r="B46" s="114" t="s">
        <v>1072</v>
      </c>
      <c r="C46" s="114" t="s">
        <v>1140</v>
      </c>
      <c r="D46" s="423">
        <f>VLOOKUP(C46,'Part List'!B:D,2,FALSE)</f>
        <v>999999</v>
      </c>
      <c r="H46" s="423" t="e">
        <f>VLOOKUP(G46,'Part List'!B:D,2,FALSE)</f>
        <v>#N/A</v>
      </c>
    </row>
    <row r="47" spans="1:8" x14ac:dyDescent="0.4">
      <c r="A47" s="114" t="s">
        <v>1141</v>
      </c>
      <c r="B47" s="114" t="s">
        <v>1072</v>
      </c>
      <c r="C47" s="114" t="s">
        <v>1142</v>
      </c>
      <c r="D47" s="423">
        <f>VLOOKUP(C47,'Part List'!B:D,2,FALSE)</f>
        <v>999999</v>
      </c>
      <c r="H47" s="423" t="e">
        <f>VLOOKUP(G47,'Part List'!B:D,2,FALSE)</f>
        <v>#N/A</v>
      </c>
    </row>
    <row r="48" spans="1:8" x14ac:dyDescent="0.4">
      <c r="A48" s="114" t="s">
        <v>1143</v>
      </c>
      <c r="B48" s="114" t="s">
        <v>1072</v>
      </c>
      <c r="C48" s="114" t="s">
        <v>1144</v>
      </c>
      <c r="D48" s="423">
        <f>VLOOKUP(C48,'Part List'!B:D,2,FALSE)</f>
        <v>999999</v>
      </c>
      <c r="H48" s="423" t="e">
        <f>VLOOKUP(G48,'Part List'!B:D,2,FALSE)</f>
        <v>#N/A</v>
      </c>
    </row>
    <row r="49" spans="1:8" x14ac:dyDescent="0.4">
      <c r="A49" s="114" t="s">
        <v>1145</v>
      </c>
      <c r="B49" s="114" t="s">
        <v>1072</v>
      </c>
      <c r="C49" s="114" t="s">
        <v>1146</v>
      </c>
      <c r="D49" s="423">
        <f>VLOOKUP(C49,'Part List'!B:D,2,FALSE)</f>
        <v>999999</v>
      </c>
      <c r="H49" s="423" t="e">
        <f>VLOOKUP(G49,'Part List'!B:D,2,FALSE)</f>
        <v>#N/A</v>
      </c>
    </row>
    <row r="50" spans="1:8" x14ac:dyDescent="0.4">
      <c r="A50" s="114" t="s">
        <v>1147</v>
      </c>
      <c r="B50" s="114" t="s">
        <v>1072</v>
      </c>
      <c r="C50" s="114" t="s">
        <v>1148</v>
      </c>
      <c r="D50" s="423">
        <f>VLOOKUP(C50,'Part List'!B:D,2,FALSE)</f>
        <v>999999</v>
      </c>
      <c r="H50" s="423" t="e">
        <f>VLOOKUP(G50,'Part List'!B:D,2,FALSE)</f>
        <v>#N/A</v>
      </c>
    </row>
    <row r="51" spans="1:8" x14ac:dyDescent="0.4">
      <c r="A51" s="114" t="s">
        <v>1149</v>
      </c>
      <c r="B51" s="114" t="s">
        <v>1072</v>
      </c>
      <c r="C51" s="114" t="s">
        <v>1150</v>
      </c>
      <c r="D51" s="423">
        <f>VLOOKUP(C51,'Part List'!B:D,2,FALSE)</f>
        <v>999999</v>
      </c>
      <c r="H51" s="423" t="e">
        <f>VLOOKUP(G51,'Part List'!B:D,2,FALSE)</f>
        <v>#N/A</v>
      </c>
    </row>
    <row r="52" spans="1:8" x14ac:dyDescent="0.4">
      <c r="A52" s="114" t="s">
        <v>1151</v>
      </c>
      <c r="B52" s="114" t="s">
        <v>1072</v>
      </c>
      <c r="C52" s="114" t="s">
        <v>1152</v>
      </c>
      <c r="D52" s="423">
        <f>VLOOKUP(C52,'Part List'!B:D,2,FALSE)</f>
        <v>999999</v>
      </c>
      <c r="H52" s="423" t="e">
        <f>VLOOKUP(G52,'Part List'!B:D,2,FALSE)</f>
        <v>#N/A</v>
      </c>
    </row>
    <row r="53" spans="1:8" x14ac:dyDescent="0.4">
      <c r="A53" s="114" t="s">
        <v>1153</v>
      </c>
      <c r="B53" s="114" t="s">
        <v>1072</v>
      </c>
      <c r="C53" s="114" t="s">
        <v>1154</v>
      </c>
      <c r="D53" s="423">
        <f>VLOOKUP(C53,'Part List'!B:D,2,FALSE)</f>
        <v>999999</v>
      </c>
      <c r="H53" s="423" t="e">
        <f>VLOOKUP(G53,'Part List'!B:D,2,FALSE)</f>
        <v>#N/A</v>
      </c>
    </row>
    <row r="54" spans="1:8" x14ac:dyDescent="0.4">
      <c r="A54" s="114" t="s">
        <v>1155</v>
      </c>
      <c r="B54" s="114" t="s">
        <v>1072</v>
      </c>
      <c r="C54" s="114" t="s">
        <v>1156</v>
      </c>
      <c r="D54" s="423">
        <f>VLOOKUP(C54,'Part List'!B:D,2,FALSE)</f>
        <v>999999</v>
      </c>
      <c r="H54" s="423" t="e">
        <f>VLOOKUP(G54,'Part List'!B:D,2,FALSE)</f>
        <v>#N/A</v>
      </c>
    </row>
    <row r="55" spans="1:8" x14ac:dyDescent="0.4">
      <c r="A55" s="114" t="s">
        <v>1157</v>
      </c>
      <c r="B55" s="114" t="s">
        <v>1072</v>
      </c>
      <c r="C55" s="114" t="s">
        <v>1158</v>
      </c>
      <c r="D55" s="423">
        <f>VLOOKUP(C55,'Part List'!B:D,2,FALSE)</f>
        <v>999999</v>
      </c>
      <c r="H55" s="423" t="e">
        <f>VLOOKUP(G55,'Part List'!B:D,2,FALSE)</f>
        <v>#N/A</v>
      </c>
    </row>
    <row r="56" spans="1:8" x14ac:dyDescent="0.4">
      <c r="A56" s="114" t="s">
        <v>1159</v>
      </c>
      <c r="B56" s="114" t="s">
        <v>1072</v>
      </c>
      <c r="C56" s="114" t="s">
        <v>1160</v>
      </c>
      <c r="D56" s="423">
        <f>VLOOKUP(C56,'Part List'!B:D,2,FALSE)</f>
        <v>999999</v>
      </c>
      <c r="H56" s="423" t="e">
        <f>VLOOKUP(G56,'Part List'!B:D,2,FALSE)</f>
        <v>#N/A</v>
      </c>
    </row>
    <row r="57" spans="1:8" x14ac:dyDescent="0.4">
      <c r="A57" s="114" t="s">
        <v>1161</v>
      </c>
      <c r="B57" s="114" t="s">
        <v>1072</v>
      </c>
      <c r="C57" s="114" t="s">
        <v>1162</v>
      </c>
      <c r="D57" s="423">
        <f>VLOOKUP(C57,'Part List'!B:D,2,FALSE)</f>
        <v>999999</v>
      </c>
      <c r="H57" s="423" t="e">
        <f>VLOOKUP(G57,'Part List'!B:D,2,FALSE)</f>
        <v>#N/A</v>
      </c>
    </row>
    <row r="58" spans="1:8" x14ac:dyDescent="0.4">
      <c r="A58" s="114" t="s">
        <v>1163</v>
      </c>
      <c r="B58" s="114" t="s">
        <v>1072</v>
      </c>
      <c r="C58" s="114" t="s">
        <v>1164</v>
      </c>
      <c r="D58" s="423">
        <f>VLOOKUP(C58,'Part List'!B:D,2,FALSE)</f>
        <v>999999</v>
      </c>
      <c r="H58" s="423" t="e">
        <f>VLOOKUP(G58,'Part List'!B:D,2,FALSE)</f>
        <v>#N/A</v>
      </c>
    </row>
    <row r="59" spans="1:8" x14ac:dyDescent="0.4">
      <c r="A59" s="114" t="s">
        <v>1165</v>
      </c>
      <c r="B59" s="114" t="s">
        <v>1072</v>
      </c>
      <c r="C59" s="114" t="s">
        <v>1166</v>
      </c>
      <c r="D59" s="423">
        <f>VLOOKUP(C59,'Part List'!B:D,2,FALSE)</f>
        <v>999999</v>
      </c>
      <c r="H59" s="423" t="e">
        <f>VLOOKUP(G59,'Part List'!B:D,2,FALSE)</f>
        <v>#N/A</v>
      </c>
    </row>
    <row r="60" spans="1:8" x14ac:dyDescent="0.4">
      <c r="A60" s="114" t="s">
        <v>1167</v>
      </c>
      <c r="B60" s="114" t="s">
        <v>1072</v>
      </c>
      <c r="C60" s="114" t="s">
        <v>1168</v>
      </c>
      <c r="D60" s="423">
        <f>VLOOKUP(C60,'Part List'!B:D,2,FALSE)</f>
        <v>999999</v>
      </c>
      <c r="H60" s="423" t="e">
        <f>VLOOKUP(G60,'Part List'!B:D,2,FALSE)</f>
        <v>#N/A</v>
      </c>
    </row>
    <row r="61" spans="1:8" x14ac:dyDescent="0.4">
      <c r="A61" s="114" t="s">
        <v>1169</v>
      </c>
      <c r="B61" s="114" t="s">
        <v>1072</v>
      </c>
      <c r="C61" s="114" t="s">
        <v>1170</v>
      </c>
      <c r="D61" s="423">
        <f>VLOOKUP(C61,'Part List'!B:D,2,FALSE)</f>
        <v>999999</v>
      </c>
      <c r="H61" s="423" t="e">
        <f>VLOOKUP(G61,'Part List'!B:D,2,FALSE)</f>
        <v>#N/A</v>
      </c>
    </row>
    <row r="62" spans="1:8" x14ac:dyDescent="0.4">
      <c r="A62" s="114" t="s">
        <v>1171</v>
      </c>
      <c r="B62" s="114" t="s">
        <v>1072</v>
      </c>
      <c r="C62" s="114" t="s">
        <v>1172</v>
      </c>
      <c r="D62" s="423">
        <f>VLOOKUP(C62,'Part List'!B:D,2,FALSE)</f>
        <v>999999</v>
      </c>
      <c r="H62" s="423" t="e">
        <f>VLOOKUP(G62,'Part List'!B:D,2,FALSE)</f>
        <v>#N/A</v>
      </c>
    </row>
    <row r="63" spans="1:8" x14ac:dyDescent="0.4">
      <c r="A63" s="114" t="s">
        <v>1173</v>
      </c>
      <c r="B63" s="114" t="s">
        <v>1072</v>
      </c>
      <c r="C63" s="114" t="s">
        <v>1174</v>
      </c>
      <c r="D63" s="423">
        <f>VLOOKUP(C63,'Part List'!B:D,2,FALSE)</f>
        <v>999999</v>
      </c>
      <c r="H63" s="423" t="e">
        <f>VLOOKUP(G63,'Part List'!B:D,2,FALSE)</f>
        <v>#N/A</v>
      </c>
    </row>
    <row r="64" spans="1:8" x14ac:dyDescent="0.4">
      <c r="A64" s="114" t="s">
        <v>1175</v>
      </c>
      <c r="B64" s="114" t="s">
        <v>1072</v>
      </c>
      <c r="C64" s="114" t="s">
        <v>1176</v>
      </c>
      <c r="D64" s="423">
        <f>VLOOKUP(C64,'Part List'!B:D,2,FALSE)</f>
        <v>999999</v>
      </c>
      <c r="H64" s="423" t="e">
        <f>VLOOKUP(G64,'Part List'!B:D,2,FALSE)</f>
        <v>#N/A</v>
      </c>
    </row>
    <row r="65" spans="1:8" x14ac:dyDescent="0.4">
      <c r="A65" s="114" t="s">
        <v>1177</v>
      </c>
      <c r="B65" s="114" t="s">
        <v>1072</v>
      </c>
      <c r="C65" s="114" t="s">
        <v>1178</v>
      </c>
      <c r="D65" s="423">
        <f>VLOOKUP(C65,'Part List'!B:D,2,FALSE)</f>
        <v>999999</v>
      </c>
      <c r="H65" s="423" t="e">
        <f>VLOOKUP(G65,'Part List'!B:D,2,FALSE)</f>
        <v>#N/A</v>
      </c>
    </row>
    <row r="66" spans="1:8" x14ac:dyDescent="0.4">
      <c r="A66" s="114" t="s">
        <v>1179</v>
      </c>
      <c r="B66" s="114" t="s">
        <v>1072</v>
      </c>
      <c r="C66" s="114" t="s">
        <v>1180</v>
      </c>
      <c r="D66" s="423">
        <f>VLOOKUP(C66,'Part List'!B:D,2,FALSE)</f>
        <v>999999</v>
      </c>
      <c r="H66" s="423" t="e">
        <f>VLOOKUP(G66,'Part List'!B:D,2,FALSE)</f>
        <v>#N/A</v>
      </c>
    </row>
    <row r="67" spans="1:8" x14ac:dyDescent="0.4">
      <c r="A67" s="114" t="s">
        <v>1181</v>
      </c>
      <c r="B67" s="114" t="s">
        <v>1072</v>
      </c>
      <c r="C67" s="114" t="s">
        <v>1182</v>
      </c>
      <c r="D67" s="423">
        <f>VLOOKUP(C67,'Part List'!B:D,2,FALSE)</f>
        <v>999999</v>
      </c>
      <c r="H67" s="423" t="e">
        <f>VLOOKUP(G67,'Part List'!B:D,2,FALSE)</f>
        <v>#N/A</v>
      </c>
    </row>
    <row r="68" spans="1:8" x14ac:dyDescent="0.4">
      <c r="A68" s="114" t="s">
        <v>1183</v>
      </c>
      <c r="B68" s="114" t="s">
        <v>1072</v>
      </c>
      <c r="C68" s="114" t="s">
        <v>1184</v>
      </c>
      <c r="D68" s="423">
        <f>VLOOKUP(C68,'Part List'!B:D,2,FALSE)</f>
        <v>999999</v>
      </c>
      <c r="H68" s="423" t="e">
        <f>VLOOKUP(G68,'Part List'!B:D,2,FALSE)</f>
        <v>#N/A</v>
      </c>
    </row>
    <row r="69" spans="1:8" x14ac:dyDescent="0.4">
      <c r="A69" s="114" t="s">
        <v>1185</v>
      </c>
      <c r="B69" s="114" t="s">
        <v>1072</v>
      </c>
      <c r="C69" s="114" t="s">
        <v>1186</v>
      </c>
      <c r="D69" s="423">
        <f>VLOOKUP(C69,'Part List'!B:D,2,FALSE)</f>
        <v>999999</v>
      </c>
      <c r="H69" s="423" t="e">
        <f>VLOOKUP(G69,'Part List'!B:D,2,FALSE)</f>
        <v>#N/A</v>
      </c>
    </row>
    <row r="70" spans="1:8" x14ac:dyDescent="0.4">
      <c r="A70" s="114" t="s">
        <v>1187</v>
      </c>
      <c r="B70" s="114" t="s">
        <v>1072</v>
      </c>
      <c r="C70" s="114" t="s">
        <v>1188</v>
      </c>
      <c r="D70" s="423">
        <f>VLOOKUP(C70,'Part List'!B:D,2,FALSE)</f>
        <v>999999</v>
      </c>
      <c r="H70" s="423" t="e">
        <f>VLOOKUP(G70,'Part List'!B:D,2,FALSE)</f>
        <v>#N/A</v>
      </c>
    </row>
    <row r="71" spans="1:8" x14ac:dyDescent="0.4">
      <c r="A71" s="114" t="s">
        <v>1189</v>
      </c>
      <c r="B71" s="114" t="s">
        <v>1072</v>
      </c>
      <c r="C71" s="114" t="s">
        <v>1190</v>
      </c>
      <c r="D71" s="423">
        <f>VLOOKUP(C71,'Part List'!B:D,2,FALSE)</f>
        <v>999999</v>
      </c>
      <c r="H71" s="423" t="e">
        <f>VLOOKUP(G71,'Part List'!B:D,2,FALSE)</f>
        <v>#N/A</v>
      </c>
    </row>
    <row r="72" spans="1:8" x14ac:dyDescent="0.4">
      <c r="A72" s="114" t="s">
        <v>1191</v>
      </c>
      <c r="B72" s="114" t="s">
        <v>1072</v>
      </c>
      <c r="C72" s="114" t="s">
        <v>1192</v>
      </c>
      <c r="D72" s="423">
        <f>VLOOKUP(C72,'Part List'!B:D,2,FALSE)</f>
        <v>999999</v>
      </c>
      <c r="H72" s="423" t="e">
        <f>VLOOKUP(G72,'Part List'!B:D,2,FALSE)</f>
        <v>#N/A</v>
      </c>
    </row>
    <row r="73" spans="1:8" x14ac:dyDescent="0.4">
      <c r="A73" s="114" t="s">
        <v>1193</v>
      </c>
      <c r="B73" s="114" t="s">
        <v>1072</v>
      </c>
      <c r="C73" s="114" t="s">
        <v>1194</v>
      </c>
      <c r="D73" s="423">
        <f>VLOOKUP(C73,'Part List'!B:D,2,FALSE)</f>
        <v>999999</v>
      </c>
      <c r="H73" s="423" t="e">
        <f>VLOOKUP(G73,'Part List'!B:D,2,FALSE)</f>
        <v>#N/A</v>
      </c>
    </row>
    <row r="74" spans="1:8" x14ac:dyDescent="0.4">
      <c r="A74" s="114" t="s">
        <v>1195</v>
      </c>
      <c r="B74" s="114" t="s">
        <v>1072</v>
      </c>
      <c r="C74" s="114" t="s">
        <v>1196</v>
      </c>
      <c r="D74" s="423">
        <f>VLOOKUP(C74,'Part List'!B:D,2,FALSE)</f>
        <v>999999</v>
      </c>
      <c r="H74" s="423" t="e">
        <f>VLOOKUP(G74,'Part List'!B:D,2,FALSE)</f>
        <v>#N/A</v>
      </c>
    </row>
    <row r="75" spans="1:8" x14ac:dyDescent="0.4">
      <c r="A75" s="114" t="s">
        <v>1197</v>
      </c>
      <c r="B75" s="114" t="s">
        <v>1072</v>
      </c>
      <c r="C75" s="114" t="s">
        <v>1198</v>
      </c>
      <c r="D75" s="423">
        <f>VLOOKUP(C75,'Part List'!B:D,2,FALSE)</f>
        <v>999999</v>
      </c>
      <c r="H75" s="423" t="e">
        <f>VLOOKUP(G75,'Part List'!B:D,2,FALSE)</f>
        <v>#N/A</v>
      </c>
    </row>
    <row r="76" spans="1:8" x14ac:dyDescent="0.4">
      <c r="A76" s="114" t="s">
        <v>1199</v>
      </c>
      <c r="B76" s="114" t="s">
        <v>1072</v>
      </c>
      <c r="C76" s="114" t="s">
        <v>1200</v>
      </c>
      <c r="D76" s="423">
        <f>VLOOKUP(C76,'Part List'!B:D,2,FALSE)</f>
        <v>999999</v>
      </c>
      <c r="H76" s="423" t="e">
        <f>VLOOKUP(G76,'Part List'!B:D,2,FALSE)</f>
        <v>#N/A</v>
      </c>
    </row>
    <row r="77" spans="1:8" x14ac:dyDescent="0.4">
      <c r="A77" s="114" t="s">
        <v>1201</v>
      </c>
      <c r="B77" s="114" t="s">
        <v>1072</v>
      </c>
      <c r="C77" s="114" t="s">
        <v>1202</v>
      </c>
      <c r="D77" s="423">
        <f>VLOOKUP(C77,'Part List'!B:D,2,FALSE)</f>
        <v>999999</v>
      </c>
      <c r="H77" s="423" t="e">
        <f>VLOOKUP(G77,'Part List'!B:D,2,FALSE)</f>
        <v>#N/A</v>
      </c>
    </row>
    <row r="78" spans="1:8" x14ac:dyDescent="0.4">
      <c r="A78" s="114" t="s">
        <v>1203</v>
      </c>
      <c r="B78" s="114" t="s">
        <v>1072</v>
      </c>
      <c r="C78" s="114" t="s">
        <v>1204</v>
      </c>
      <c r="D78" s="423">
        <f>VLOOKUP(C78,'Part List'!B:D,2,FALSE)</f>
        <v>999999</v>
      </c>
      <c r="H78" s="423" t="e">
        <f>VLOOKUP(G78,'Part List'!B:D,2,FALSE)</f>
        <v>#N/A</v>
      </c>
    </row>
    <row r="79" spans="1:8" x14ac:dyDescent="0.4">
      <c r="A79" s="114" t="s">
        <v>1205</v>
      </c>
      <c r="B79" s="114" t="s">
        <v>1072</v>
      </c>
      <c r="C79" s="114" t="s">
        <v>1206</v>
      </c>
      <c r="D79" s="423">
        <f>VLOOKUP(C79,'Part List'!B:D,2,FALSE)</f>
        <v>999999</v>
      </c>
      <c r="H79" s="423" t="e">
        <f>VLOOKUP(G79,'Part List'!B:D,2,FALSE)</f>
        <v>#N/A</v>
      </c>
    </row>
    <row r="80" spans="1:8" x14ac:dyDescent="0.4">
      <c r="A80" s="114" t="s">
        <v>1207</v>
      </c>
      <c r="B80" s="114" t="s">
        <v>1072</v>
      </c>
      <c r="C80" s="114" t="s">
        <v>1208</v>
      </c>
      <c r="D80" s="423">
        <f>VLOOKUP(C80,'Part List'!B:D,2,FALSE)</f>
        <v>999999</v>
      </c>
      <c r="H80" s="423" t="e">
        <f>VLOOKUP(G80,'Part List'!B:D,2,FALSE)</f>
        <v>#N/A</v>
      </c>
    </row>
    <row r="81" spans="1:8" x14ac:dyDescent="0.4">
      <c r="A81" s="114" t="s">
        <v>1209</v>
      </c>
      <c r="B81" s="114" t="s">
        <v>1072</v>
      </c>
      <c r="C81" s="114" t="s">
        <v>1210</v>
      </c>
      <c r="D81" s="423">
        <f>VLOOKUP(C81,'Part List'!B:D,2,FALSE)</f>
        <v>999999</v>
      </c>
      <c r="H81" s="423" t="e">
        <f>VLOOKUP(G81,'Part List'!B:D,2,FALSE)</f>
        <v>#N/A</v>
      </c>
    </row>
    <row r="82" spans="1:8" x14ac:dyDescent="0.4">
      <c r="A82" s="114" t="s">
        <v>1211</v>
      </c>
      <c r="B82" s="114" t="s">
        <v>1072</v>
      </c>
      <c r="C82" s="114" t="s">
        <v>1212</v>
      </c>
      <c r="D82" s="423">
        <f>VLOOKUP(C82,'Part List'!B:D,2,FALSE)</f>
        <v>999999</v>
      </c>
      <c r="H82" s="423" t="e">
        <f>VLOOKUP(G82,'Part List'!B:D,2,FALSE)</f>
        <v>#N/A</v>
      </c>
    </row>
    <row r="83" spans="1:8" x14ac:dyDescent="0.4">
      <c r="A83" s="114" t="s">
        <v>1213</v>
      </c>
      <c r="B83" s="114" t="s">
        <v>1072</v>
      </c>
      <c r="C83" s="114" t="s">
        <v>1214</v>
      </c>
      <c r="D83" s="423">
        <f>VLOOKUP(C83,'Part List'!B:D,2,FALSE)</f>
        <v>999999</v>
      </c>
      <c r="H83" s="423" t="e">
        <f>VLOOKUP(G83,'Part List'!B:D,2,FALSE)</f>
        <v>#N/A</v>
      </c>
    </row>
    <row r="84" spans="1:8" x14ac:dyDescent="0.4">
      <c r="A84" s="114" t="s">
        <v>1215</v>
      </c>
      <c r="B84" s="114" t="s">
        <v>1072</v>
      </c>
      <c r="C84" s="114" t="s">
        <v>1216</v>
      </c>
      <c r="D84" s="423">
        <f>VLOOKUP(C84,'Part List'!B:D,2,FALSE)</f>
        <v>999999</v>
      </c>
      <c r="H84" s="423" t="e">
        <f>VLOOKUP(G84,'Part List'!B:D,2,FALSE)</f>
        <v>#N/A</v>
      </c>
    </row>
    <row r="85" spans="1:8" x14ac:dyDescent="0.4">
      <c r="A85" s="114" t="s">
        <v>1217</v>
      </c>
      <c r="B85" s="114" t="s">
        <v>1072</v>
      </c>
      <c r="C85" s="114" t="s">
        <v>1218</v>
      </c>
      <c r="D85" s="423">
        <f>VLOOKUP(C85,'Part List'!B:D,2,FALSE)</f>
        <v>999999</v>
      </c>
      <c r="H85" s="423" t="e">
        <f>VLOOKUP(G85,'Part List'!B:D,2,FALSE)</f>
        <v>#N/A</v>
      </c>
    </row>
    <row r="86" spans="1:8" x14ac:dyDescent="0.4">
      <c r="A86" s="114" t="s">
        <v>1219</v>
      </c>
      <c r="B86" s="114" t="s">
        <v>1072</v>
      </c>
      <c r="C86" s="114" t="s">
        <v>1220</v>
      </c>
      <c r="D86" s="423">
        <f>VLOOKUP(C86,'Part List'!B:D,2,FALSE)</f>
        <v>999999</v>
      </c>
      <c r="H86" s="423" t="e">
        <f>VLOOKUP(G86,'Part List'!B:D,2,FALSE)</f>
        <v>#N/A</v>
      </c>
    </row>
    <row r="87" spans="1:8" x14ac:dyDescent="0.4">
      <c r="A87" s="114" t="s">
        <v>1221</v>
      </c>
      <c r="B87" s="114" t="s">
        <v>1072</v>
      </c>
      <c r="C87" s="114" t="s">
        <v>1222</v>
      </c>
      <c r="D87" s="423">
        <f>VLOOKUP(C87,'Part List'!B:D,2,FALSE)</f>
        <v>999999</v>
      </c>
      <c r="H87" s="423" t="e">
        <f>VLOOKUP(G87,'Part List'!B:D,2,FALSE)</f>
        <v>#N/A</v>
      </c>
    </row>
    <row r="88" spans="1:8" x14ac:dyDescent="0.4">
      <c r="A88" s="114" t="s">
        <v>1223</v>
      </c>
      <c r="B88" s="114" t="s">
        <v>1072</v>
      </c>
      <c r="C88" s="114" t="s">
        <v>1224</v>
      </c>
      <c r="D88" s="423">
        <f>VLOOKUP(C88,'Part List'!B:D,2,FALSE)</f>
        <v>999999</v>
      </c>
      <c r="H88" s="423" t="e">
        <f>VLOOKUP(G88,'Part List'!B:D,2,FALSE)</f>
        <v>#N/A</v>
      </c>
    </row>
    <row r="89" spans="1:8" x14ac:dyDescent="0.4">
      <c r="A89" s="114" t="s">
        <v>1225</v>
      </c>
      <c r="B89" s="114" t="s">
        <v>1072</v>
      </c>
      <c r="C89" s="114" t="s">
        <v>1226</v>
      </c>
      <c r="D89" s="423">
        <f>VLOOKUP(C89,'Part List'!B:D,2,FALSE)</f>
        <v>999999</v>
      </c>
      <c r="H89" s="423" t="e">
        <f>VLOOKUP(G89,'Part List'!B:D,2,FALSE)</f>
        <v>#N/A</v>
      </c>
    </row>
    <row r="90" spans="1:8" x14ac:dyDescent="0.4">
      <c r="A90" s="114" t="s">
        <v>1227</v>
      </c>
      <c r="B90" s="114" t="s">
        <v>1072</v>
      </c>
      <c r="C90" s="114" t="s">
        <v>1228</v>
      </c>
      <c r="D90" s="423">
        <f>VLOOKUP(C90,'Part List'!B:D,2,FALSE)</f>
        <v>999999</v>
      </c>
      <c r="H90" s="423" t="e">
        <f>VLOOKUP(G90,'Part List'!B:D,2,FALSE)</f>
        <v>#N/A</v>
      </c>
    </row>
    <row r="91" spans="1:8" x14ac:dyDescent="0.4">
      <c r="A91" s="114" t="s">
        <v>1229</v>
      </c>
      <c r="B91" s="114" t="s">
        <v>1072</v>
      </c>
      <c r="C91" s="114" t="s">
        <v>1230</v>
      </c>
      <c r="D91" s="423">
        <f>VLOOKUP(C91,'Part List'!B:D,2,FALSE)</f>
        <v>999999</v>
      </c>
      <c r="H91" s="423" t="e">
        <f>VLOOKUP(G91,'Part List'!B:D,2,FALSE)</f>
        <v>#N/A</v>
      </c>
    </row>
    <row r="92" spans="1:8" x14ac:dyDescent="0.4">
      <c r="A92" s="114" t="s">
        <v>1231</v>
      </c>
      <c r="B92" s="114" t="s">
        <v>833</v>
      </c>
      <c r="C92" s="114" t="s">
        <v>1231</v>
      </c>
      <c r="D92" s="423">
        <f>VLOOKUP(C92,'Part List'!B:D,2,FALSE)</f>
        <v>62</v>
      </c>
      <c r="H92" s="423" t="e">
        <f>VLOOKUP(G92,'Part List'!B:D,2,FALSE)</f>
        <v>#N/A</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2"/>
  <sheetViews>
    <sheetView workbookViewId="0"/>
  </sheetViews>
  <sheetFormatPr defaultRowHeight="14.6" x14ac:dyDescent="0.4"/>
  <cols>
    <col min="2" max="2" width="27.53515625" customWidth="1"/>
    <col min="18" max="18" width="24.69140625" customWidth="1"/>
    <col min="19" max="19" width="10.074218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879</v>
      </c>
    </row>
    <row r="3" spans="1:22" x14ac:dyDescent="0.4">
      <c r="A3" s="114"/>
      <c r="B3" s="316" t="s">
        <v>844</v>
      </c>
      <c r="C3" s="316" t="s">
        <v>843</v>
      </c>
      <c r="D3" s="316" t="s">
        <v>842</v>
      </c>
      <c r="E3" s="316" t="s">
        <v>841</v>
      </c>
      <c r="F3" s="316" t="s">
        <v>840</v>
      </c>
      <c r="G3" s="114" t="s">
        <v>368</v>
      </c>
      <c r="I3" s="114"/>
      <c r="J3" s="316" t="s">
        <v>844</v>
      </c>
      <c r="K3" s="316" t="s">
        <v>843</v>
      </c>
      <c r="L3" s="316" t="s">
        <v>842</v>
      </c>
      <c r="M3" s="316" t="s">
        <v>841</v>
      </c>
      <c r="N3" s="316" t="s">
        <v>840</v>
      </c>
      <c r="O3" s="114" t="s">
        <v>864</v>
      </c>
      <c r="Q3" s="114"/>
      <c r="R3" s="114" t="str">
        <f t="shared" ref="R3" si="0">J3</f>
        <v>Part</v>
      </c>
      <c r="S3" s="114" t="str">
        <f t="shared" ref="S3" si="1">K3</f>
        <v>Qty</v>
      </c>
      <c r="T3" s="114" t="str">
        <f t="shared" ref="T3" si="2">L3</f>
        <v>Cost  ea</v>
      </c>
      <c r="U3" s="114"/>
      <c r="V3" s="114"/>
    </row>
    <row r="4" spans="1:22" x14ac:dyDescent="0.4">
      <c r="A4" s="114" t="s">
        <v>770</v>
      </c>
      <c r="B4" s="312" t="s">
        <v>839</v>
      </c>
      <c r="C4" s="312">
        <v>0</v>
      </c>
      <c r="D4" s="312">
        <v>714</v>
      </c>
      <c r="E4" s="312">
        <f t="shared" ref="E4:E31" si="3">SUM(D4*C4)</f>
        <v>0</v>
      </c>
      <c r="F4" s="311">
        <v>0</v>
      </c>
      <c r="G4" s="114">
        <f t="shared" ref="G4:G31" si="4">SUM(E4+(E4*F4))</f>
        <v>0</v>
      </c>
      <c r="I4" s="114" t="s">
        <v>770</v>
      </c>
      <c r="J4" s="326" t="s">
        <v>839</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833</v>
      </c>
      <c r="B5" s="312" t="s">
        <v>838</v>
      </c>
      <c r="C5" s="312">
        <v>0</v>
      </c>
      <c r="D5" s="312">
        <v>100</v>
      </c>
      <c r="E5" s="312">
        <f t="shared" si="3"/>
        <v>0</v>
      </c>
      <c r="F5" s="311">
        <v>0</v>
      </c>
      <c r="G5" s="114">
        <f t="shared" si="4"/>
        <v>0</v>
      </c>
      <c r="I5" s="114" t="s">
        <v>833</v>
      </c>
      <c r="J5" s="326" t="s">
        <v>838</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770</v>
      </c>
      <c r="B6" s="312" t="s">
        <v>837</v>
      </c>
      <c r="C6" s="312">
        <v>0</v>
      </c>
      <c r="D6" s="312">
        <v>28</v>
      </c>
      <c r="E6" s="312">
        <f t="shared" si="3"/>
        <v>0</v>
      </c>
      <c r="F6" s="311">
        <v>0</v>
      </c>
      <c r="G6" s="114">
        <f t="shared" si="4"/>
        <v>0</v>
      </c>
      <c r="I6" s="114" t="s">
        <v>770</v>
      </c>
      <c r="J6" s="326" t="s">
        <v>837</v>
      </c>
      <c r="K6" s="326">
        <v>0</v>
      </c>
      <c r="L6" s="326">
        <v>28</v>
      </c>
      <c r="M6" s="326">
        <f t="shared" si="5"/>
        <v>0</v>
      </c>
      <c r="N6" s="311">
        <v>0</v>
      </c>
      <c r="O6" s="114">
        <f t="shared" si="6"/>
        <v>0</v>
      </c>
      <c r="Q6" s="114"/>
      <c r="R6" s="114"/>
      <c r="S6" s="114"/>
      <c r="T6" s="114"/>
    </row>
    <row r="7" spans="1:22" x14ac:dyDescent="0.4">
      <c r="A7" s="114" t="s">
        <v>770</v>
      </c>
      <c r="B7" s="312" t="s">
        <v>836</v>
      </c>
      <c r="C7" s="312">
        <v>0</v>
      </c>
      <c r="D7" s="312">
        <v>14</v>
      </c>
      <c r="E7" s="312">
        <f t="shared" si="3"/>
        <v>0</v>
      </c>
      <c r="F7" s="311">
        <v>0</v>
      </c>
      <c r="G7" s="114">
        <f t="shared" si="4"/>
        <v>0</v>
      </c>
      <c r="I7" s="114" t="s">
        <v>770</v>
      </c>
      <c r="J7" s="326" t="s">
        <v>836</v>
      </c>
      <c r="K7" s="326">
        <v>0</v>
      </c>
      <c r="L7" s="326">
        <v>14</v>
      </c>
      <c r="M7" s="326">
        <f t="shared" si="5"/>
        <v>0</v>
      </c>
      <c r="N7" s="311">
        <v>0</v>
      </c>
      <c r="O7" s="114">
        <f t="shared" si="6"/>
        <v>0</v>
      </c>
      <c r="Q7" s="114"/>
      <c r="R7" s="114"/>
      <c r="S7" s="114"/>
      <c r="T7" s="114"/>
    </row>
    <row r="8" spans="1:22" x14ac:dyDescent="0.4">
      <c r="A8" s="114" t="s">
        <v>833</v>
      </c>
      <c r="B8" s="312" t="s">
        <v>835</v>
      </c>
      <c r="C8" s="312">
        <v>0</v>
      </c>
      <c r="D8" s="312">
        <v>50</v>
      </c>
      <c r="E8" s="312">
        <f t="shared" si="3"/>
        <v>0</v>
      </c>
      <c r="F8" s="311">
        <v>0</v>
      </c>
      <c r="G8" s="114">
        <f t="shared" si="4"/>
        <v>0</v>
      </c>
      <c r="I8" s="114" t="s">
        <v>833</v>
      </c>
      <c r="J8" s="326" t="s">
        <v>835</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833</v>
      </c>
      <c r="B9" s="326" t="s">
        <v>854</v>
      </c>
      <c r="C9" s="326">
        <v>0</v>
      </c>
      <c r="D9" s="326">
        <v>40</v>
      </c>
      <c r="E9" s="326">
        <f t="shared" si="3"/>
        <v>0</v>
      </c>
      <c r="F9" s="311">
        <v>0</v>
      </c>
      <c r="G9" s="114">
        <f t="shared" ref="G9" si="12">SUM(E9+(E9*F9))</f>
        <v>0</v>
      </c>
      <c r="I9" s="114" t="s">
        <v>833</v>
      </c>
      <c r="J9" s="326" t="s">
        <v>854</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770</v>
      </c>
      <c r="B10" s="312" t="s">
        <v>834</v>
      </c>
      <c r="C10" s="312">
        <v>0</v>
      </c>
      <c r="D10" s="312">
        <v>67</v>
      </c>
      <c r="E10" s="312">
        <f t="shared" si="3"/>
        <v>0</v>
      </c>
      <c r="F10" s="311">
        <v>0</v>
      </c>
      <c r="G10" s="114">
        <f t="shared" si="4"/>
        <v>0</v>
      </c>
      <c r="I10" s="114" t="s">
        <v>770</v>
      </c>
      <c r="J10" s="326" t="s">
        <v>834</v>
      </c>
      <c r="K10" s="326">
        <v>0</v>
      </c>
      <c r="L10" s="326">
        <v>67</v>
      </c>
      <c r="M10" s="326">
        <f t="shared" si="5"/>
        <v>0</v>
      </c>
      <c r="N10" s="311">
        <v>0</v>
      </c>
      <c r="O10" s="114">
        <f t="shared" si="6"/>
        <v>0</v>
      </c>
      <c r="Q10" s="114"/>
      <c r="R10" s="114"/>
      <c r="S10" s="114"/>
      <c r="T10" s="114"/>
    </row>
    <row r="11" spans="1:22" s="114" customFormat="1" x14ac:dyDescent="0.4">
      <c r="A11" s="327" t="s">
        <v>855</v>
      </c>
      <c r="B11" s="326" t="s">
        <v>856</v>
      </c>
      <c r="C11" s="326">
        <v>0</v>
      </c>
      <c r="D11" s="326">
        <v>500</v>
      </c>
      <c r="E11" s="326">
        <f t="shared" si="3"/>
        <v>0</v>
      </c>
      <c r="F11" s="311">
        <v>0</v>
      </c>
      <c r="G11" s="114">
        <f t="shared" ref="G11:G12" si="13">SUM(E11+(E11*F11))</f>
        <v>0</v>
      </c>
      <c r="I11" s="327" t="s">
        <v>855</v>
      </c>
      <c r="J11" s="326" t="s">
        <v>856</v>
      </c>
      <c r="K11" s="326">
        <v>0</v>
      </c>
      <c r="L11" s="326">
        <v>500</v>
      </c>
      <c r="M11" s="326">
        <f t="shared" si="5"/>
        <v>0</v>
      </c>
      <c r="N11" s="311">
        <v>0</v>
      </c>
      <c r="O11" s="114">
        <f t="shared" si="6"/>
        <v>0</v>
      </c>
    </row>
    <row r="12" spans="1:22" s="114" customFormat="1" x14ac:dyDescent="0.4">
      <c r="A12" s="327" t="s">
        <v>857</v>
      </c>
      <c r="B12" s="326" t="s">
        <v>858</v>
      </c>
      <c r="C12" s="326">
        <v>0</v>
      </c>
      <c r="D12" s="326">
        <v>360</v>
      </c>
      <c r="E12" s="326">
        <f t="shared" si="3"/>
        <v>0</v>
      </c>
      <c r="F12" s="311">
        <v>0</v>
      </c>
      <c r="G12" s="114">
        <f t="shared" si="13"/>
        <v>0</v>
      </c>
      <c r="I12" s="327" t="s">
        <v>857</v>
      </c>
      <c r="J12" s="326" t="s">
        <v>858</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833</v>
      </c>
      <c r="B13" s="312" t="s">
        <v>832</v>
      </c>
      <c r="C13" s="312">
        <v>0</v>
      </c>
      <c r="D13" s="312">
        <v>173.5</v>
      </c>
      <c r="E13" s="312">
        <f t="shared" si="3"/>
        <v>0</v>
      </c>
      <c r="F13" s="311">
        <v>0</v>
      </c>
      <c r="G13" s="114">
        <f t="shared" si="4"/>
        <v>0</v>
      </c>
      <c r="I13" s="114" t="s">
        <v>833</v>
      </c>
      <c r="J13" s="326" t="s">
        <v>832</v>
      </c>
      <c r="K13" s="326">
        <v>0</v>
      </c>
      <c r="L13" s="326">
        <v>173.5</v>
      </c>
      <c r="M13" s="326">
        <f t="shared" si="5"/>
        <v>0</v>
      </c>
      <c r="N13" s="311">
        <v>0</v>
      </c>
      <c r="O13" s="114">
        <f t="shared" si="6"/>
        <v>0</v>
      </c>
      <c r="Q13" s="114"/>
      <c r="R13" s="114"/>
      <c r="S13" s="114"/>
      <c r="T13" s="114"/>
    </row>
    <row r="14" spans="1:22" x14ac:dyDescent="0.4">
      <c r="A14" s="114" t="s">
        <v>770</v>
      </c>
      <c r="B14" s="312" t="s">
        <v>831</v>
      </c>
      <c r="C14" s="312">
        <v>0</v>
      </c>
      <c r="D14" s="312">
        <v>40</v>
      </c>
      <c r="E14" s="312">
        <f t="shared" si="3"/>
        <v>0</v>
      </c>
      <c r="F14" s="311">
        <v>0</v>
      </c>
      <c r="G14" s="114">
        <f t="shared" si="4"/>
        <v>0</v>
      </c>
      <c r="I14" s="114" t="s">
        <v>770</v>
      </c>
      <c r="J14" s="326" t="s">
        <v>831</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814</v>
      </c>
      <c r="B15" s="326" t="s">
        <v>859</v>
      </c>
      <c r="C15" s="326">
        <v>0</v>
      </c>
      <c r="D15" s="326">
        <v>120</v>
      </c>
      <c r="E15" s="326">
        <f t="shared" si="3"/>
        <v>0</v>
      </c>
      <c r="F15" s="311">
        <v>0</v>
      </c>
      <c r="G15" s="114">
        <f t="shared" ref="G15:G17" si="14">SUM(E15+(E15*F15))</f>
        <v>0</v>
      </c>
      <c r="I15" s="114" t="s">
        <v>814</v>
      </c>
      <c r="J15" s="326" t="s">
        <v>859</v>
      </c>
      <c r="K15" s="326">
        <v>0</v>
      </c>
      <c r="L15" s="326">
        <v>120</v>
      </c>
      <c r="M15" s="326">
        <f t="shared" si="5"/>
        <v>0</v>
      </c>
      <c r="N15" s="311">
        <v>0</v>
      </c>
      <c r="O15" s="114">
        <f t="shared" si="6"/>
        <v>0</v>
      </c>
    </row>
    <row r="16" spans="1:22" s="114" customFormat="1" x14ac:dyDescent="0.4">
      <c r="A16" s="114" t="s">
        <v>833</v>
      </c>
      <c r="B16" s="326" t="s">
        <v>860</v>
      </c>
      <c r="C16" s="326">
        <v>0</v>
      </c>
      <c r="D16" s="326">
        <v>500</v>
      </c>
      <c r="E16" s="326">
        <f t="shared" si="3"/>
        <v>0</v>
      </c>
      <c r="F16" s="311">
        <v>0</v>
      </c>
      <c r="G16" s="114">
        <f t="shared" si="14"/>
        <v>0</v>
      </c>
      <c r="I16" s="114" t="s">
        <v>833</v>
      </c>
      <c r="J16" s="326" t="s">
        <v>860</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833</v>
      </c>
      <c r="B17" s="326" t="s">
        <v>861</v>
      </c>
      <c r="C17" s="326">
        <v>0</v>
      </c>
      <c r="D17" s="326">
        <v>155</v>
      </c>
      <c r="E17" s="326">
        <f t="shared" si="3"/>
        <v>0</v>
      </c>
      <c r="F17" s="311">
        <v>0</v>
      </c>
      <c r="G17" s="114">
        <f t="shared" si="14"/>
        <v>0</v>
      </c>
      <c r="I17" s="114" t="s">
        <v>833</v>
      </c>
      <c r="J17" s="326" t="s">
        <v>861</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830</v>
      </c>
      <c r="B18" s="314" t="s">
        <v>829</v>
      </c>
      <c r="C18" s="314">
        <v>0</v>
      </c>
      <c r="D18" s="314">
        <v>110</v>
      </c>
      <c r="E18" s="312">
        <f t="shared" si="3"/>
        <v>0</v>
      </c>
      <c r="F18" s="311">
        <v>0</v>
      </c>
      <c r="G18" s="114">
        <f t="shared" si="4"/>
        <v>0</v>
      </c>
      <c r="I18" s="114" t="s">
        <v>830</v>
      </c>
      <c r="J18" s="314" t="s">
        <v>829</v>
      </c>
      <c r="K18" s="314">
        <v>0</v>
      </c>
      <c r="L18" s="314">
        <v>110</v>
      </c>
      <c r="M18" s="314">
        <f t="shared" si="5"/>
        <v>0</v>
      </c>
      <c r="N18" s="311">
        <v>0</v>
      </c>
      <c r="O18" s="114">
        <f t="shared" si="6"/>
        <v>0</v>
      </c>
      <c r="Q18" s="114"/>
      <c r="R18" s="114"/>
      <c r="S18" s="114"/>
      <c r="T18" s="114"/>
    </row>
    <row r="19" spans="1:20" x14ac:dyDescent="0.4">
      <c r="A19" s="114" t="s">
        <v>827</v>
      </c>
      <c r="B19" s="314" t="s">
        <v>828</v>
      </c>
      <c r="C19" s="314">
        <v>0</v>
      </c>
      <c r="D19" s="314">
        <v>110</v>
      </c>
      <c r="E19" s="312">
        <f t="shared" si="3"/>
        <v>0</v>
      </c>
      <c r="F19" s="311">
        <v>0</v>
      </c>
      <c r="G19" s="114">
        <f t="shared" si="4"/>
        <v>0</v>
      </c>
      <c r="I19" s="114" t="s">
        <v>827</v>
      </c>
      <c r="J19" s="314" t="s">
        <v>828</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827</v>
      </c>
      <c r="B20" s="314" t="s">
        <v>826</v>
      </c>
      <c r="C20" s="314">
        <v>0</v>
      </c>
      <c r="D20" s="314">
        <v>110</v>
      </c>
      <c r="E20" s="312">
        <f t="shared" si="3"/>
        <v>0</v>
      </c>
      <c r="F20" s="311">
        <v>0</v>
      </c>
      <c r="G20" s="114">
        <f t="shared" si="4"/>
        <v>0</v>
      </c>
      <c r="I20" s="114" t="s">
        <v>865</v>
      </c>
      <c r="J20" s="314" t="s">
        <v>825</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824</v>
      </c>
      <c r="B21" s="314" t="s">
        <v>825</v>
      </c>
      <c r="C21" s="314">
        <v>0</v>
      </c>
      <c r="D21" s="314">
        <v>85</v>
      </c>
      <c r="E21" s="312">
        <f t="shared" si="3"/>
        <v>0</v>
      </c>
      <c r="F21" s="311">
        <v>0</v>
      </c>
      <c r="G21" s="114">
        <f t="shared" si="4"/>
        <v>0</v>
      </c>
      <c r="I21" s="114" t="s">
        <v>824</v>
      </c>
      <c r="J21" s="314" t="s">
        <v>823</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824</v>
      </c>
      <c r="B22" s="314" t="s">
        <v>823</v>
      </c>
      <c r="C22" s="314">
        <v>0</v>
      </c>
      <c r="D22" s="314">
        <v>85</v>
      </c>
      <c r="E22" s="312">
        <f t="shared" si="3"/>
        <v>0</v>
      </c>
      <c r="F22" s="311">
        <v>0</v>
      </c>
      <c r="G22" s="114">
        <f t="shared" si="4"/>
        <v>0</v>
      </c>
      <c r="I22" s="114" t="s">
        <v>866</v>
      </c>
      <c r="J22" s="314" t="s">
        <v>867</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822</v>
      </c>
      <c r="B23" s="315" t="s">
        <v>821</v>
      </c>
      <c r="C23" s="315">
        <v>0</v>
      </c>
      <c r="D23" s="315">
        <v>110</v>
      </c>
      <c r="E23" s="312">
        <f t="shared" si="3"/>
        <v>0</v>
      </c>
      <c r="F23" s="311">
        <v>0</v>
      </c>
      <c r="G23" s="114">
        <f t="shared" si="4"/>
        <v>0</v>
      </c>
      <c r="I23" s="114" t="s">
        <v>868</v>
      </c>
      <c r="J23" s="314" t="s">
        <v>869</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820</v>
      </c>
      <c r="B24" s="315" t="s">
        <v>802</v>
      </c>
      <c r="C24" s="315">
        <v>0</v>
      </c>
      <c r="D24" s="315">
        <v>110</v>
      </c>
      <c r="E24" s="312">
        <f t="shared" si="3"/>
        <v>0</v>
      </c>
      <c r="F24" s="311">
        <v>0</v>
      </c>
      <c r="G24" s="114">
        <f t="shared" si="4"/>
        <v>0</v>
      </c>
      <c r="I24" s="114" t="s">
        <v>870</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819</v>
      </c>
      <c r="B25" s="315" t="s">
        <v>818</v>
      </c>
      <c r="C25" s="315">
        <v>0</v>
      </c>
      <c r="D25" s="315">
        <v>110</v>
      </c>
      <c r="E25" s="312">
        <f t="shared" si="3"/>
        <v>0</v>
      </c>
      <c r="F25" s="311">
        <v>0</v>
      </c>
      <c r="G25" s="114">
        <f t="shared" si="4"/>
        <v>0</v>
      </c>
      <c r="I25" s="114" t="s">
        <v>814</v>
      </c>
      <c r="J25" s="314" t="s">
        <v>813</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816</v>
      </c>
      <c r="B26" s="315" t="s">
        <v>817</v>
      </c>
      <c r="C26" s="315">
        <v>0</v>
      </c>
      <c r="D26" s="315">
        <v>55</v>
      </c>
      <c r="E26" s="312">
        <f t="shared" si="3"/>
        <v>0</v>
      </c>
      <c r="F26" s="311">
        <v>0</v>
      </c>
      <c r="G26" s="114">
        <f t="shared" si="4"/>
        <v>0</v>
      </c>
      <c r="I26" s="114" t="s">
        <v>833</v>
      </c>
      <c r="J26" s="331" t="s">
        <v>871</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816</v>
      </c>
      <c r="B27" s="315" t="s">
        <v>815</v>
      </c>
      <c r="C27" s="315">
        <v>0</v>
      </c>
      <c r="D27" s="315">
        <v>55</v>
      </c>
      <c r="E27" s="312">
        <f t="shared" si="3"/>
        <v>0</v>
      </c>
      <c r="F27" s="311">
        <v>0</v>
      </c>
      <c r="G27" s="114">
        <f t="shared" si="4"/>
        <v>0</v>
      </c>
      <c r="I27" s="114" t="s">
        <v>872</v>
      </c>
      <c r="J27" s="331" t="s">
        <v>873</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814</v>
      </c>
      <c r="B28" s="314" t="s">
        <v>813</v>
      </c>
      <c r="C28" s="314">
        <v>0</v>
      </c>
      <c r="D28" s="314">
        <v>200</v>
      </c>
      <c r="E28" s="312">
        <f t="shared" si="3"/>
        <v>0</v>
      </c>
      <c r="F28" s="311">
        <v>0</v>
      </c>
      <c r="G28" s="114">
        <f t="shared" si="4"/>
        <v>0</v>
      </c>
      <c r="I28" s="114" t="s">
        <v>874</v>
      </c>
      <c r="J28" s="331" t="s">
        <v>875</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810</v>
      </c>
      <c r="B29" s="313" t="s">
        <v>812</v>
      </c>
      <c r="C29" s="313">
        <v>0</v>
      </c>
      <c r="D29" s="313">
        <v>600</v>
      </c>
      <c r="E29" s="312">
        <f t="shared" si="3"/>
        <v>0</v>
      </c>
      <c r="F29" s="311">
        <v>0</v>
      </c>
      <c r="G29" s="114">
        <f t="shared" si="4"/>
        <v>0</v>
      </c>
      <c r="I29" s="114" t="s">
        <v>810</v>
      </c>
      <c r="J29" s="313" t="s">
        <v>812</v>
      </c>
      <c r="K29" s="313">
        <v>0</v>
      </c>
      <c r="L29" s="313">
        <v>600</v>
      </c>
      <c r="M29" s="313">
        <f t="shared" si="5"/>
        <v>0</v>
      </c>
      <c r="N29" s="311">
        <v>0</v>
      </c>
      <c r="O29" s="114">
        <f t="shared" si="6"/>
        <v>0</v>
      </c>
      <c r="Q29" s="114"/>
      <c r="R29" s="114"/>
      <c r="S29" s="114"/>
      <c r="T29" s="114"/>
    </row>
    <row r="30" spans="1:20" x14ac:dyDescent="0.4">
      <c r="A30" s="114" t="s">
        <v>810</v>
      </c>
      <c r="B30" s="313" t="s">
        <v>811</v>
      </c>
      <c r="C30" s="313">
        <v>0</v>
      </c>
      <c r="D30" s="313">
        <v>100</v>
      </c>
      <c r="E30" s="312">
        <f t="shared" si="3"/>
        <v>0</v>
      </c>
      <c r="F30" s="311">
        <v>0</v>
      </c>
      <c r="G30" s="114">
        <f t="shared" si="4"/>
        <v>0</v>
      </c>
      <c r="I30" s="114" t="s">
        <v>810</v>
      </c>
      <c r="J30" s="313" t="s">
        <v>811</v>
      </c>
      <c r="K30" s="313">
        <v>0</v>
      </c>
      <c r="L30" s="313">
        <v>100</v>
      </c>
      <c r="M30" s="313">
        <f t="shared" si="5"/>
        <v>0</v>
      </c>
      <c r="N30" s="311">
        <v>0</v>
      </c>
      <c r="O30" s="114">
        <f t="shared" si="6"/>
        <v>0</v>
      </c>
      <c r="Q30" s="114"/>
      <c r="R30" s="114"/>
      <c r="S30" s="114"/>
      <c r="T30" s="114"/>
    </row>
    <row r="31" spans="1:20" x14ac:dyDescent="0.4">
      <c r="A31" s="114" t="s">
        <v>810</v>
      </c>
      <c r="B31" s="313" t="s">
        <v>809</v>
      </c>
      <c r="C31" s="313">
        <v>0</v>
      </c>
      <c r="D31" s="313">
        <v>200</v>
      </c>
      <c r="E31" s="312">
        <f t="shared" si="3"/>
        <v>0</v>
      </c>
      <c r="F31" s="311">
        <v>0</v>
      </c>
      <c r="G31" s="114">
        <f t="shared" si="4"/>
        <v>0</v>
      </c>
      <c r="I31" s="114" t="s">
        <v>810</v>
      </c>
      <c r="J31" s="313" t="s">
        <v>809</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876</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877</v>
      </c>
      <c r="J33" s="314" t="s">
        <v>878</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912</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803</v>
      </c>
      <c r="C37" s="324"/>
      <c r="D37" s="324"/>
      <c r="E37" s="324"/>
      <c r="F37" s="324"/>
      <c r="G37" s="325"/>
    </row>
    <row r="38" spans="1:20" x14ac:dyDescent="0.4">
      <c r="A38" s="114"/>
      <c r="B38" s="317" t="s">
        <v>808</v>
      </c>
      <c r="C38" s="318"/>
      <c r="D38" s="318"/>
      <c r="E38" s="318"/>
      <c r="F38" s="318"/>
      <c r="G38" s="319"/>
    </row>
    <row r="39" spans="1:20" x14ac:dyDescent="0.4">
      <c r="A39" s="114"/>
      <c r="B39" s="317" t="s">
        <v>807</v>
      </c>
      <c r="C39" s="318"/>
      <c r="D39" s="318"/>
      <c r="E39" s="318"/>
      <c r="F39" s="318"/>
      <c r="G39" s="319">
        <f>SUM(G4:G36)</f>
        <v>0</v>
      </c>
    </row>
    <row r="40" spans="1:20" x14ac:dyDescent="0.4">
      <c r="A40" s="114"/>
      <c r="B40" s="317" t="s">
        <v>806</v>
      </c>
      <c r="C40" s="318"/>
      <c r="D40" s="318"/>
      <c r="E40" s="318"/>
      <c r="F40" s="318"/>
      <c r="G40" s="319"/>
    </row>
    <row r="41" spans="1:20" x14ac:dyDescent="0.4">
      <c r="A41" s="114"/>
      <c r="B41" s="317" t="s">
        <v>805</v>
      </c>
      <c r="C41" s="318"/>
      <c r="D41" s="318"/>
      <c r="E41" s="318"/>
      <c r="F41" s="318"/>
      <c r="G41" s="319"/>
    </row>
    <row r="42" spans="1:20" ht="15" thickBot="1" x14ac:dyDescent="0.45">
      <c r="A42" s="114"/>
      <c r="B42" s="320" t="s">
        <v>804</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A46EA2-E0D6-481B-AA24-C750C82576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@Car Park</vt:lpstr>
      <vt:lpstr>Part List</vt:lpstr>
      <vt:lpstr>BOM</vt:lpstr>
      <vt:lpstr>Fan Summary</vt:lpstr>
      <vt:lpstr>Fan_Takeoff</vt:lpstr>
      <vt:lpstr>Fan_Pricing</vt:lpstr>
      <vt:lpstr>Fan_Backend</vt:lpstr>
      <vt:lpstr>Takeoff_Backend</vt:lpstr>
      <vt:lpstr>Parts</vt:lpstr>
      <vt:lpstr>AC_Backend</vt:lpstr>
      <vt:lpstr>IGOC_Parts</vt:lpstr>
      <vt:lpstr>MJS Controls</vt:lpstr>
      <vt:lpstr>BOM!Print_Area</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2018-08-21T04:25:53Z</dcterms:modified>
</cp:coreProperties>
</file>