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24226"/>
  <mc:AlternateContent xmlns:mc="http://schemas.openxmlformats.org/markup-compatibility/2006">
    <mc:Choice Requires="x15">
      <x15ac:absPath xmlns:x15ac="http://schemas.microsoft.com/office/spreadsheetml/2010/11/ac" url="D:\Google Drive\3. Clients\1. Management &amp; Admin\Templates\Tender Markup\"/>
    </mc:Choice>
  </mc:AlternateContent>
  <xr:revisionPtr revIDLastSave="0" documentId="13_ncr:1_{84C1DDFB-4F3C-44D6-8CDC-DD5431B20B7D}" xr6:coauthVersionLast="34" xr6:coauthVersionMax="34" xr10:uidLastSave="{00000000-0000-0000-0000-000000000000}"/>
  <bookViews>
    <workbookView xWindow="0" yWindow="180" windowWidth="19200" windowHeight="7834" xr2:uid="{00000000-000D-0000-FFFF-FFFF00000000}"/>
  </bookViews>
  <sheets>
    <sheet name="Job Summary" sheetId="6" r:id="rId1"/>
    <sheet name="Sheet1" sheetId="5" state="hidden" r:id="rId2"/>
    <sheet name="Sheet4" sheetId="7" state="hidden" r:id="rId3"/>
    <sheet name="Takeoffs" sheetId="1" r:id="rId4"/>
    <sheet name="Sheet2" sheetId="2" state="hidden" r:id="rId5"/>
    <sheet name="Sheet3" sheetId="3" state="hidden" r:id="rId6"/>
    <sheet name="@MSSB" sheetId="10" r:id="rId7"/>
    <sheet name="_MSSB" sheetId="11" state="hidden" r:id="rId8"/>
    <sheet name="@Fan" sheetId="12" r:id="rId9"/>
    <sheet name="_Fan" sheetId="13" r:id="rId10"/>
    <sheet name="@VRF" sheetId="14" r:id="rId11"/>
    <sheet name="_VRF" sheetId="15" r:id="rId12"/>
    <sheet name="@Chiller" sheetId="18" r:id="rId13"/>
    <sheet name="_Chiller" sheetId="19" state="hidden" r:id="rId14"/>
    <sheet name="@Other" sheetId="20" r:id="rId15"/>
    <sheet name="_Other" sheetId="21" state="hidden" r:id="rId16"/>
    <sheet name="@Car Park" sheetId="8" r:id="rId17"/>
    <sheet name="Part List" sheetId="16" r:id="rId18"/>
    <sheet name="IGOC_Parts" sheetId="17" state="hidden" r:id="rId19"/>
    <sheet name="MJS Controls" sheetId="9" state="hidden" r:id="rId20"/>
  </sheets>
  <externalReferences>
    <externalReference r:id="rId21"/>
    <externalReference r:id="rId22"/>
    <externalReference r:id="rId23"/>
  </externalReferences>
  <definedNames>
    <definedName name="_xlnm._FilterDatabase" localSheetId="0" hidden="1">'Job Summary'!$A$49:$D$165</definedName>
    <definedName name="_xlnm._FilterDatabase" localSheetId="1" hidden="1">Sheet1!$R$1:$S$131</definedName>
    <definedName name="_xlnm._FilterDatabase" localSheetId="3" hidden="1">Takeoffs!$A$1:$CS$2622</definedName>
    <definedName name="_xlnm.Print_Area" localSheetId="0">'Job Summary'!$A$49:$D$101</definedName>
    <definedName name="_xlnm.Print_Area" localSheetId="3">Takeoffs!$A$1:$AN$2120</definedName>
  </definedNames>
  <calcPr calcId="179021"/>
</workbook>
</file>

<file path=xl/calcChain.xml><?xml version="1.0" encoding="utf-8"?>
<calcChain xmlns="http://schemas.openxmlformats.org/spreadsheetml/2006/main">
  <c r="I3" i="12" l="1"/>
  <c r="J3" i="12"/>
  <c r="I4" i="12"/>
  <c r="J4" i="12"/>
  <c r="I5" i="12"/>
  <c r="J5" i="12"/>
  <c r="I6" i="12"/>
  <c r="J6" i="12"/>
  <c r="I7" i="12"/>
  <c r="J7" i="12"/>
  <c r="I8" i="12"/>
  <c r="J8" i="12"/>
  <c r="I9" i="12"/>
  <c r="J9" i="12"/>
  <c r="I10" i="12"/>
  <c r="J10" i="12"/>
  <c r="I11" i="12"/>
  <c r="J11" i="12"/>
  <c r="I12" i="12"/>
  <c r="J12" i="12"/>
  <c r="I13" i="12"/>
  <c r="J13" i="12"/>
  <c r="I14" i="12"/>
  <c r="J14" i="12"/>
  <c r="I15" i="12"/>
  <c r="J15" i="12"/>
  <c r="I16" i="12"/>
  <c r="J16" i="12"/>
  <c r="I17" i="12"/>
  <c r="J17" i="12"/>
  <c r="I18" i="12"/>
  <c r="J18" i="12"/>
  <c r="I19" i="12"/>
  <c r="J19" i="12"/>
  <c r="I20" i="12"/>
  <c r="J20" i="12"/>
  <c r="I21" i="12"/>
  <c r="J21" i="12"/>
  <c r="I22" i="12"/>
  <c r="J22" i="12"/>
  <c r="I2" i="12"/>
  <c r="J2" i="12"/>
  <c r="F5" i="12" l="1"/>
  <c r="P36" i="13"/>
  <c r="D138" i="16"/>
  <c r="A115" i="6" l="1"/>
  <c r="A66" i="6"/>
  <c r="B49" i="6"/>
  <c r="C49" i="6"/>
  <c r="C52" i="6"/>
  <c r="A52" i="6" s="1"/>
  <c r="C53" i="6"/>
  <c r="A53" i="6" s="1"/>
  <c r="C54" i="6"/>
  <c r="A54" i="6" s="1"/>
  <c r="C55" i="6"/>
  <c r="A55" i="6" s="1"/>
  <c r="C56" i="6"/>
  <c r="A56" i="6" s="1"/>
  <c r="C57" i="6"/>
  <c r="A57" i="6" s="1"/>
  <c r="C58" i="6"/>
  <c r="A58" i="6" s="1"/>
  <c r="C59" i="6"/>
  <c r="A59" i="6" s="1"/>
  <c r="C60" i="6"/>
  <c r="A60" i="6" s="1"/>
  <c r="C61" i="6"/>
  <c r="A61" i="6" s="1"/>
  <c r="C62" i="6"/>
  <c r="A62" i="6" s="1"/>
  <c r="C63" i="6"/>
  <c r="A63" i="6" s="1"/>
  <c r="C64" i="6"/>
  <c r="A64" i="6" s="1"/>
  <c r="C65" i="6"/>
  <c r="A65" i="6" s="1"/>
  <c r="C66" i="6"/>
  <c r="C67" i="6"/>
  <c r="A67" i="6" s="1"/>
  <c r="C68" i="6"/>
  <c r="A68" i="6" s="1"/>
  <c r="C69" i="6"/>
  <c r="A69" i="6" s="1"/>
  <c r="C70" i="6"/>
  <c r="A70" i="6" s="1"/>
  <c r="C71" i="6"/>
  <c r="A71" i="6" s="1"/>
  <c r="C72" i="6"/>
  <c r="A72" i="6" s="1"/>
  <c r="C74" i="6"/>
  <c r="C75" i="6"/>
  <c r="A75" i="6" s="1"/>
  <c r="C76" i="6"/>
  <c r="A76" i="6" s="1"/>
  <c r="C77" i="6"/>
  <c r="A77" i="6" s="1"/>
  <c r="C78" i="6"/>
  <c r="A78" i="6" s="1"/>
  <c r="C79" i="6"/>
  <c r="A79" i="6" s="1"/>
  <c r="C80" i="6"/>
  <c r="A80" i="6" s="1"/>
  <c r="C81" i="6"/>
  <c r="A81" i="6" s="1"/>
  <c r="C82" i="6"/>
  <c r="A82" i="6" s="1"/>
  <c r="C83" i="6"/>
  <c r="A83" i="6" s="1"/>
  <c r="C84" i="6"/>
  <c r="A84" i="6" s="1"/>
  <c r="C85" i="6"/>
  <c r="A85" i="6" s="1"/>
  <c r="C86" i="6"/>
  <c r="A86" i="6" s="1"/>
  <c r="C87" i="6"/>
  <c r="A87" i="6" s="1"/>
  <c r="C88" i="6"/>
  <c r="A88" i="6" s="1"/>
  <c r="C89" i="6"/>
  <c r="A89" i="6" s="1"/>
  <c r="C90" i="6"/>
  <c r="A90" i="6" s="1"/>
  <c r="C91" i="6"/>
  <c r="A91" i="6" s="1"/>
  <c r="C92" i="6"/>
  <c r="A92" i="6" s="1"/>
  <c r="C93" i="6"/>
  <c r="A93" i="6" s="1"/>
  <c r="C94" i="6"/>
  <c r="A94" i="6" s="1"/>
  <c r="C96" i="6"/>
  <c r="A96" i="6" s="1"/>
  <c r="C97" i="6"/>
  <c r="A97" i="6" s="1"/>
  <c r="C98" i="6"/>
  <c r="A98" i="6" s="1"/>
  <c r="C99" i="6"/>
  <c r="A99" i="6" s="1"/>
  <c r="C100" i="6"/>
  <c r="A100" i="6" s="1"/>
  <c r="C101" i="6"/>
  <c r="A101" i="6" s="1"/>
  <c r="C102" i="6"/>
  <c r="A102" i="6" s="1"/>
  <c r="C103" i="6"/>
  <c r="A103" i="6" s="1"/>
  <c r="C104" i="6"/>
  <c r="A104" i="6" s="1"/>
  <c r="C105" i="6"/>
  <c r="A105" i="6" s="1"/>
  <c r="C106" i="6"/>
  <c r="A106" i="6" s="1"/>
  <c r="C107" i="6"/>
  <c r="A107" i="6" s="1"/>
  <c r="C108" i="6"/>
  <c r="A108" i="6" s="1"/>
  <c r="C109" i="6"/>
  <c r="A109" i="6" s="1"/>
  <c r="C110" i="6"/>
  <c r="A110" i="6" s="1"/>
  <c r="C111" i="6"/>
  <c r="A111" i="6" s="1"/>
  <c r="C112" i="6"/>
  <c r="A112" i="6" s="1"/>
  <c r="C113" i="6"/>
  <c r="A113" i="6" s="1"/>
  <c r="C114" i="6"/>
  <c r="A114" i="6" s="1"/>
  <c r="C115" i="6"/>
  <c r="C116" i="6"/>
  <c r="A116" i="6" s="1"/>
  <c r="C117" i="6"/>
  <c r="A117" i="6" s="1"/>
  <c r="C119" i="6"/>
  <c r="C120" i="6"/>
  <c r="A120" i="6" s="1"/>
  <c r="C121" i="6"/>
  <c r="A121" i="6" s="1"/>
  <c r="C122" i="6"/>
  <c r="A122" i="6" s="1"/>
  <c r="C123" i="6"/>
  <c r="A123" i="6" s="1"/>
  <c r="C124" i="6"/>
  <c r="A124" i="6" s="1"/>
  <c r="C125" i="6"/>
  <c r="A125" i="6" s="1"/>
  <c r="C126" i="6"/>
  <c r="A126" i="6" s="1"/>
  <c r="C127" i="6"/>
  <c r="A127" i="6" s="1"/>
  <c r="C128" i="6"/>
  <c r="A128" i="6" s="1"/>
  <c r="C129" i="6"/>
  <c r="A129" i="6" s="1"/>
  <c r="C130" i="6"/>
  <c r="A130" i="6" s="1"/>
  <c r="C131" i="6"/>
  <c r="A131" i="6" s="1"/>
  <c r="C132" i="6"/>
  <c r="A132" i="6" s="1"/>
  <c r="C133" i="6"/>
  <c r="A133" i="6" s="1"/>
  <c r="C134" i="6"/>
  <c r="A134" i="6" s="1"/>
  <c r="C135" i="6"/>
  <c r="A135" i="6" s="1"/>
  <c r="C136" i="6"/>
  <c r="A136" i="6" s="1"/>
  <c r="C137" i="6"/>
  <c r="A137" i="6" s="1"/>
  <c r="C138" i="6"/>
  <c r="A138" i="6" s="1"/>
  <c r="C139" i="6"/>
  <c r="A139" i="6" s="1"/>
  <c r="C141" i="6"/>
  <c r="A141" i="6" s="1"/>
  <c r="C142" i="6"/>
  <c r="C143" i="6"/>
  <c r="A143" i="6" s="1"/>
  <c r="C144" i="6"/>
  <c r="A144" i="6" s="1"/>
  <c r="C145" i="6"/>
  <c r="A145" i="6" s="1"/>
  <c r="C146" i="6"/>
  <c r="A146" i="6" s="1"/>
  <c r="C147" i="6"/>
  <c r="A147" i="6" s="1"/>
  <c r="C148" i="6"/>
  <c r="A148" i="6" s="1"/>
  <c r="C149" i="6"/>
  <c r="A149" i="6" s="1"/>
  <c r="C150" i="6"/>
  <c r="A150" i="6" s="1"/>
  <c r="C151" i="6"/>
  <c r="A151" i="6" s="1"/>
  <c r="C152" i="6"/>
  <c r="A152" i="6" s="1"/>
  <c r="C153" i="6"/>
  <c r="A153" i="6" s="1"/>
  <c r="C154" i="6"/>
  <c r="A154" i="6" s="1"/>
  <c r="C155" i="6"/>
  <c r="A155" i="6" s="1"/>
  <c r="C156" i="6"/>
  <c r="A156" i="6" s="1"/>
  <c r="C157" i="6"/>
  <c r="A157" i="6" s="1"/>
  <c r="C158" i="6"/>
  <c r="A158" i="6" s="1"/>
  <c r="C159" i="6"/>
  <c r="A159" i="6" s="1"/>
  <c r="C160" i="6"/>
  <c r="A160" i="6" s="1"/>
  <c r="C161" i="6"/>
  <c r="A161" i="6" s="1"/>
  <c r="C163" i="6"/>
  <c r="A163" i="6" s="1"/>
  <c r="D163" i="6"/>
  <c r="C164" i="6"/>
  <c r="D164" i="6"/>
  <c r="C165" i="6"/>
  <c r="A165" i="6" s="1"/>
  <c r="D165" i="6"/>
  <c r="C140" i="6" l="1"/>
  <c r="A140" i="6" s="1"/>
  <c r="C162" i="6"/>
  <c r="A162" i="6" s="1"/>
  <c r="A142" i="6"/>
  <c r="C51" i="6"/>
  <c r="A51" i="6" s="1"/>
  <c r="A164" i="6"/>
  <c r="C118" i="6"/>
  <c r="A118" i="6" s="1"/>
  <c r="C73" i="6"/>
  <c r="A73" i="6" s="1"/>
  <c r="A74" i="6"/>
  <c r="A119" i="6"/>
  <c r="C95" i="6"/>
  <c r="A95" i="6" s="1"/>
  <c r="AD4" i="12"/>
  <c r="AD5" i="12"/>
  <c r="AD6" i="12"/>
  <c r="AD7" i="12"/>
  <c r="AD8" i="12"/>
  <c r="AD9" i="12"/>
  <c r="AD10" i="12"/>
  <c r="AD11" i="12"/>
  <c r="AD12" i="12"/>
  <c r="AD13" i="12"/>
  <c r="AD14" i="12"/>
  <c r="AD15" i="12"/>
  <c r="AD16" i="12"/>
  <c r="AD17" i="12"/>
  <c r="AD18" i="12"/>
  <c r="AD19" i="12"/>
  <c r="AD20" i="12"/>
  <c r="AD21" i="12"/>
  <c r="AD22" i="12"/>
  <c r="AS3" i="18" l="1"/>
  <c r="D120" i="6" s="1"/>
  <c r="AS4" i="18"/>
  <c r="D121" i="6" s="1"/>
  <c r="AS5" i="18"/>
  <c r="D122" i="6" s="1"/>
  <c r="AS6" i="18"/>
  <c r="D123" i="6" s="1"/>
  <c r="AS7" i="18"/>
  <c r="D124" i="6" s="1"/>
  <c r="AS8" i="18"/>
  <c r="D125" i="6" s="1"/>
  <c r="AS9" i="18"/>
  <c r="D126" i="6" s="1"/>
  <c r="AS10" i="18"/>
  <c r="D127" i="6" s="1"/>
  <c r="AS11" i="18"/>
  <c r="D128" i="6" s="1"/>
  <c r="AS12" i="18"/>
  <c r="D129" i="6" s="1"/>
  <c r="AS13" i="18"/>
  <c r="D130" i="6" s="1"/>
  <c r="AS14" i="18"/>
  <c r="D131" i="6" s="1"/>
  <c r="AS15" i="18"/>
  <c r="D132" i="6" s="1"/>
  <c r="AS16" i="18"/>
  <c r="D133" i="6" s="1"/>
  <c r="AS17" i="18"/>
  <c r="D134" i="6" s="1"/>
  <c r="AS18" i="18"/>
  <c r="D135" i="6" s="1"/>
  <c r="AS19" i="18"/>
  <c r="D136" i="6" s="1"/>
  <c r="AS20" i="18"/>
  <c r="D137" i="6" s="1"/>
  <c r="AS21" i="18"/>
  <c r="D138" i="6" s="1"/>
  <c r="AS22" i="18"/>
  <c r="D139" i="6" s="1"/>
  <c r="D9" i="8"/>
  <c r="D10" i="8"/>
  <c r="D11" i="8"/>
  <c r="D12" i="8"/>
  <c r="AG18" i="19" l="1"/>
  <c r="AG24" i="19"/>
  <c r="AG26" i="19"/>
  <c r="AG28" i="19"/>
  <c r="AG32" i="19"/>
  <c r="AG34" i="19"/>
  <c r="AG36" i="19"/>
  <c r="AG14" i="19"/>
  <c r="AG10" i="19"/>
  <c r="AG8" i="19"/>
  <c r="AG6" i="19"/>
  <c r="AF31" i="19" l="1"/>
  <c r="AF32" i="19"/>
  <c r="AF33" i="19"/>
  <c r="AF34" i="19"/>
  <c r="AF35" i="19"/>
  <c r="AF36" i="19"/>
  <c r="AF37" i="19"/>
  <c r="AF38" i="19"/>
  <c r="AG38" i="19" s="1"/>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P36" i="19"/>
  <c r="O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K13" i="20"/>
  <c r="K14" i="20"/>
  <c r="A14" i="20" s="1"/>
  <c r="K15" i="20"/>
  <c r="A15" i="20" s="1"/>
  <c r="K16" i="20"/>
  <c r="A16" i="20" s="1"/>
  <c r="K17" i="20"/>
  <c r="K18" i="20"/>
  <c r="A18" i="20" s="1"/>
  <c r="K19" i="20"/>
  <c r="A19" i="20" s="1"/>
  <c r="K20" i="20"/>
  <c r="A20" i="20" s="1"/>
  <c r="K21" i="20"/>
  <c r="K22" i="20"/>
  <c r="A22" i="20" s="1"/>
  <c r="K2" i="20"/>
  <c r="A2" i="20" s="1"/>
  <c r="A4" i="20"/>
  <c r="A5" i="20"/>
  <c r="A12" i="20"/>
  <c r="A13" i="20"/>
  <c r="A17" i="20"/>
  <c r="A21" i="20"/>
  <c r="X3" i="20"/>
  <c r="X4" i="20"/>
  <c r="X5" i="20"/>
  <c r="X6" i="20"/>
  <c r="X7" i="20"/>
  <c r="X8" i="20"/>
  <c r="X9" i="20"/>
  <c r="X10" i="20"/>
  <c r="X11" i="20"/>
  <c r="X12" i="20"/>
  <c r="X13" i="20"/>
  <c r="X14" i="20"/>
  <c r="X15" i="20"/>
  <c r="X16" i="20"/>
  <c r="X17" i="20"/>
  <c r="X18" i="20"/>
  <c r="X19" i="20"/>
  <c r="X20" i="20"/>
  <c r="X21" i="20"/>
  <c r="X22" i="20"/>
  <c r="X2" i="20"/>
  <c r="T3" i="20"/>
  <c r="T4" i="20"/>
  <c r="T5" i="20"/>
  <c r="T6" i="20"/>
  <c r="T7" i="20"/>
  <c r="T8" i="20"/>
  <c r="T9" i="20"/>
  <c r="T10" i="20"/>
  <c r="T11" i="20"/>
  <c r="T12" i="20"/>
  <c r="T13" i="20"/>
  <c r="T14" i="20"/>
  <c r="T15" i="20"/>
  <c r="T16" i="20"/>
  <c r="T17" i="20"/>
  <c r="T18" i="20"/>
  <c r="T19" i="20"/>
  <c r="T20" i="20"/>
  <c r="T21" i="20"/>
  <c r="T22" i="20"/>
  <c r="T2" i="20"/>
  <c r="Q22" i="21"/>
  <c r="Q20" i="21"/>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AA7" i="20"/>
  <c r="AA8" i="20"/>
  <c r="AA9" i="20"/>
  <c r="R9" i="20" s="1"/>
  <c r="AA10" i="20"/>
  <c r="AA11" i="20"/>
  <c r="AA12" i="20"/>
  <c r="AA13" i="20"/>
  <c r="R13" i="20" s="1"/>
  <c r="AA14" i="20"/>
  <c r="R14" i="20" s="1"/>
  <c r="AA15" i="20"/>
  <c r="R15" i="20" s="1"/>
  <c r="AA16" i="20"/>
  <c r="AA17" i="20"/>
  <c r="R17" i="20" s="1"/>
  <c r="AA18" i="20"/>
  <c r="R18" i="20" s="1"/>
  <c r="AA19" i="20"/>
  <c r="R19" i="20" s="1"/>
  <c r="AA20" i="20"/>
  <c r="AA21" i="20"/>
  <c r="R21" i="20" s="1"/>
  <c r="AA22" i="20"/>
  <c r="R22" i="20" s="1"/>
  <c r="AA2"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A1" i="20" s="1"/>
  <c r="A19" i="21"/>
  <c r="A20" i="21"/>
  <c r="A18" i="21"/>
  <c r="W3" i="20" s="1"/>
  <c r="R2" i="20" l="1"/>
  <c r="R11" i="20"/>
  <c r="R10" i="20"/>
  <c r="R6" i="20"/>
  <c r="W2" i="20"/>
  <c r="R3" i="20"/>
  <c r="R5" i="20"/>
  <c r="W4" i="20"/>
  <c r="R7" i="20"/>
  <c r="R20" i="20"/>
  <c r="R16" i="20"/>
  <c r="R12" i="20"/>
  <c r="R8" i="20"/>
  <c r="R4" i="20"/>
  <c r="AG30" i="2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F6" i="21"/>
  <c r="AG6" i="21" s="1"/>
  <c r="AG5" i="21"/>
  <c r="AF4" i="21"/>
  <c r="AG4" i="21" s="1"/>
  <c r="AG3" i="21"/>
  <c r="AF2" i="21"/>
  <c r="AG2" i="21" s="1"/>
  <c r="B1" i="21"/>
  <c r="L1" i="20" s="1"/>
  <c r="AB1"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F6" i="19"/>
  <c r="AF8" i="19"/>
  <c r="AF10" i="19"/>
  <c r="AF12" i="19"/>
  <c r="AF14" i="19"/>
  <c r="AF30" i="19"/>
  <c r="AG30" i="19" s="1"/>
  <c r="AE17" i="18"/>
  <c r="AE18" i="18"/>
  <c r="AE19" i="18"/>
  <c r="AE20" i="18"/>
  <c r="AE21" i="18"/>
  <c r="AE22" i="18"/>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AL21" i="18"/>
  <c r="AI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Y17" i="18"/>
  <c r="Y18" i="18"/>
  <c r="Y19" i="18"/>
  <c r="Y20" i="18"/>
  <c r="Y21" i="18"/>
  <c r="Y22" i="18"/>
  <c r="K3" i="18"/>
  <c r="K4" i="18"/>
  <c r="K5" i="18"/>
  <c r="K6" i="18"/>
  <c r="K7" i="18"/>
  <c r="K8" i="18"/>
  <c r="K9" i="18"/>
  <c r="K10" i="18"/>
  <c r="K11" i="18"/>
  <c r="K12" i="18"/>
  <c r="K13" i="18"/>
  <c r="K14" i="18"/>
  <c r="K15" i="18"/>
  <c r="K16" i="18"/>
  <c r="K17" i="18"/>
  <c r="K18" i="18"/>
  <c r="K19" i="18"/>
  <c r="K20" i="18"/>
  <c r="K21" i="18"/>
  <c r="K22" i="18"/>
  <c r="K2" i="18"/>
  <c r="J4" i="18"/>
  <c r="J20" i="18"/>
  <c r="P6" i="19"/>
  <c r="F3" i="18"/>
  <c r="F4" i="18"/>
  <c r="F5" i="18"/>
  <c r="J5" i="18" s="1"/>
  <c r="F6" i="18"/>
  <c r="J6" i="18" s="1"/>
  <c r="F7" i="18"/>
  <c r="J7" i="18" s="1"/>
  <c r="F8" i="18"/>
  <c r="F9" i="18"/>
  <c r="F10" i="18"/>
  <c r="F11" i="18"/>
  <c r="F12" i="18"/>
  <c r="J12" i="18" s="1"/>
  <c r="F13" i="18"/>
  <c r="J13" i="18" s="1"/>
  <c r="F14" i="18"/>
  <c r="J14" i="18" s="1"/>
  <c r="F15" i="18"/>
  <c r="J15" i="18" s="1"/>
  <c r="F16" i="18"/>
  <c r="J16" i="18" s="1"/>
  <c r="F17" i="18"/>
  <c r="J17" i="18" s="1"/>
  <c r="F18" i="18"/>
  <c r="I18" i="18" s="1"/>
  <c r="F19" i="18"/>
  <c r="J19" i="18" s="1"/>
  <c r="F20" i="18"/>
  <c r="F21" i="18"/>
  <c r="J21" i="18" s="1"/>
  <c r="F22" i="18"/>
  <c r="I22" i="18" s="1"/>
  <c r="I16" i="18"/>
  <c r="F2" i="18"/>
  <c r="I19" i="18"/>
  <c r="I20" i="18"/>
  <c r="P12" i="19"/>
  <c r="O12" i="19"/>
  <c r="Q7" i="19"/>
  <c r="Q8" i="19"/>
  <c r="Q9" i="19"/>
  <c r="Q10" i="19"/>
  <c r="Q11" i="19"/>
  <c r="Q12" i="19"/>
  <c r="Q13" i="19"/>
  <c r="Q14" i="19"/>
  <c r="Q15" i="19"/>
  <c r="Q17" i="19"/>
  <c r="Q19" i="19"/>
  <c r="Q21" i="19"/>
  <c r="Q23" i="19"/>
  <c r="Q25" i="19"/>
  <c r="Q27" i="19"/>
  <c r="Q6" i="19"/>
  <c r="P8" i="19"/>
  <c r="P10" i="19"/>
  <c r="P14" i="19"/>
  <c r="O16" i="19"/>
  <c r="P16" i="19"/>
  <c r="O18" i="19"/>
  <c r="P18" i="19"/>
  <c r="O20" i="19"/>
  <c r="P20" i="19"/>
  <c r="O22" i="19"/>
  <c r="P22" i="19"/>
  <c r="O24" i="19"/>
  <c r="O26" i="19"/>
  <c r="O28" i="19"/>
  <c r="N28" i="19"/>
  <c r="Q28" i="19" s="1"/>
  <c r="N26" i="19"/>
  <c r="AF26" i="19" s="1"/>
  <c r="N24" i="19"/>
  <c r="AF24" i="19" s="1"/>
  <c r="C1" i="19"/>
  <c r="D1" i="19"/>
  <c r="N16" i="19" s="1"/>
  <c r="Q16" i="19" s="1"/>
  <c r="E1" i="19"/>
  <c r="N18" i="19" s="1"/>
  <c r="Q18" i="19" s="1"/>
  <c r="F1" i="19"/>
  <c r="N20" i="19" s="1"/>
  <c r="Q20" i="19" s="1"/>
  <c r="G1" i="19"/>
  <c r="N22" i="19" s="1"/>
  <c r="Q22" i="19" s="1"/>
  <c r="B1" i="19"/>
  <c r="S22" i="20" l="1"/>
  <c r="S19" i="20"/>
  <c r="Q26" i="19"/>
  <c r="Z21" i="18"/>
  <c r="AF28" i="19"/>
  <c r="S13" i="20"/>
  <c r="S12" i="20"/>
  <c r="S4" i="20"/>
  <c r="S7" i="20"/>
  <c r="S10" i="20"/>
  <c r="I21" i="18"/>
  <c r="Z20" i="18"/>
  <c r="S17" i="20"/>
  <c r="S14" i="20"/>
  <c r="S5" i="20"/>
  <c r="S9" i="20"/>
  <c r="S6" i="20"/>
  <c r="S11" i="20"/>
  <c r="S16" i="20"/>
  <c r="Q24" i="19"/>
  <c r="S21" i="20"/>
  <c r="S8" i="20"/>
  <c r="S18" i="20"/>
  <c r="S3" i="20"/>
  <c r="S15" i="20"/>
  <c r="S2" i="20"/>
  <c r="S20" i="20"/>
  <c r="I14" i="18"/>
  <c r="J18" i="18"/>
  <c r="I15" i="18"/>
  <c r="J3" i="18"/>
  <c r="J22" i="18"/>
  <c r="J11" i="18"/>
  <c r="J2" i="18"/>
  <c r="I13" i="18"/>
  <c r="I17" i="18"/>
  <c r="Z5" i="18"/>
  <c r="AF22" i="19"/>
  <c r="AG22" i="19" s="1"/>
  <c r="AF20" i="19"/>
  <c r="AF18" i="19"/>
  <c r="AF16" i="19"/>
  <c r="Z19" i="18"/>
  <c r="Z17" i="18"/>
  <c r="Z9" i="18"/>
  <c r="Z16" i="18"/>
  <c r="Z15" i="18"/>
  <c r="Z7" i="18"/>
  <c r="Z11" i="18"/>
  <c r="Z3" i="18"/>
  <c r="Z12" i="18"/>
  <c r="Z8" i="18"/>
  <c r="Z4" i="18"/>
  <c r="Z13" i="18"/>
  <c r="D2" i="20"/>
  <c r="B141" i="6" s="1"/>
  <c r="C2" i="20"/>
  <c r="D4" i="20"/>
  <c r="B143" i="6" s="1"/>
  <c r="C4" i="20"/>
  <c r="C8" i="20"/>
  <c r="D8" i="20"/>
  <c r="B147" i="6" s="1"/>
  <c r="C12" i="20"/>
  <c r="D12" i="20"/>
  <c r="B151" i="6" s="1"/>
  <c r="C16" i="20"/>
  <c r="D16" i="20"/>
  <c r="B155" i="6" s="1"/>
  <c r="D18" i="20"/>
  <c r="B157" i="6" s="1"/>
  <c r="C18" i="20"/>
  <c r="C20" i="20"/>
  <c r="D20" i="20"/>
  <c r="B159" i="6" s="1"/>
  <c r="D22" i="20"/>
  <c r="B161" i="6" s="1"/>
  <c r="C22" i="20"/>
  <c r="C9" i="20"/>
  <c r="D9" i="20"/>
  <c r="B148" i="6" s="1"/>
  <c r="D6" i="20"/>
  <c r="B145" i="6" s="1"/>
  <c r="C6" i="20"/>
  <c r="D10" i="20"/>
  <c r="B149" i="6" s="1"/>
  <c r="C10" i="20"/>
  <c r="D14" i="20"/>
  <c r="B153" i="6" s="1"/>
  <c r="C14" i="20"/>
  <c r="C13" i="20"/>
  <c r="D13" i="20"/>
  <c r="B152" i="6" s="1"/>
  <c r="D3" i="20"/>
  <c r="B142" i="6" s="1"/>
  <c r="C3" i="20"/>
  <c r="C5" i="20"/>
  <c r="D5" i="20"/>
  <c r="B144" i="6" s="1"/>
  <c r="D7" i="20"/>
  <c r="B146" i="6" s="1"/>
  <c r="C7" i="20"/>
  <c r="D11" i="20"/>
  <c r="B150" i="6" s="1"/>
  <c r="C11" i="20"/>
  <c r="D15" i="20"/>
  <c r="B154" i="6" s="1"/>
  <c r="C15" i="20"/>
  <c r="D17" i="20"/>
  <c r="B156" i="6" s="1"/>
  <c r="C17" i="20"/>
  <c r="C19" i="20"/>
  <c r="D19" i="20"/>
  <c r="B158" i="6" s="1"/>
  <c r="D21" i="20"/>
  <c r="B160" i="6" s="1"/>
  <c r="C21" i="20"/>
  <c r="AF26" i="21"/>
  <c r="AG26" i="21" s="1"/>
  <c r="Q24" i="21"/>
  <c r="AF18" i="21"/>
  <c r="AG18" i="21" s="1"/>
  <c r="AF20" i="21"/>
  <c r="AG20" i="21" s="1"/>
  <c r="AF22" i="21"/>
  <c r="AG22" i="21" s="1"/>
  <c r="AF16" i="21"/>
  <c r="AG16" i="21" s="1"/>
  <c r="Q28" i="21"/>
  <c r="Z22" i="18"/>
  <c r="Z18" i="18"/>
  <c r="Z14" i="18"/>
  <c r="Z10" i="18"/>
  <c r="Z6" i="18"/>
  <c r="Z2" i="18"/>
  <c r="AS2" i="18" s="1"/>
  <c r="D119" i="6" s="1"/>
  <c r="J10" i="18"/>
  <c r="J9" i="18"/>
  <c r="J8" i="18"/>
  <c r="Y18" i="20" l="1"/>
  <c r="Y10" i="20"/>
  <c r="Y11" i="20"/>
  <c r="Y20" i="20"/>
  <c r="Y14" i="20"/>
  <c r="Y2" i="20"/>
  <c r="Y4" i="20"/>
  <c r="Y6" i="20"/>
  <c r="Y16" i="20"/>
  <c r="Y12" i="20"/>
  <c r="Y21" i="20"/>
  <c r="Y9" i="20"/>
  <c r="Y5" i="20"/>
  <c r="Y15" i="20"/>
  <c r="Y13" i="20"/>
  <c r="Y8" i="20"/>
  <c r="Y19" i="20"/>
  <c r="Y22" i="20"/>
  <c r="Y17" i="20"/>
  <c r="Y7" i="20"/>
  <c r="Y3" i="20"/>
  <c r="B140" i="6"/>
  <c r="E22" i="6"/>
  <c r="B23" i="6" s="1"/>
  <c r="F22" i="6"/>
  <c r="G22" i="6" s="1"/>
  <c r="N2" i="20"/>
  <c r="N6" i="20" l="1"/>
  <c r="N7" i="20" l="1"/>
  <c r="N9" i="20" l="1"/>
  <c r="Q11" i="20" l="1"/>
  <c r="U11" i="20" s="1"/>
  <c r="N11" i="20" s="1"/>
  <c r="W11" i="20"/>
  <c r="W12" i="20" l="1"/>
  <c r="Q12" i="20"/>
  <c r="U12" i="20" s="1"/>
  <c r="N12" i="20" s="1"/>
  <c r="W13" i="20" l="1"/>
  <c r="Q13" i="20"/>
  <c r="U13" i="20" s="1"/>
  <c r="N13" i="20" s="1"/>
  <c r="Q14" i="20" l="1"/>
  <c r="U14" i="20" s="1"/>
  <c r="N14" i="20" s="1"/>
  <c r="W14" i="20"/>
  <c r="Q15" i="20" l="1"/>
  <c r="U15" i="20" s="1"/>
  <c r="N15" i="20" s="1"/>
  <c r="W15" i="20"/>
  <c r="W16" i="20" l="1"/>
  <c r="Q16" i="20"/>
  <c r="U16" i="20" s="1"/>
  <c r="W17" i="20" l="1"/>
  <c r="Q17" i="20"/>
  <c r="U17" i="20" s="1"/>
  <c r="Q18" i="20" l="1"/>
  <c r="U18" i="20" s="1"/>
  <c r="W18" i="20"/>
  <c r="W19" i="20" l="1"/>
  <c r="Q19" i="20"/>
  <c r="U19" i="20" s="1"/>
  <c r="W20" i="20" l="1"/>
  <c r="Q20" i="20"/>
  <c r="U20" i="20" s="1"/>
  <c r="Q21" i="20" l="1"/>
  <c r="U21" i="20" s="1"/>
  <c r="W21" i="20"/>
  <c r="Q22" i="20" l="1"/>
  <c r="U22" i="20" s="1"/>
  <c r="W22" i="20"/>
  <c r="P4" i="19" l="1"/>
  <c r="N4" i="19"/>
  <c r="AF4" i="19" s="1"/>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AF2" i="19" l="1"/>
  <c r="AA17" i="18"/>
  <c r="AA16" i="18"/>
  <c r="AA7" i="18"/>
  <c r="AA3" i="18"/>
  <c r="AA8" i="18"/>
  <c r="AA5" i="18"/>
  <c r="AA10" i="18"/>
  <c r="AA6" i="18"/>
  <c r="AA14" i="18"/>
  <c r="AA20" i="18"/>
  <c r="AA19" i="18"/>
  <c r="AA11" i="18"/>
  <c r="AA22" i="18"/>
  <c r="AA21" i="18"/>
  <c r="AA9" i="18"/>
  <c r="AA15" i="18"/>
  <c r="AA12" i="18"/>
  <c r="AA4" i="18"/>
  <c r="AA18" i="18"/>
  <c r="AA2" i="18"/>
  <c r="AA13" i="18"/>
  <c r="I12" i="18"/>
  <c r="C12" i="18" s="1"/>
  <c r="I11" i="18"/>
  <c r="C11" i="18" s="1"/>
  <c r="I10" i="18"/>
  <c r="I9" i="18"/>
  <c r="C9" i="18" s="1"/>
  <c r="I8" i="18"/>
  <c r="I7" i="18"/>
  <c r="I6" i="18"/>
  <c r="I5" i="18"/>
  <c r="I3" i="18"/>
  <c r="I4" i="18"/>
  <c r="I2" i="18"/>
  <c r="C2" i="18" s="1"/>
  <c r="D2" i="18"/>
  <c r="B119" i="6" s="1"/>
  <c r="D3" i="18"/>
  <c r="B120" i="6" s="1"/>
  <c r="D5" i="18"/>
  <c r="B122" i="6" s="1"/>
  <c r="D7" i="18"/>
  <c r="B124" i="6" s="1"/>
  <c r="D10" i="18"/>
  <c r="B127" i="6" s="1"/>
  <c r="D12" i="18"/>
  <c r="B129" i="6" s="1"/>
  <c r="D13" i="18"/>
  <c r="B130" i="6" s="1"/>
  <c r="D14" i="18"/>
  <c r="B131" i="6" s="1"/>
  <c r="D15" i="18"/>
  <c r="B132" i="6" s="1"/>
  <c r="D16" i="18"/>
  <c r="B133" i="6" s="1"/>
  <c r="D17" i="18"/>
  <c r="B134" i="6" s="1"/>
  <c r="D18" i="18"/>
  <c r="B135" i="6" s="1"/>
  <c r="D19" i="18"/>
  <c r="B136" i="6" s="1"/>
  <c r="D20" i="18"/>
  <c r="B137" i="6" s="1"/>
  <c r="D21" i="18"/>
  <c r="B138" i="6" s="1"/>
  <c r="D22" i="18"/>
  <c r="B139" i="6" s="1"/>
  <c r="D4" i="18"/>
  <c r="B121" i="6" s="1"/>
  <c r="D6" i="18"/>
  <c r="B123" i="6" s="1"/>
  <c r="D8" i="18"/>
  <c r="B125" i="6" s="1"/>
  <c r="D9" i="18"/>
  <c r="B126" i="6" s="1"/>
  <c r="D11" i="18"/>
  <c r="B128" i="6" s="1"/>
  <c r="AE38" i="13"/>
  <c r="Z38" i="13"/>
  <c r="AA38" i="13"/>
  <c r="AB38" i="13"/>
  <c r="AC38" i="13"/>
  <c r="AD38" i="13"/>
  <c r="S38" i="13"/>
  <c r="T38" i="13"/>
  <c r="U38" i="13"/>
  <c r="V38" i="13"/>
  <c r="W38" i="13"/>
  <c r="X38" i="13"/>
  <c r="Y38" i="13"/>
  <c r="R38" i="13"/>
  <c r="W1" i="12"/>
  <c r="O36" i="13"/>
  <c r="AR3" i="14"/>
  <c r="AR4" i="14"/>
  <c r="AR5" i="14"/>
  <c r="AR6" i="14"/>
  <c r="AR7" i="14"/>
  <c r="AR8" i="14"/>
  <c r="AR9" i="14"/>
  <c r="AR10" i="14"/>
  <c r="AR11" i="14"/>
  <c r="AR12" i="14"/>
  <c r="AR13" i="14"/>
  <c r="AR14" i="14"/>
  <c r="AR15" i="14"/>
  <c r="AR16" i="14"/>
  <c r="AR17" i="14"/>
  <c r="AR18" i="14"/>
  <c r="AR19" i="14"/>
  <c r="AR20" i="14"/>
  <c r="AR21" i="14"/>
  <c r="AR22" i="14"/>
  <c r="S24" i="14"/>
  <c r="S25" i="14"/>
  <c r="AG22" i="18" l="1"/>
  <c r="AG17" i="18"/>
  <c r="AG6" i="18"/>
  <c r="AG12" i="18"/>
  <c r="AG19" i="18"/>
  <c r="AG2" i="18"/>
  <c r="AG10" i="18"/>
  <c r="AG13" i="18"/>
  <c r="AG8" i="18"/>
  <c r="AG15" i="18"/>
  <c r="AG9" i="18"/>
  <c r="AG20" i="18"/>
  <c r="AG4" i="18"/>
  <c r="AG14" i="18"/>
  <c r="AG11" i="18"/>
  <c r="AG21" i="18"/>
  <c r="AG5" i="18"/>
  <c r="AG18" i="18"/>
  <c r="AG16" i="18"/>
  <c r="AG7" i="18"/>
  <c r="AG3" i="18"/>
  <c r="B118" i="6"/>
  <c r="C10" i="18"/>
  <c r="C8" i="18"/>
  <c r="C7" i="18"/>
  <c r="C6" i="18"/>
  <c r="C5" i="18"/>
  <c r="C4" i="18"/>
  <c r="C3" i="18"/>
  <c r="F21" i="6"/>
  <c r="AI5" i="8"/>
  <c r="AI4" i="8"/>
  <c r="AH5" i="8"/>
  <c r="AJ5" i="8"/>
  <c r="AI3" i="8"/>
  <c r="AI2" i="8"/>
  <c r="AF9" i="8"/>
  <c r="AH9" i="8" s="1"/>
  <c r="AF7" i="8"/>
  <c r="AH7" i="8" s="1"/>
  <c r="AF8" i="8"/>
  <c r="AF6" i="8"/>
  <c r="AH6" i="8" s="1"/>
  <c r="Q23" i="10"/>
  <c r="A20" i="6"/>
  <c r="A21" i="6"/>
  <c r="A19" i="6"/>
  <c r="S31" i="13"/>
  <c r="T31" i="13"/>
  <c r="U31" i="13"/>
  <c r="V31" i="13"/>
  <c r="X31" i="13"/>
  <c r="Y31" i="13"/>
  <c r="Z31" i="13"/>
  <c r="AA31" i="13"/>
  <c r="AB31" i="13"/>
  <c r="AC31" i="13"/>
  <c r="R31" i="13"/>
  <c r="F2" i="14"/>
  <c r="F3" i="14"/>
  <c r="F4" i="14"/>
  <c r="F5" i="14"/>
  <c r="F6" i="14"/>
  <c r="F7" i="14"/>
  <c r="F8" i="14"/>
  <c r="F9" i="14"/>
  <c r="D47" i="8"/>
  <c r="D44" i="8"/>
  <c r="D45" i="8"/>
  <c r="D46" i="8"/>
  <c r="D36" i="8"/>
  <c r="D37" i="8"/>
  <c r="D38" i="8"/>
  <c r="D39" i="8"/>
  <c r="D41" i="8"/>
  <c r="D42" i="8"/>
  <c r="D43" i="8"/>
  <c r="O34" i="13"/>
  <c r="D35" i="8"/>
  <c r="B34" i="8"/>
  <c r="C34" i="8"/>
  <c r="D34" i="8"/>
  <c r="B33" i="8"/>
  <c r="F2" i="12"/>
  <c r="F3" i="12"/>
  <c r="F23" i="12"/>
  <c r="F4" i="12"/>
  <c r="F6" i="12"/>
  <c r="F7" i="12"/>
  <c r="F8" i="12"/>
  <c r="F9" i="12"/>
  <c r="F10" i="12"/>
  <c r="F11" i="12"/>
  <c r="F12" i="12"/>
  <c r="F13" i="12"/>
  <c r="F14" i="12"/>
  <c r="F15" i="12"/>
  <c r="F16" i="12"/>
  <c r="F17" i="12"/>
  <c r="F18" i="12"/>
  <c r="F19" i="12"/>
  <c r="F20" i="12"/>
  <c r="F21" i="12"/>
  <c r="F22" i="12"/>
  <c r="F24" i="12"/>
  <c r="R1" i="12"/>
  <c r="S1" i="12"/>
  <c r="T1" i="12"/>
  <c r="U1" i="12"/>
  <c r="V1" i="12"/>
  <c r="X1" i="12"/>
  <c r="Q1" i="12"/>
  <c r="P34" i="13"/>
  <c r="P32" i="13"/>
  <c r="AD2" i="12" l="1"/>
  <c r="AD3" i="12"/>
  <c r="E21" i="6"/>
  <c r="B22" i="6" s="1"/>
  <c r="A3" i="14"/>
  <c r="A4" i="14"/>
  <c r="A5" i="14"/>
  <c r="A6" i="14"/>
  <c r="A7" i="14"/>
  <c r="A8" i="14"/>
  <c r="A9" i="14"/>
  <c r="A10" i="14"/>
  <c r="A11" i="14"/>
  <c r="A12" i="14"/>
  <c r="A13" i="14"/>
  <c r="A14" i="14"/>
  <c r="A15" i="14"/>
  <c r="A16" i="14"/>
  <c r="A17" i="14"/>
  <c r="A18" i="14"/>
  <c r="A19" i="14"/>
  <c r="A20" i="14"/>
  <c r="A21" i="14"/>
  <c r="A22" i="14"/>
  <c r="A23" i="14"/>
  <c r="A2" i="14"/>
  <c r="N29" i="8"/>
  <c r="C30" i="8" s="1"/>
  <c r="B163" i="6" s="1"/>
  <c r="N28" i="8"/>
  <c r="C29" i="8" s="1"/>
  <c r="N27" i="8"/>
  <c r="C28" i="8" s="1"/>
  <c r="N26" i="8"/>
  <c r="C27" i="8" s="1"/>
  <c r="N25" i="8"/>
  <c r="S22" i="14" l="1"/>
  <c r="AM22" i="14"/>
  <c r="S21" i="14"/>
  <c r="AM21" i="14"/>
  <c r="S17" i="14"/>
  <c r="AM17" i="14"/>
  <c r="S13" i="14"/>
  <c r="AM13" i="14"/>
  <c r="S18" i="14"/>
  <c r="AM18" i="14"/>
  <c r="S20" i="14"/>
  <c r="AM20" i="14"/>
  <c r="S16" i="14"/>
  <c r="AM16" i="14"/>
  <c r="S12" i="14"/>
  <c r="AM12" i="14"/>
  <c r="S14" i="14"/>
  <c r="AM14" i="14"/>
  <c r="S10" i="14"/>
  <c r="AM10" i="14"/>
  <c r="S23" i="14"/>
  <c r="AM23" i="14"/>
  <c r="S19" i="14"/>
  <c r="AM19" i="14"/>
  <c r="S15" i="14"/>
  <c r="AM15" i="14"/>
  <c r="S11" i="14"/>
  <c r="AM11" i="14"/>
  <c r="G21" i="6"/>
  <c r="S9" i="14"/>
  <c r="AM9" i="14"/>
  <c r="S8" i="14"/>
  <c r="AM8" i="14"/>
  <c r="D63" i="8"/>
  <c r="K3" i="12"/>
  <c r="K4" i="12"/>
  <c r="K5" i="12"/>
  <c r="K6" i="12"/>
  <c r="K7" i="12"/>
  <c r="K8" i="12"/>
  <c r="K9" i="12"/>
  <c r="K10" i="12"/>
  <c r="K11" i="12"/>
  <c r="K12" i="12"/>
  <c r="K13" i="12"/>
  <c r="K14" i="12"/>
  <c r="K15" i="12"/>
  <c r="K16" i="12"/>
  <c r="K17" i="12"/>
  <c r="K18" i="12"/>
  <c r="K19" i="12"/>
  <c r="K20" i="12"/>
  <c r="K21" i="12"/>
  <c r="K22" i="12"/>
  <c r="N28" i="15" l="1"/>
  <c r="K2" i="12"/>
  <c r="C65" i="8"/>
  <c r="E65" i="8" s="1"/>
  <c r="C64" i="8"/>
  <c r="C62" i="8"/>
  <c r="E64" i="8" l="1"/>
  <c r="E63" i="8" s="1"/>
  <c r="C63" i="8"/>
  <c r="B165" i="6"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D62" i="8" s="1"/>
  <c r="E62" i="8" s="1"/>
  <c r="A48" i="15"/>
  <c r="A40" i="15"/>
  <c r="A38" i="15"/>
  <c r="A35" i="15"/>
  <c r="A34" i="15"/>
  <c r="A47" i="15" s="1"/>
  <c r="A33" i="15"/>
  <c r="A46" i="15" s="1"/>
  <c r="A32" i="15"/>
  <c r="A45" i="15" s="1"/>
  <c r="A31" i="15"/>
  <c r="A44" i="15" s="1"/>
  <c r="A30" i="15"/>
  <c r="A43" i="15" s="1"/>
  <c r="A29" i="15"/>
  <c r="A42" i="15" s="1"/>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X23" i="14"/>
  <c r="AI23" i="14"/>
  <c r="AH23" i="14"/>
  <c r="AG23" i="14"/>
  <c r="AF23" i="14"/>
  <c r="AE23" i="14"/>
  <c r="X23" i="14"/>
  <c r="F23" i="14"/>
  <c r="B23" i="14"/>
  <c r="AX22" i="14"/>
  <c r="AO22" i="14"/>
  <c r="AI22" i="14"/>
  <c r="AH22" i="14"/>
  <c r="AG22" i="14"/>
  <c r="AF22" i="14"/>
  <c r="AE22" i="14"/>
  <c r="X22" i="14"/>
  <c r="F22" i="14"/>
  <c r="B22" i="14"/>
  <c r="AX21" i="14"/>
  <c r="AO21" i="14"/>
  <c r="AI21" i="14"/>
  <c r="AH21" i="14"/>
  <c r="AG21" i="14"/>
  <c r="AF21" i="14"/>
  <c r="AE21" i="14"/>
  <c r="X21" i="14"/>
  <c r="F21" i="14"/>
  <c r="B21" i="14"/>
  <c r="AX20" i="14"/>
  <c r="AO20" i="14"/>
  <c r="AI20" i="14"/>
  <c r="AH20" i="14"/>
  <c r="AG20" i="14"/>
  <c r="AF20" i="14"/>
  <c r="AE20" i="14"/>
  <c r="X20" i="14"/>
  <c r="F20" i="14"/>
  <c r="B20" i="14"/>
  <c r="AX19" i="14"/>
  <c r="AO19" i="14"/>
  <c r="AI19" i="14"/>
  <c r="AH19" i="14"/>
  <c r="AG19" i="14"/>
  <c r="AF19" i="14"/>
  <c r="AE19" i="14"/>
  <c r="X19" i="14"/>
  <c r="F19" i="14"/>
  <c r="B19" i="14"/>
  <c r="AX18" i="14"/>
  <c r="AO18" i="14"/>
  <c r="AI18" i="14"/>
  <c r="AH18" i="14"/>
  <c r="AG18" i="14"/>
  <c r="AF18" i="14"/>
  <c r="AE18" i="14"/>
  <c r="AB18" i="14"/>
  <c r="X18" i="14"/>
  <c r="F18" i="14"/>
  <c r="B18" i="14"/>
  <c r="AX17" i="14"/>
  <c r="AO17" i="14"/>
  <c r="AI17" i="14"/>
  <c r="AH17" i="14"/>
  <c r="AG17" i="14"/>
  <c r="AF17" i="14"/>
  <c r="AE17" i="14"/>
  <c r="AB17" i="14"/>
  <c r="X17" i="14"/>
  <c r="F17" i="14"/>
  <c r="B17" i="14"/>
  <c r="AX16" i="14"/>
  <c r="AO16" i="14"/>
  <c r="AI16" i="14"/>
  <c r="AH16" i="14"/>
  <c r="AG16" i="14"/>
  <c r="AF16" i="14"/>
  <c r="AE16" i="14"/>
  <c r="AB16" i="14"/>
  <c r="X16" i="14"/>
  <c r="F16" i="14"/>
  <c r="B16" i="14"/>
  <c r="AX15" i="14"/>
  <c r="AO15" i="14"/>
  <c r="AI15" i="14"/>
  <c r="AH15" i="14"/>
  <c r="AG15" i="14"/>
  <c r="AF15" i="14"/>
  <c r="AE15" i="14"/>
  <c r="AB15" i="14"/>
  <c r="X15" i="14"/>
  <c r="F15" i="14"/>
  <c r="B15" i="14"/>
  <c r="AX14" i="14"/>
  <c r="AO14" i="14"/>
  <c r="AI14" i="14"/>
  <c r="AH14" i="14"/>
  <c r="AG14" i="14"/>
  <c r="AF14" i="14"/>
  <c r="AE14" i="14"/>
  <c r="AB14" i="14"/>
  <c r="X14" i="14"/>
  <c r="F14" i="14"/>
  <c r="B14" i="14"/>
  <c r="AX13" i="14"/>
  <c r="AO13" i="14"/>
  <c r="AI13" i="14"/>
  <c r="AH13" i="14"/>
  <c r="AG13" i="14"/>
  <c r="AF13" i="14"/>
  <c r="AE13" i="14"/>
  <c r="AB13" i="14"/>
  <c r="X13" i="14"/>
  <c r="F13" i="14"/>
  <c r="B13" i="14"/>
  <c r="AX12" i="14"/>
  <c r="AO12" i="14"/>
  <c r="AI12" i="14"/>
  <c r="AH12" i="14"/>
  <c r="AG12" i="14"/>
  <c r="AF12" i="14"/>
  <c r="AE12" i="14"/>
  <c r="AB12" i="14"/>
  <c r="X12" i="14"/>
  <c r="F12" i="14"/>
  <c r="B12" i="14"/>
  <c r="AX11" i="14"/>
  <c r="AO11" i="14"/>
  <c r="AI11" i="14"/>
  <c r="AH11" i="14"/>
  <c r="AG11" i="14"/>
  <c r="AF11" i="14"/>
  <c r="AE11" i="14"/>
  <c r="Z11" i="14"/>
  <c r="Y11" i="14"/>
  <c r="X11" i="14"/>
  <c r="F11" i="14"/>
  <c r="B11" i="14"/>
  <c r="AX10" i="14"/>
  <c r="AO10" i="14"/>
  <c r="AI10" i="14"/>
  <c r="AH10" i="14"/>
  <c r="AG10" i="14"/>
  <c r="AF10" i="14"/>
  <c r="AE10" i="14"/>
  <c r="AB10" i="14"/>
  <c r="Z10" i="14"/>
  <c r="X10" i="14"/>
  <c r="F10" i="14"/>
  <c r="B10" i="14"/>
  <c r="AX9" i="14"/>
  <c r="AO9" i="14"/>
  <c r="AI9" i="14"/>
  <c r="AH9" i="14"/>
  <c r="AG9" i="14"/>
  <c r="AF9" i="14"/>
  <c r="AE9" i="14"/>
  <c r="AB9" i="14"/>
  <c r="AA9" i="14"/>
  <c r="Z9" i="14"/>
  <c r="Y9" i="14"/>
  <c r="X9" i="14"/>
  <c r="W9" i="14"/>
  <c r="AD9" i="14" s="1"/>
  <c r="AS9" i="14" s="1"/>
  <c r="B9" i="14"/>
  <c r="AX8" i="14"/>
  <c r="AO8" i="14"/>
  <c r="AI8" i="14"/>
  <c r="AH8" i="14"/>
  <c r="AG8" i="14"/>
  <c r="AF8" i="14"/>
  <c r="AE8" i="14"/>
  <c r="AB8" i="14"/>
  <c r="AA8" i="14"/>
  <c r="Z8" i="14"/>
  <c r="Y8" i="14"/>
  <c r="X8" i="14"/>
  <c r="W8" i="14"/>
  <c r="AD8" i="14" s="1"/>
  <c r="B8" i="14"/>
  <c r="AX7" i="14"/>
  <c r="AO7" i="14"/>
  <c r="AI7" i="14"/>
  <c r="AH7" i="14"/>
  <c r="AG7" i="14"/>
  <c r="AF7" i="14"/>
  <c r="AE7" i="14"/>
  <c r="AB7" i="14"/>
  <c r="AA7" i="14"/>
  <c r="Z7" i="14"/>
  <c r="Y7" i="14"/>
  <c r="X7" i="14"/>
  <c r="W7" i="14"/>
  <c r="AD7" i="14" s="1"/>
  <c r="AS7" i="14" s="1"/>
  <c r="B7" i="14"/>
  <c r="AX6" i="14"/>
  <c r="AO6" i="14"/>
  <c r="AI6" i="14"/>
  <c r="AH6" i="14"/>
  <c r="AG6" i="14"/>
  <c r="AF6" i="14"/>
  <c r="AE6" i="14"/>
  <c r="AB6" i="14"/>
  <c r="AA6" i="14"/>
  <c r="Z6" i="14"/>
  <c r="Y6" i="14"/>
  <c r="X6" i="14"/>
  <c r="W6" i="14"/>
  <c r="AD6" i="14" s="1"/>
  <c r="B6" i="14"/>
  <c r="AX5" i="14"/>
  <c r="AO5" i="14"/>
  <c r="AI5" i="14"/>
  <c r="AH5" i="14"/>
  <c r="AG5" i="14"/>
  <c r="AF5" i="14"/>
  <c r="AE5" i="14"/>
  <c r="AB5" i="14"/>
  <c r="AA5" i="14"/>
  <c r="Z5" i="14"/>
  <c r="Y5" i="14"/>
  <c r="X5" i="14"/>
  <c r="W5" i="14"/>
  <c r="AD5" i="14" s="1"/>
  <c r="AS5" i="14" s="1"/>
  <c r="B5" i="14"/>
  <c r="AX4" i="14"/>
  <c r="AO4" i="14"/>
  <c r="AI4" i="14"/>
  <c r="AH4" i="14"/>
  <c r="AG4" i="14"/>
  <c r="AF4" i="14"/>
  <c r="AE4" i="14"/>
  <c r="AB4" i="14"/>
  <c r="AA4" i="14"/>
  <c r="Z4" i="14"/>
  <c r="Y4" i="14"/>
  <c r="X4" i="14"/>
  <c r="W4" i="14"/>
  <c r="AD4" i="14" s="1"/>
  <c r="B4" i="14"/>
  <c r="AX3" i="14"/>
  <c r="AO3" i="14"/>
  <c r="AI3" i="14"/>
  <c r="AH3" i="14"/>
  <c r="AG3" i="14"/>
  <c r="AF3" i="14"/>
  <c r="AE3" i="14"/>
  <c r="AB3" i="14"/>
  <c r="AA3" i="14"/>
  <c r="Z3" i="14"/>
  <c r="Y3" i="14"/>
  <c r="X3" i="14"/>
  <c r="W3" i="14"/>
  <c r="AD3" i="14" s="1"/>
  <c r="AS3" i="14" s="1"/>
  <c r="B3" i="14"/>
  <c r="AX2" i="14"/>
  <c r="AR2" i="14"/>
  <c r="AO2" i="14"/>
  <c r="AI2" i="14"/>
  <c r="AH2" i="14"/>
  <c r="AG2" i="14"/>
  <c r="AF2" i="14"/>
  <c r="AE2" i="14"/>
  <c r="AB2" i="14"/>
  <c r="AA2" i="14"/>
  <c r="Z2" i="14"/>
  <c r="Y2" i="14"/>
  <c r="X2" i="14"/>
  <c r="W2" i="14"/>
  <c r="AD2" i="14" s="1"/>
  <c r="B2" i="14"/>
  <c r="R1" i="14"/>
  <c r="Q1" i="14"/>
  <c r="P1" i="14"/>
  <c r="O1" i="14"/>
  <c r="N1" i="14"/>
  <c r="M1" i="14"/>
  <c r="L1" i="14"/>
  <c r="P28" i="13"/>
  <c r="O28" i="13"/>
  <c r="P26" i="13"/>
  <c r="O26" i="13"/>
  <c r="P24" i="13"/>
  <c r="O24" i="13"/>
  <c r="P22" i="13"/>
  <c r="O22" i="13"/>
  <c r="P20" i="13"/>
  <c r="O20" i="13"/>
  <c r="P18" i="13"/>
  <c r="O18" i="13"/>
  <c r="O16" i="13"/>
  <c r="O14" i="13"/>
  <c r="O12" i="13"/>
  <c r="P10" i="13"/>
  <c r="O10" i="13"/>
  <c r="O8" i="13"/>
  <c r="P6" i="13"/>
  <c r="O6" i="13"/>
  <c r="P4" i="13"/>
  <c r="O4" i="13"/>
  <c r="N4" i="13"/>
  <c r="O2" i="13"/>
  <c r="N2" i="13"/>
  <c r="AJ22" i="12"/>
  <c r="AI22" i="12" s="1"/>
  <c r="AE22" i="12"/>
  <c r="AC22" i="12"/>
  <c r="AL22" i="12" s="1"/>
  <c r="D94" i="6" s="1"/>
  <c r="AA22" i="12"/>
  <c r="A22" i="12"/>
  <c r="Y22" i="12" s="1"/>
  <c r="B22" i="12"/>
  <c r="AE21" i="12"/>
  <c r="AC21" i="12"/>
  <c r="AL21" i="12" s="1"/>
  <c r="D93" i="6" s="1"/>
  <c r="AA21" i="12"/>
  <c r="A21" i="12"/>
  <c r="Y21" i="12" s="1"/>
  <c r="B21" i="12"/>
  <c r="AJ20" i="12"/>
  <c r="AI20" i="12" s="1"/>
  <c r="AE20" i="12"/>
  <c r="AC20" i="12"/>
  <c r="AL20" i="12" s="1"/>
  <c r="D92" i="6" s="1"/>
  <c r="AA20" i="12"/>
  <c r="A20" i="12"/>
  <c r="Y20" i="12" s="1"/>
  <c r="B20" i="12"/>
  <c r="AE19" i="12"/>
  <c r="AC19" i="12"/>
  <c r="AL19" i="12" s="1"/>
  <c r="D91" i="6" s="1"/>
  <c r="AA19" i="12"/>
  <c r="B19" i="12"/>
  <c r="A19" i="12"/>
  <c r="Y19" i="12" s="1"/>
  <c r="AJ18" i="12"/>
  <c r="AI18" i="12" s="1"/>
  <c r="AE18" i="12"/>
  <c r="AC18" i="12"/>
  <c r="AL18" i="12" s="1"/>
  <c r="D90" i="6" s="1"/>
  <c r="AA18" i="12"/>
  <c r="B18" i="12"/>
  <c r="A18" i="12"/>
  <c r="Y18" i="12" s="1"/>
  <c r="AE17" i="12"/>
  <c r="AC17" i="12"/>
  <c r="AL17" i="12" s="1"/>
  <c r="D89" i="6" s="1"/>
  <c r="AA17" i="12"/>
  <c r="A17" i="12"/>
  <c r="Y17" i="12" s="1"/>
  <c r="B17" i="12"/>
  <c r="AJ16" i="12"/>
  <c r="AI16" i="12" s="1"/>
  <c r="AE16" i="12"/>
  <c r="AC16" i="12"/>
  <c r="AL16" i="12" s="1"/>
  <c r="D88" i="6" s="1"/>
  <c r="AA16" i="12"/>
  <c r="A16" i="12"/>
  <c r="Y16" i="12" s="1"/>
  <c r="B16" i="12"/>
  <c r="AJ15" i="12"/>
  <c r="AI15" i="12" s="1"/>
  <c r="AE15" i="12"/>
  <c r="AC15" i="12"/>
  <c r="AL15" i="12" s="1"/>
  <c r="D87" i="6" s="1"/>
  <c r="AA15" i="12"/>
  <c r="B15" i="12"/>
  <c r="A15" i="12"/>
  <c r="Y15" i="12" s="1"/>
  <c r="AJ14" i="12"/>
  <c r="AI14" i="12" s="1"/>
  <c r="AE14" i="12"/>
  <c r="AC14" i="12"/>
  <c r="AL14" i="12" s="1"/>
  <c r="D86" i="6" s="1"/>
  <c r="AA14" i="12"/>
  <c r="A14" i="12"/>
  <c r="Y14" i="12" s="1"/>
  <c r="B14" i="12"/>
  <c r="AJ13" i="12"/>
  <c r="AI13" i="12" s="1"/>
  <c r="AE13" i="12"/>
  <c r="AC13" i="12"/>
  <c r="AL13" i="12" s="1"/>
  <c r="D85" i="6" s="1"/>
  <c r="AA13" i="12"/>
  <c r="B13" i="12"/>
  <c r="A13" i="12"/>
  <c r="Y13" i="12" s="1"/>
  <c r="AJ12" i="12"/>
  <c r="AI12" i="12" s="1"/>
  <c r="AE12" i="12"/>
  <c r="AC12" i="12"/>
  <c r="AL12" i="12" s="1"/>
  <c r="D84" i="6" s="1"/>
  <c r="AA12" i="12"/>
  <c r="B12" i="12"/>
  <c r="A12" i="12"/>
  <c r="Y12" i="12" s="1"/>
  <c r="AJ11" i="12"/>
  <c r="AI11" i="12" s="1"/>
  <c r="AE11" i="12"/>
  <c r="AC11" i="12"/>
  <c r="AL11" i="12" s="1"/>
  <c r="D83" i="6" s="1"/>
  <c r="AA11" i="12"/>
  <c r="A11" i="12"/>
  <c r="Y11" i="12" s="1"/>
  <c r="B11" i="12"/>
  <c r="AJ10" i="12"/>
  <c r="AI10" i="12" s="1"/>
  <c r="AE10" i="12"/>
  <c r="AC10" i="12"/>
  <c r="AL10" i="12" s="1"/>
  <c r="D82" i="6" s="1"/>
  <c r="AA10" i="12"/>
  <c r="A10" i="12"/>
  <c r="Y10" i="12" s="1"/>
  <c r="B10" i="12"/>
  <c r="AE9" i="12"/>
  <c r="AC9" i="12"/>
  <c r="AL9" i="12" s="1"/>
  <c r="D81" i="6" s="1"/>
  <c r="AA9" i="12"/>
  <c r="B9" i="12"/>
  <c r="A9" i="12"/>
  <c r="Y9" i="12" s="1"/>
  <c r="AE8" i="12"/>
  <c r="AC8" i="12"/>
  <c r="AL8" i="12" s="1"/>
  <c r="D80" i="6" s="1"/>
  <c r="AA8" i="12"/>
  <c r="B8" i="12"/>
  <c r="A8" i="12"/>
  <c r="Y8" i="12" s="1"/>
  <c r="AJ7" i="12"/>
  <c r="AE7" i="12"/>
  <c r="AC7" i="12"/>
  <c r="AL7" i="12" s="1"/>
  <c r="D79" i="6" s="1"/>
  <c r="AA7" i="12"/>
  <c r="A7" i="12"/>
  <c r="Y7" i="12" s="1"/>
  <c r="B7" i="12"/>
  <c r="AJ6" i="12"/>
  <c r="AE6" i="12"/>
  <c r="AC6" i="12"/>
  <c r="AL6" i="12" s="1"/>
  <c r="D78" i="6" s="1"/>
  <c r="AA6" i="12"/>
  <c r="A6" i="12"/>
  <c r="Y6" i="12" s="1"/>
  <c r="B6" i="12"/>
  <c r="AE5" i="12"/>
  <c r="AC5" i="12"/>
  <c r="AL5" i="12" s="1"/>
  <c r="AA5" i="12"/>
  <c r="B5" i="12"/>
  <c r="A5" i="12"/>
  <c r="AE4" i="12"/>
  <c r="AC4" i="12"/>
  <c r="AL4" i="12" s="1"/>
  <c r="D76" i="6" s="1"/>
  <c r="AA4" i="12"/>
  <c r="B4" i="12"/>
  <c r="A4" i="12"/>
  <c r="AJ3" i="12"/>
  <c r="AE3" i="12"/>
  <c r="AC3" i="12"/>
  <c r="AL3" i="12" s="1"/>
  <c r="D75" i="6" s="1"/>
  <c r="AA3" i="12"/>
  <c r="A3" i="12"/>
  <c r="B3" i="12"/>
  <c r="AE2" i="12"/>
  <c r="AC2" i="12"/>
  <c r="AA2" i="12"/>
  <c r="A2" i="12"/>
  <c r="B2" i="12"/>
  <c r="Q92" i="11"/>
  <c r="P92" i="11"/>
  <c r="N92" i="11"/>
  <c r="M92" i="11"/>
  <c r="Q91" i="11"/>
  <c r="P91" i="11"/>
  <c r="N91" i="11"/>
  <c r="M91" i="11"/>
  <c r="Q90" i="11"/>
  <c r="P90" i="11"/>
  <c r="N90" i="11"/>
  <c r="M90" i="11"/>
  <c r="Q89" i="11"/>
  <c r="P89" i="11"/>
  <c r="N89" i="11"/>
  <c r="M89" i="11"/>
  <c r="Q88" i="11"/>
  <c r="P88" i="11"/>
  <c r="N88" i="11"/>
  <c r="M88" i="11"/>
  <c r="Q87" i="11"/>
  <c r="P87" i="11"/>
  <c r="N87" i="11"/>
  <c r="M87" i="11"/>
  <c r="Q86" i="11"/>
  <c r="P86" i="11"/>
  <c r="N86" i="11"/>
  <c r="M86" i="11"/>
  <c r="Q85" i="11"/>
  <c r="P85" i="11"/>
  <c r="N85" i="11"/>
  <c r="M85" i="11"/>
  <c r="Q84" i="11"/>
  <c r="P84" i="11"/>
  <c r="N84" i="11"/>
  <c r="M84" i="11"/>
  <c r="Q83" i="11"/>
  <c r="P83" i="11"/>
  <c r="N83" i="11"/>
  <c r="M83" i="11"/>
  <c r="Q82" i="11"/>
  <c r="P82" i="11"/>
  <c r="N82" i="11"/>
  <c r="M82" i="11"/>
  <c r="Q81" i="11"/>
  <c r="P81" i="11"/>
  <c r="N81" i="11"/>
  <c r="M81" i="11"/>
  <c r="Q80" i="11"/>
  <c r="P80" i="11"/>
  <c r="N80" i="11"/>
  <c r="M80" i="11"/>
  <c r="Q79" i="11"/>
  <c r="P79" i="11"/>
  <c r="N79" i="11"/>
  <c r="M79" i="11"/>
  <c r="Q78" i="11"/>
  <c r="P78" i="11"/>
  <c r="N78" i="11"/>
  <c r="M78" i="11"/>
  <c r="Q77" i="11"/>
  <c r="P77" i="11"/>
  <c r="N77" i="11"/>
  <c r="M77" i="11"/>
  <c r="Q76" i="11"/>
  <c r="P76" i="11"/>
  <c r="N76" i="11"/>
  <c r="M76" i="11"/>
  <c r="Q75" i="11"/>
  <c r="P75" i="11"/>
  <c r="N75" i="11"/>
  <c r="M75" i="11"/>
  <c r="Q74" i="11"/>
  <c r="P74" i="11"/>
  <c r="N74" i="11"/>
  <c r="M74" i="11"/>
  <c r="Q73" i="11"/>
  <c r="P73" i="11"/>
  <c r="N73" i="11"/>
  <c r="M73" i="11"/>
  <c r="Q72" i="11"/>
  <c r="P72" i="11"/>
  <c r="N72" i="11"/>
  <c r="M72" i="11"/>
  <c r="Q71" i="11"/>
  <c r="P71" i="11"/>
  <c r="N71" i="11"/>
  <c r="M71" i="11"/>
  <c r="Q70" i="11"/>
  <c r="P70" i="11"/>
  <c r="N70" i="11"/>
  <c r="M70" i="11"/>
  <c r="Q69" i="11"/>
  <c r="P69" i="11"/>
  <c r="N69" i="11"/>
  <c r="M69" i="11"/>
  <c r="Q68" i="11"/>
  <c r="P68" i="11"/>
  <c r="N68" i="11"/>
  <c r="M68" i="11"/>
  <c r="Q67" i="11"/>
  <c r="P67" i="11"/>
  <c r="N67" i="11"/>
  <c r="M67" i="11"/>
  <c r="Q66" i="11"/>
  <c r="P66" i="11"/>
  <c r="N66" i="11"/>
  <c r="M66" i="11"/>
  <c r="Q65" i="11"/>
  <c r="P65" i="11"/>
  <c r="N65" i="11"/>
  <c r="M65" i="11"/>
  <c r="Q64" i="11"/>
  <c r="P64" i="11"/>
  <c r="N64" i="11"/>
  <c r="M64" i="11"/>
  <c r="Q63" i="11"/>
  <c r="P63" i="11"/>
  <c r="N63" i="11"/>
  <c r="M63" i="11"/>
  <c r="P62" i="11"/>
  <c r="N62" i="11"/>
  <c r="Q62" i="11" s="1"/>
  <c r="M62" i="11"/>
  <c r="P61" i="11"/>
  <c r="N61" i="11"/>
  <c r="Q61" i="11" s="1"/>
  <c r="M61" i="11"/>
  <c r="P60" i="11"/>
  <c r="N60" i="11"/>
  <c r="Q60" i="11" s="1"/>
  <c r="M60" i="11"/>
  <c r="P59" i="11"/>
  <c r="N59" i="11"/>
  <c r="Q59" i="11" s="1"/>
  <c r="M59" i="11"/>
  <c r="P58" i="11"/>
  <c r="N58" i="11"/>
  <c r="Q58" i="11" s="1"/>
  <c r="M58" i="11"/>
  <c r="P57" i="11"/>
  <c r="N57" i="11"/>
  <c r="Q57" i="11" s="1"/>
  <c r="M57" i="11"/>
  <c r="P56" i="11"/>
  <c r="N56" i="11"/>
  <c r="Q56" i="11" s="1"/>
  <c r="M56" i="11"/>
  <c r="P55" i="11"/>
  <c r="N55" i="11"/>
  <c r="Q55" i="11" s="1"/>
  <c r="M55" i="11"/>
  <c r="P54" i="11"/>
  <c r="N54" i="11"/>
  <c r="Q54" i="11" s="1"/>
  <c r="M54" i="11"/>
  <c r="P53" i="11"/>
  <c r="N53" i="11"/>
  <c r="Q53" i="11" s="1"/>
  <c r="M53" i="11"/>
  <c r="P52" i="11"/>
  <c r="N52" i="11"/>
  <c r="Q52" i="11" s="1"/>
  <c r="M52" i="11"/>
  <c r="P51" i="11"/>
  <c r="N51" i="11"/>
  <c r="Q51" i="11" s="1"/>
  <c r="M51" i="11"/>
  <c r="P50" i="11"/>
  <c r="N50" i="11"/>
  <c r="Q50" i="11" s="1"/>
  <c r="M50" i="11"/>
  <c r="P49" i="11"/>
  <c r="N49" i="11"/>
  <c r="Q49" i="11" s="1"/>
  <c r="M49" i="11"/>
  <c r="P48" i="11"/>
  <c r="N48" i="11"/>
  <c r="Q48" i="11" s="1"/>
  <c r="M48" i="11"/>
  <c r="N47" i="11"/>
  <c r="Q47" i="11" s="1"/>
  <c r="M47" i="11"/>
  <c r="P47" i="11" s="1"/>
  <c r="N46" i="11"/>
  <c r="Q46" i="11" s="1"/>
  <c r="M46" i="11"/>
  <c r="P46" i="11" s="1"/>
  <c r="N45" i="11"/>
  <c r="Q45" i="11" s="1"/>
  <c r="M45" i="11"/>
  <c r="P45" i="11" s="1"/>
  <c r="N44" i="11"/>
  <c r="Q44" i="11" s="1"/>
  <c r="M44" i="11"/>
  <c r="P44" i="11" s="1"/>
  <c r="P43" i="11"/>
  <c r="N43" i="11"/>
  <c r="Q43" i="11" s="1"/>
  <c r="M43" i="11"/>
  <c r="P42" i="11"/>
  <c r="N42" i="11"/>
  <c r="Q42" i="11" s="1"/>
  <c r="M42" i="11"/>
  <c r="P41" i="11"/>
  <c r="N41" i="11"/>
  <c r="Q41" i="11" s="1"/>
  <c r="M41" i="11"/>
  <c r="P40" i="11"/>
  <c r="N40" i="11"/>
  <c r="Q40" i="11" s="1"/>
  <c r="M40" i="11"/>
  <c r="P39" i="11"/>
  <c r="N39" i="11"/>
  <c r="Q39" i="11" s="1"/>
  <c r="M39" i="11"/>
  <c r="P38" i="11"/>
  <c r="N38" i="11"/>
  <c r="Q38" i="11" s="1"/>
  <c r="M38" i="11"/>
  <c r="P37" i="11"/>
  <c r="N37" i="11"/>
  <c r="Q37" i="11" s="1"/>
  <c r="M37" i="11"/>
  <c r="P36" i="11"/>
  <c r="N36" i="11"/>
  <c r="Q36" i="11" s="1"/>
  <c r="M36" i="11"/>
  <c r="P35" i="11"/>
  <c r="N35" i="11"/>
  <c r="Q35" i="11" s="1"/>
  <c r="M35" i="11"/>
  <c r="P34" i="11"/>
  <c r="N34" i="11"/>
  <c r="Q34" i="11" s="1"/>
  <c r="M34" i="11"/>
  <c r="P33" i="11"/>
  <c r="N33" i="11"/>
  <c r="Q33" i="11" s="1"/>
  <c r="M33" i="11"/>
  <c r="P32" i="11"/>
  <c r="N32" i="11"/>
  <c r="Q32" i="11" s="1"/>
  <c r="M32" i="11"/>
  <c r="P31" i="11"/>
  <c r="N31" i="11"/>
  <c r="Q31" i="11" s="1"/>
  <c r="M31" i="11"/>
  <c r="P30" i="11"/>
  <c r="N30" i="11"/>
  <c r="Q30" i="11" s="1"/>
  <c r="M30" i="11"/>
  <c r="P29" i="11"/>
  <c r="N29" i="11"/>
  <c r="Q29" i="11" s="1"/>
  <c r="M29" i="11"/>
  <c r="P28" i="11"/>
  <c r="N28" i="11"/>
  <c r="Q28" i="11" s="1"/>
  <c r="M28" i="11"/>
  <c r="P27" i="11"/>
  <c r="N27" i="11"/>
  <c r="Q27" i="11" s="1"/>
  <c r="M27" i="11"/>
  <c r="P26" i="11"/>
  <c r="N26" i="11"/>
  <c r="Q26" i="11" s="1"/>
  <c r="M26" i="11"/>
  <c r="P25" i="11"/>
  <c r="N25" i="11"/>
  <c r="Q25" i="11" s="1"/>
  <c r="M25" i="11"/>
  <c r="P24" i="11"/>
  <c r="N24" i="11"/>
  <c r="Q24" i="11" s="1"/>
  <c r="M24" i="11"/>
  <c r="P23" i="11"/>
  <c r="N23" i="11"/>
  <c r="Q23" i="11" s="1"/>
  <c r="M23" i="11"/>
  <c r="L22" i="11"/>
  <c r="I22" i="11"/>
  <c r="L21" i="11"/>
  <c r="I21" i="11"/>
  <c r="M21" i="11" s="1"/>
  <c r="P21" i="11" s="1"/>
  <c r="L20" i="11"/>
  <c r="I20" i="11"/>
  <c r="P19" i="11"/>
  <c r="L19" i="11"/>
  <c r="I19" i="11"/>
  <c r="M19" i="11" s="1"/>
  <c r="H19" i="11"/>
  <c r="H20" i="11" s="1"/>
  <c r="H21" i="11" s="1"/>
  <c r="H22" i="11" s="1"/>
  <c r="N18" i="11"/>
  <c r="Q18" i="11" s="1"/>
  <c r="K18" i="11"/>
  <c r="K20" i="11" s="1"/>
  <c r="K22" i="11" s="1"/>
  <c r="J18" i="11"/>
  <c r="I18" i="11"/>
  <c r="P17" i="11"/>
  <c r="M17" i="11"/>
  <c r="K17" i="11"/>
  <c r="K19" i="11" s="1"/>
  <c r="K21" i="11" s="1"/>
  <c r="J17" i="11"/>
  <c r="I17" i="11"/>
  <c r="N17" i="11" s="1"/>
  <c r="Q17" i="11" s="1"/>
  <c r="Q16" i="11"/>
  <c r="N16" i="11"/>
  <c r="I16" i="11"/>
  <c r="M16" i="11" s="1"/>
  <c r="P16" i="11" s="1"/>
  <c r="P15" i="11"/>
  <c r="M15" i="11"/>
  <c r="I15" i="11"/>
  <c r="N15" i="11" s="1"/>
  <c r="Q15" i="11" s="1"/>
  <c r="N14" i="11"/>
  <c r="Q14" i="11" s="1"/>
  <c r="K14" i="11"/>
  <c r="M14" i="11" s="1"/>
  <c r="P14" i="11" s="1"/>
  <c r="I14" i="11"/>
  <c r="N13" i="11"/>
  <c r="Q13" i="11" s="1"/>
  <c r="K13" i="11"/>
  <c r="I13" i="11"/>
  <c r="M13" i="11" s="1"/>
  <c r="P13" i="11" s="1"/>
  <c r="Q11" i="11"/>
  <c r="J11" i="11"/>
  <c r="P11" i="11" s="1"/>
  <c r="Q10" i="11"/>
  <c r="P10" i="11"/>
  <c r="J10" i="11"/>
  <c r="Q9" i="11"/>
  <c r="J9" i="11"/>
  <c r="P9" i="11" s="1"/>
  <c r="Q8" i="11"/>
  <c r="P8" i="11"/>
  <c r="J8" i="11"/>
  <c r="Q7" i="11"/>
  <c r="J7" i="11"/>
  <c r="P7" i="11" s="1"/>
  <c r="Q6" i="11"/>
  <c r="P6" i="11"/>
  <c r="J6" i="11"/>
  <c r="Q5" i="11"/>
  <c r="J5" i="11"/>
  <c r="P5" i="11" s="1"/>
  <c r="Q4" i="11"/>
  <c r="P4" i="11"/>
  <c r="J4" i="11"/>
  <c r="Q3" i="11"/>
  <c r="J3" i="11"/>
  <c r="P3" i="11" s="1"/>
  <c r="Q2" i="11"/>
  <c r="P2" i="11"/>
  <c r="J2" i="11"/>
  <c r="Q1" i="11"/>
  <c r="P1" i="11"/>
  <c r="H1" i="11"/>
  <c r="I4" i="10" s="1"/>
  <c r="P4" i="10" s="1"/>
  <c r="Y22" i="10"/>
  <c r="X22" i="10"/>
  <c r="Z22" i="10" s="1"/>
  <c r="D72" i="6" s="1"/>
  <c r="W22" i="10"/>
  <c r="V22" i="10"/>
  <c r="U22" i="10"/>
  <c r="T22" i="10"/>
  <c r="S22" i="10"/>
  <c r="I22" i="10"/>
  <c r="G22" i="10"/>
  <c r="C22" i="10" s="1"/>
  <c r="B22" i="10"/>
  <c r="A22" i="10"/>
  <c r="Q22" i="10" s="1"/>
  <c r="Z21" i="10"/>
  <c r="D71" i="6" s="1"/>
  <c r="Y21" i="10"/>
  <c r="X21" i="10"/>
  <c r="W21" i="10"/>
  <c r="V21" i="10"/>
  <c r="U21" i="10"/>
  <c r="T21" i="10"/>
  <c r="S21" i="10"/>
  <c r="I21" i="10"/>
  <c r="G21" i="10"/>
  <c r="C21" i="10" s="1"/>
  <c r="B21" i="10"/>
  <c r="A21" i="10"/>
  <c r="Q21" i="10" s="1"/>
  <c r="Y20" i="10"/>
  <c r="X20" i="10"/>
  <c r="Z20" i="10" s="1"/>
  <c r="D70" i="6" s="1"/>
  <c r="W20" i="10"/>
  <c r="V20" i="10"/>
  <c r="U20" i="10"/>
  <c r="T20" i="10"/>
  <c r="S20" i="10"/>
  <c r="I20" i="10"/>
  <c r="G20" i="10"/>
  <c r="C20" i="10" s="1"/>
  <c r="B20" i="10"/>
  <c r="A20" i="10"/>
  <c r="Q20" i="10" s="1"/>
  <c r="Z19" i="10"/>
  <c r="D69" i="6" s="1"/>
  <c r="Y19" i="10"/>
  <c r="X19" i="10"/>
  <c r="W19" i="10"/>
  <c r="V19" i="10"/>
  <c r="U19" i="10"/>
  <c r="T19" i="10"/>
  <c r="S19" i="10"/>
  <c r="I19" i="10"/>
  <c r="G19" i="10"/>
  <c r="C19" i="10" s="1"/>
  <c r="B19" i="10"/>
  <c r="A19" i="10"/>
  <c r="Q19" i="10" s="1"/>
  <c r="Y18" i="10"/>
  <c r="X18" i="10"/>
  <c r="Z18" i="10" s="1"/>
  <c r="D68" i="6" s="1"/>
  <c r="W18" i="10"/>
  <c r="V18" i="10"/>
  <c r="U18" i="10"/>
  <c r="T18" i="10"/>
  <c r="S18" i="10"/>
  <c r="I18" i="10"/>
  <c r="G18" i="10"/>
  <c r="C18" i="10" s="1"/>
  <c r="B18" i="10"/>
  <c r="A18" i="10"/>
  <c r="Q18" i="10" s="1"/>
  <c r="Z17" i="10"/>
  <c r="D67" i="6" s="1"/>
  <c r="Y17" i="10"/>
  <c r="X17" i="10"/>
  <c r="W17" i="10"/>
  <c r="V17" i="10"/>
  <c r="U17" i="10"/>
  <c r="T17" i="10"/>
  <c r="S17" i="10"/>
  <c r="I17" i="10"/>
  <c r="G17" i="10"/>
  <c r="C17" i="10" s="1"/>
  <c r="B17" i="10"/>
  <c r="A17" i="10"/>
  <c r="Q17" i="10" s="1"/>
  <c r="Y16" i="10"/>
  <c r="X16" i="10"/>
  <c r="Z16" i="10" s="1"/>
  <c r="D66" i="6" s="1"/>
  <c r="W16" i="10"/>
  <c r="V16" i="10"/>
  <c r="U16" i="10"/>
  <c r="T16" i="10"/>
  <c r="S16" i="10"/>
  <c r="I16" i="10"/>
  <c r="G16" i="10"/>
  <c r="C16" i="10" s="1"/>
  <c r="B16" i="10"/>
  <c r="A16" i="10"/>
  <c r="Q16" i="10" s="1"/>
  <c r="Z15" i="10"/>
  <c r="D65" i="6" s="1"/>
  <c r="Y15" i="10"/>
  <c r="X15" i="10"/>
  <c r="W15" i="10"/>
  <c r="V15" i="10"/>
  <c r="U15" i="10"/>
  <c r="T15" i="10"/>
  <c r="S15" i="10"/>
  <c r="I15" i="10"/>
  <c r="G15" i="10"/>
  <c r="C15" i="10" s="1"/>
  <c r="B15" i="10"/>
  <c r="A15" i="10"/>
  <c r="Q15" i="10" s="1"/>
  <c r="Y14" i="10"/>
  <c r="X14" i="10"/>
  <c r="Z14" i="10" s="1"/>
  <c r="D64" i="6" s="1"/>
  <c r="W14" i="10"/>
  <c r="V14" i="10"/>
  <c r="U14" i="10"/>
  <c r="T14" i="10"/>
  <c r="S14" i="10"/>
  <c r="I14" i="10"/>
  <c r="G14" i="10"/>
  <c r="C14" i="10" s="1"/>
  <c r="B14" i="10"/>
  <c r="A14" i="10"/>
  <c r="Q14" i="10" s="1"/>
  <c r="Z13" i="10"/>
  <c r="D63" i="6" s="1"/>
  <c r="Y13" i="10"/>
  <c r="X13" i="10"/>
  <c r="W13" i="10"/>
  <c r="V13" i="10"/>
  <c r="U13" i="10"/>
  <c r="T13" i="10"/>
  <c r="S13" i="10"/>
  <c r="I13" i="10"/>
  <c r="G13" i="10"/>
  <c r="C13" i="10" s="1"/>
  <c r="B13" i="10"/>
  <c r="A13" i="10"/>
  <c r="Q13" i="10" s="1"/>
  <c r="Y12" i="10"/>
  <c r="X12" i="10"/>
  <c r="Z12" i="10" s="1"/>
  <c r="D62" i="6" s="1"/>
  <c r="W12" i="10"/>
  <c r="V12" i="10"/>
  <c r="U12" i="10"/>
  <c r="T12" i="10"/>
  <c r="S12" i="10"/>
  <c r="I12" i="10"/>
  <c r="G12" i="10"/>
  <c r="C12" i="10" s="1"/>
  <c r="B12" i="10"/>
  <c r="A12" i="10"/>
  <c r="Q12" i="10" s="1"/>
  <c r="Z11" i="10"/>
  <c r="D61" i="6" s="1"/>
  <c r="Y11" i="10"/>
  <c r="X11" i="10"/>
  <c r="W11" i="10"/>
  <c r="V11" i="10"/>
  <c r="U11" i="10"/>
  <c r="T11" i="10"/>
  <c r="S11" i="10"/>
  <c r="I11" i="10"/>
  <c r="G11" i="10"/>
  <c r="C11" i="10" s="1"/>
  <c r="B11" i="10"/>
  <c r="A11" i="10"/>
  <c r="Q11" i="10" s="1"/>
  <c r="Y10" i="10"/>
  <c r="X10" i="10"/>
  <c r="Z10" i="10" s="1"/>
  <c r="D60" i="6" s="1"/>
  <c r="W10" i="10"/>
  <c r="V10" i="10"/>
  <c r="U10" i="10"/>
  <c r="T10" i="10"/>
  <c r="S10" i="10"/>
  <c r="I10" i="10"/>
  <c r="G10" i="10"/>
  <c r="C10" i="10" s="1"/>
  <c r="B10" i="10"/>
  <c r="A10" i="10"/>
  <c r="Q10" i="10" s="1"/>
  <c r="Z9" i="10"/>
  <c r="D59" i="6" s="1"/>
  <c r="Y9" i="10"/>
  <c r="X9" i="10"/>
  <c r="W9" i="10"/>
  <c r="V9" i="10"/>
  <c r="U9" i="10"/>
  <c r="T9" i="10"/>
  <c r="S9" i="10"/>
  <c r="I9" i="10"/>
  <c r="G9" i="10"/>
  <c r="C9" i="10" s="1"/>
  <c r="B9" i="10"/>
  <c r="A9" i="10"/>
  <c r="Q9" i="10" s="1"/>
  <c r="Y8" i="10"/>
  <c r="X8" i="10"/>
  <c r="Z8" i="10" s="1"/>
  <c r="D58" i="6" s="1"/>
  <c r="W8" i="10"/>
  <c r="V8" i="10"/>
  <c r="U8" i="10"/>
  <c r="T8" i="10"/>
  <c r="S8" i="10"/>
  <c r="I8" i="10"/>
  <c r="G8" i="10"/>
  <c r="C8" i="10" s="1"/>
  <c r="B8" i="10"/>
  <c r="A8" i="10"/>
  <c r="Q8" i="10" s="1"/>
  <c r="Z7" i="10"/>
  <c r="D57" i="6" s="1"/>
  <c r="Y7" i="10"/>
  <c r="X7" i="10"/>
  <c r="W7" i="10"/>
  <c r="V7" i="10"/>
  <c r="U7" i="10"/>
  <c r="T7" i="10"/>
  <c r="S7" i="10"/>
  <c r="I7" i="10"/>
  <c r="G7" i="10"/>
  <c r="C7" i="10" s="1"/>
  <c r="B7" i="10"/>
  <c r="A7" i="10"/>
  <c r="Q7" i="10" s="1"/>
  <c r="Y6" i="10"/>
  <c r="X6" i="10"/>
  <c r="Z6" i="10" s="1"/>
  <c r="D56" i="6" s="1"/>
  <c r="W6" i="10"/>
  <c r="V6" i="10"/>
  <c r="U6" i="10"/>
  <c r="T6" i="10"/>
  <c r="S6" i="10"/>
  <c r="I6" i="10"/>
  <c r="B6" i="10"/>
  <c r="A6" i="10"/>
  <c r="Q6" i="10" s="1"/>
  <c r="Y5" i="10"/>
  <c r="X5" i="10"/>
  <c r="Z5" i="10" s="1"/>
  <c r="D55" i="6" s="1"/>
  <c r="W5" i="10"/>
  <c r="V5" i="10"/>
  <c r="U5" i="10"/>
  <c r="T5" i="10"/>
  <c r="S5" i="10"/>
  <c r="I5" i="10"/>
  <c r="B5" i="10"/>
  <c r="Z4" i="10"/>
  <c r="D54" i="6" s="1"/>
  <c r="Y4" i="10"/>
  <c r="X4" i="10"/>
  <c r="W4" i="10"/>
  <c r="V4" i="10"/>
  <c r="U4" i="10"/>
  <c r="T4" i="10"/>
  <c r="S4" i="10"/>
  <c r="R4" i="10"/>
  <c r="B4" i="10"/>
  <c r="Y3" i="10"/>
  <c r="X3" i="10"/>
  <c r="Z3" i="10" s="1"/>
  <c r="D53" i="6" s="1"/>
  <c r="W3" i="10"/>
  <c r="G3" i="10" s="1"/>
  <c r="C3" i="10" s="1"/>
  <c r="V3" i="10"/>
  <c r="U3" i="10"/>
  <c r="T3" i="10"/>
  <c r="S3" i="10"/>
  <c r="I3" i="10"/>
  <c r="H3" i="10"/>
  <c r="D3" i="10" s="1"/>
  <c r="B53" i="6" s="1"/>
  <c r="B3" i="10"/>
  <c r="A3" i="10"/>
  <c r="Q3" i="10" s="1"/>
  <c r="Y2" i="10"/>
  <c r="X2" i="10"/>
  <c r="Z2" i="10" s="1"/>
  <c r="D52" i="6" s="1"/>
  <c r="W2" i="10"/>
  <c r="V2" i="10"/>
  <c r="U2" i="10"/>
  <c r="T2" i="10"/>
  <c r="AD2" i="10" s="1"/>
  <c r="S2" i="10"/>
  <c r="I2" i="10"/>
  <c r="H2" i="10" s="1"/>
  <c r="B2" i="10"/>
  <c r="Y1" i="10"/>
  <c r="X1" i="10"/>
  <c r="V1" i="10"/>
  <c r="U1" i="10"/>
  <c r="T1" i="10"/>
  <c r="P3" i="10" l="1"/>
  <c r="R3" i="10"/>
  <c r="R5" i="10"/>
  <c r="P5" i="10"/>
  <c r="H5" i="10"/>
  <c r="D5" i="10" s="1"/>
  <c r="B55" i="6" s="1"/>
  <c r="A5" i="10"/>
  <c r="Q5" i="10" s="1"/>
  <c r="H6" i="10"/>
  <c r="D6" i="10" s="1"/>
  <c r="B56" i="6" s="1"/>
  <c r="P6" i="10"/>
  <c r="P7" i="10"/>
  <c r="R7" i="10"/>
  <c r="H7" i="10"/>
  <c r="D7" i="10" s="1"/>
  <c r="B57" i="6" s="1"/>
  <c r="P8" i="10"/>
  <c r="H8" i="10"/>
  <c r="D8" i="10" s="1"/>
  <c r="B58" i="6" s="1"/>
  <c r="R8" i="10"/>
  <c r="P9" i="10"/>
  <c r="R9" i="10"/>
  <c r="H9" i="10"/>
  <c r="D9" i="10" s="1"/>
  <c r="B59" i="6" s="1"/>
  <c r="P10" i="10"/>
  <c r="H10" i="10"/>
  <c r="D10" i="10" s="1"/>
  <c r="B60" i="6" s="1"/>
  <c r="R10" i="10"/>
  <c r="P11" i="10"/>
  <c r="R11" i="10"/>
  <c r="H11" i="10"/>
  <c r="D11" i="10" s="1"/>
  <c r="B61" i="6" s="1"/>
  <c r="P12" i="10"/>
  <c r="H12" i="10"/>
  <c r="D12" i="10" s="1"/>
  <c r="B62" i="6" s="1"/>
  <c r="R12" i="10"/>
  <c r="P13" i="10"/>
  <c r="R13" i="10"/>
  <c r="H13" i="10"/>
  <c r="D13" i="10" s="1"/>
  <c r="B63" i="6" s="1"/>
  <c r="P14" i="10"/>
  <c r="H14" i="10"/>
  <c r="D14" i="10" s="1"/>
  <c r="B64" i="6" s="1"/>
  <c r="R14" i="10"/>
  <c r="P15" i="10"/>
  <c r="R15" i="10"/>
  <c r="H15" i="10"/>
  <c r="D15" i="10" s="1"/>
  <c r="B65" i="6" s="1"/>
  <c r="P16" i="10"/>
  <c r="H16" i="10"/>
  <c r="D16" i="10" s="1"/>
  <c r="B66" i="6" s="1"/>
  <c r="R16" i="10"/>
  <c r="P17" i="10"/>
  <c r="R17" i="10"/>
  <c r="H17" i="10"/>
  <c r="D17" i="10" s="1"/>
  <c r="B67" i="6" s="1"/>
  <c r="P18" i="10"/>
  <c r="H18" i="10"/>
  <c r="D18" i="10" s="1"/>
  <c r="B68" i="6" s="1"/>
  <c r="R18" i="10"/>
  <c r="P19" i="10"/>
  <c r="R19" i="10"/>
  <c r="H19" i="10"/>
  <c r="D19" i="10" s="1"/>
  <c r="B69" i="6" s="1"/>
  <c r="P20" i="10"/>
  <c r="H20" i="10"/>
  <c r="D20" i="10" s="1"/>
  <c r="B70" i="6" s="1"/>
  <c r="R20" i="10"/>
  <c r="P21" i="10"/>
  <c r="R21" i="10"/>
  <c r="H21" i="10"/>
  <c r="D21" i="10" s="1"/>
  <c r="B71" i="6" s="1"/>
  <c r="P22" i="10"/>
  <c r="H22" i="10"/>
  <c r="D22" i="10" s="1"/>
  <c r="B72" i="6" s="1"/>
  <c r="R22" i="10"/>
  <c r="M20" i="11"/>
  <c r="P20" i="11" s="1"/>
  <c r="N20" i="11"/>
  <c r="Q20" i="11" s="1"/>
  <c r="M22" i="11"/>
  <c r="P22" i="11" s="1"/>
  <c r="N22" i="11"/>
  <c r="Q22" i="11" s="1"/>
  <c r="J5" i="14"/>
  <c r="H4" i="10"/>
  <c r="D4" i="10" s="1"/>
  <c r="B54" i="6" s="1"/>
  <c r="N19" i="11"/>
  <c r="Q19" i="11" s="1"/>
  <c r="N21" i="11"/>
  <c r="Q21" i="11" s="1"/>
  <c r="D14" i="12"/>
  <c r="B86" i="6" s="1"/>
  <c r="C16" i="12"/>
  <c r="C17" i="12"/>
  <c r="D11" i="12"/>
  <c r="B83" i="6" s="1"/>
  <c r="C13" i="12"/>
  <c r="C12" i="12"/>
  <c r="C15" i="12"/>
  <c r="C10" i="12"/>
  <c r="C21" i="12"/>
  <c r="D8" i="12"/>
  <c r="B80" i="6" s="1"/>
  <c r="D7" i="12"/>
  <c r="B79" i="6" s="1"/>
  <c r="AJ17" i="12"/>
  <c r="AI17" i="12" s="1"/>
  <c r="AJ19" i="12"/>
  <c r="AI19" i="12" s="1"/>
  <c r="AJ21" i="12"/>
  <c r="AI21" i="12" s="1"/>
  <c r="O8" i="19"/>
  <c r="O10" i="19"/>
  <c r="O6" i="19"/>
  <c r="O14" i="19"/>
  <c r="O4" i="19"/>
  <c r="W31" i="13"/>
  <c r="D40" i="8"/>
  <c r="O32" i="13"/>
  <c r="M18" i="11"/>
  <c r="P18" i="11" s="1"/>
  <c r="AJ2" i="12"/>
  <c r="AJ4" i="12"/>
  <c r="D2" i="12"/>
  <c r="B74" i="6" s="1"/>
  <c r="C3" i="12"/>
  <c r="C4" i="12"/>
  <c r="D3" i="12"/>
  <c r="B75" i="6" s="1"/>
  <c r="C2" i="12"/>
  <c r="I5" i="14"/>
  <c r="C5" i="14" s="1"/>
  <c r="C5" i="12"/>
  <c r="D5" i="12"/>
  <c r="B77" i="6" s="1"/>
  <c r="AL2" i="12"/>
  <c r="D74" i="6" s="1"/>
  <c r="AB2" i="10"/>
  <c r="E58" i="8"/>
  <c r="C8" i="12"/>
  <c r="C20" i="12"/>
  <c r="C9" i="12"/>
  <c r="C6" i="12"/>
  <c r="C14" i="12"/>
  <c r="C18" i="12"/>
  <c r="C22" i="12"/>
  <c r="C7" i="12"/>
  <c r="C19" i="12"/>
  <c r="D9" i="12"/>
  <c r="B81" i="6" s="1"/>
  <c r="D13" i="12"/>
  <c r="B85" i="6" s="1"/>
  <c r="D17" i="12"/>
  <c r="B89" i="6" s="1"/>
  <c r="D21" i="12"/>
  <c r="B93" i="6" s="1"/>
  <c r="D6" i="12"/>
  <c r="B78" i="6" s="1"/>
  <c r="D10" i="12"/>
  <c r="B82" i="6" s="1"/>
  <c r="D18" i="12"/>
  <c r="B90" i="6" s="1"/>
  <c r="D22" i="12"/>
  <c r="B94" i="6" s="1"/>
  <c r="D15" i="12"/>
  <c r="B87" i="6" s="1"/>
  <c r="D19" i="12"/>
  <c r="B91" i="6" s="1"/>
  <c r="D4" i="12"/>
  <c r="B76" i="6" s="1"/>
  <c r="D12" i="12"/>
  <c r="B84" i="6" s="1"/>
  <c r="D16" i="12"/>
  <c r="B88" i="6" s="1"/>
  <c r="D20" i="12"/>
  <c r="B92" i="6" s="1"/>
  <c r="C11" i="12"/>
  <c r="E59" i="8"/>
  <c r="AA2" i="10"/>
  <c r="G4" i="10"/>
  <c r="C4" i="10" s="1"/>
  <c r="G6" i="10"/>
  <c r="C6" i="10" s="1"/>
  <c r="R6" i="10"/>
  <c r="A4" i="10"/>
  <c r="Q4" i="10" s="1"/>
  <c r="G5" i="10"/>
  <c r="C5" i="10" s="1"/>
  <c r="AS4" i="14"/>
  <c r="AW8" i="14"/>
  <c r="AS8" i="14"/>
  <c r="AW9" i="14"/>
  <c r="J2" i="14"/>
  <c r="D2" i="14" s="1"/>
  <c r="B96" i="6" s="1"/>
  <c r="E55" i="8"/>
  <c r="E54" i="8"/>
  <c r="J3" i="14"/>
  <c r="D3" i="14" s="1"/>
  <c r="B97" i="6" s="1"/>
  <c r="E56" i="8"/>
  <c r="J7" i="14"/>
  <c r="D7" i="14" s="1"/>
  <c r="B101" i="6" s="1"/>
  <c r="I7" i="14"/>
  <c r="C7" i="14" s="1"/>
  <c r="I3" i="14"/>
  <c r="C3" i="14" s="1"/>
  <c r="E57" i="8"/>
  <c r="E53" i="8"/>
  <c r="R2" i="10"/>
  <c r="G2" i="10"/>
  <c r="C2" i="10" s="1"/>
  <c r="A2" i="10"/>
  <c r="P2" i="10"/>
  <c r="AD3" i="10"/>
  <c r="AB3" i="10" s="1"/>
  <c r="D2" i="10"/>
  <c r="B52" i="6" s="1"/>
  <c r="AQ13" i="14"/>
  <c r="AQ17" i="14"/>
  <c r="AJ5" i="12"/>
  <c r="AJ9" i="12"/>
  <c r="J4" i="14"/>
  <c r="D4" i="14" s="1"/>
  <c r="B98" i="6" s="1"/>
  <c r="I4" i="14"/>
  <c r="C4" i="14" s="1"/>
  <c r="J8" i="14"/>
  <c r="D8" i="14" s="1"/>
  <c r="B102" i="6" s="1"/>
  <c r="I8" i="14"/>
  <c r="C8" i="14" s="1"/>
  <c r="AQ14" i="14"/>
  <c r="AQ18" i="14"/>
  <c r="AQ19" i="14"/>
  <c r="AQ20" i="14"/>
  <c r="AQ21" i="14"/>
  <c r="AQ22" i="14"/>
  <c r="AJ8" i="12"/>
  <c r="AS2" i="14"/>
  <c r="D5" i="14"/>
  <c r="B99" i="6" s="1"/>
  <c r="AS6" i="14"/>
  <c r="J9" i="14"/>
  <c r="D9" i="14" s="1"/>
  <c r="B103" i="6" s="1"/>
  <c r="I9" i="14"/>
  <c r="C9" i="14" s="1"/>
  <c r="AQ11" i="14"/>
  <c r="AQ15" i="14"/>
  <c r="I2" i="14"/>
  <c r="C2" i="14" s="1"/>
  <c r="J6" i="14"/>
  <c r="D6" i="14" s="1"/>
  <c r="B100" i="6" s="1"/>
  <c r="I6" i="14"/>
  <c r="C6" i="14" s="1"/>
  <c r="K7" i="14"/>
  <c r="AQ12" i="14"/>
  <c r="AQ16" i="14"/>
  <c r="A39" i="15"/>
  <c r="AA23" i="14"/>
  <c r="W23" i="14"/>
  <c r="AD23" i="14" s="1"/>
  <c r="AW23" i="14" s="1"/>
  <c r="AA22" i="14"/>
  <c r="W22" i="14"/>
  <c r="AD22" i="14" s="1"/>
  <c r="I22" i="14" s="1"/>
  <c r="C22" i="14" s="1"/>
  <c r="AA21" i="14"/>
  <c r="W21" i="14"/>
  <c r="AD21" i="14" s="1"/>
  <c r="J21" i="14" s="1"/>
  <c r="D21" i="14" s="1"/>
  <c r="B115" i="6" s="1"/>
  <c r="AA20" i="14"/>
  <c r="W20" i="14"/>
  <c r="AD20" i="14" s="1"/>
  <c r="J20" i="14" s="1"/>
  <c r="D20" i="14" s="1"/>
  <c r="B114" i="6" s="1"/>
  <c r="AA19" i="14"/>
  <c r="W19" i="14"/>
  <c r="AD19" i="14" s="1"/>
  <c r="J19" i="14" s="1"/>
  <c r="D19" i="14" s="1"/>
  <c r="B113" i="6" s="1"/>
  <c r="AA18" i="14"/>
  <c r="W18" i="14"/>
  <c r="AD18" i="14" s="1"/>
  <c r="I18" i="14" s="1"/>
  <c r="C18" i="14" s="1"/>
  <c r="AA17" i="14"/>
  <c r="W17" i="14"/>
  <c r="AD17" i="14" s="1"/>
  <c r="J17" i="14" s="1"/>
  <c r="D17" i="14" s="1"/>
  <c r="B111" i="6" s="1"/>
  <c r="AA16" i="14"/>
  <c r="W16" i="14"/>
  <c r="AD16" i="14" s="1"/>
  <c r="J16" i="14" s="1"/>
  <c r="D16" i="14" s="1"/>
  <c r="B110" i="6" s="1"/>
  <c r="AA15" i="14"/>
  <c r="W15" i="14"/>
  <c r="AD15" i="14" s="1"/>
  <c r="I15" i="14" s="1"/>
  <c r="C15" i="14" s="1"/>
  <c r="AA14" i="14"/>
  <c r="W14" i="14"/>
  <c r="AD14" i="14" s="1"/>
  <c r="J14" i="14" s="1"/>
  <c r="D14" i="14" s="1"/>
  <c r="B108" i="6" s="1"/>
  <c r="AA13" i="14"/>
  <c r="W13" i="14"/>
  <c r="AD13" i="14" s="1"/>
  <c r="J13" i="14" s="1"/>
  <c r="D13" i="14" s="1"/>
  <c r="B107" i="6" s="1"/>
  <c r="AA12" i="14"/>
  <c r="W12" i="14"/>
  <c r="AD12" i="14" s="1"/>
  <c r="J12" i="14" s="1"/>
  <c r="D12" i="14" s="1"/>
  <c r="B106" i="6" s="1"/>
  <c r="AA11" i="14"/>
  <c r="W11" i="14"/>
  <c r="AD11" i="14" s="1"/>
  <c r="J11" i="14" s="1"/>
  <c r="D11" i="14" s="1"/>
  <c r="B105" i="6" s="1"/>
  <c r="AA10" i="14"/>
  <c r="W10" i="14"/>
  <c r="AD10" i="14" s="1"/>
  <c r="J10" i="14" s="1"/>
  <c r="D10" i="14" s="1"/>
  <c r="B104" i="6" s="1"/>
  <c r="Y23" i="14"/>
  <c r="Y22" i="14"/>
  <c r="Y21" i="14"/>
  <c r="Y20" i="14"/>
  <c r="Y19" i="14"/>
  <c r="Y18" i="14"/>
  <c r="Y17" i="14"/>
  <c r="Y16" i="14"/>
  <c r="Y15" i="14"/>
  <c r="Y14" i="14"/>
  <c r="Y13" i="14"/>
  <c r="Y12" i="14"/>
  <c r="AQ2" i="14"/>
  <c r="AZ2" i="14" s="1"/>
  <c r="D96" i="6" s="1"/>
  <c r="AQ3" i="14"/>
  <c r="AZ3" i="14" s="1"/>
  <c r="D97" i="6" s="1"/>
  <c r="AQ4" i="14"/>
  <c r="AZ4" i="14" s="1"/>
  <c r="D98" i="6" s="1"/>
  <c r="AQ5" i="14"/>
  <c r="AZ5" i="14" s="1"/>
  <c r="AQ6" i="14"/>
  <c r="AZ6" i="14" s="1"/>
  <c r="D100" i="6" s="1"/>
  <c r="AQ7" i="14"/>
  <c r="AZ7" i="14" s="1"/>
  <c r="D101" i="6" s="1"/>
  <c r="AQ8" i="14"/>
  <c r="AQ9" i="14"/>
  <c r="Y10" i="14"/>
  <c r="AQ10" i="14"/>
  <c r="AB11" i="14"/>
  <c r="Z12" i="14"/>
  <c r="Z13" i="14"/>
  <c r="Z14" i="14"/>
  <c r="Z15" i="14"/>
  <c r="Z16" i="14"/>
  <c r="Z17" i="14"/>
  <c r="Z18" i="14"/>
  <c r="Z19" i="14"/>
  <c r="Z20" i="14"/>
  <c r="Z21" i="14"/>
  <c r="Z22" i="14"/>
  <c r="Z23" i="14"/>
  <c r="AB19" i="14"/>
  <c r="AB20" i="14"/>
  <c r="AB21" i="14"/>
  <c r="AB22" i="14"/>
  <c r="AB23" i="14"/>
  <c r="N31" i="8"/>
  <c r="C31" i="8" s="1"/>
  <c r="K11" i="14" l="1"/>
  <c r="B51" i="6"/>
  <c r="K2" i="14"/>
  <c r="AZ11" i="14"/>
  <c r="D105" i="6" s="1"/>
  <c r="AZ15" i="14"/>
  <c r="D109" i="6" s="1"/>
  <c r="AZ19" i="14"/>
  <c r="D113" i="6" s="1"/>
  <c r="AZ23" i="14"/>
  <c r="D117" i="6" s="1"/>
  <c r="AZ22" i="14"/>
  <c r="D116" i="6" s="1"/>
  <c r="AZ8" i="14"/>
  <c r="D102" i="6" s="1"/>
  <c r="AZ12" i="14"/>
  <c r="D106" i="6" s="1"/>
  <c r="AZ16" i="14"/>
  <c r="D110" i="6" s="1"/>
  <c r="AZ20" i="14"/>
  <c r="D114" i="6" s="1"/>
  <c r="AZ10" i="14"/>
  <c r="D104" i="6" s="1"/>
  <c r="AZ14" i="14"/>
  <c r="D108" i="6" s="1"/>
  <c r="AZ9" i="14"/>
  <c r="D103" i="6" s="1"/>
  <c r="AZ13" i="14"/>
  <c r="D107" i="6" s="1"/>
  <c r="AZ17" i="14"/>
  <c r="D111" i="6" s="1"/>
  <c r="AZ21" i="14"/>
  <c r="D115" i="6" s="1"/>
  <c r="AZ18" i="14"/>
  <c r="D112" i="6" s="1"/>
  <c r="B73" i="6"/>
  <c r="Q2" i="10"/>
  <c r="X3" i="6" s="1"/>
  <c r="F18" i="6"/>
  <c r="E18" i="6"/>
  <c r="F19" i="6"/>
  <c r="E19" i="6"/>
  <c r="B20" i="6" s="1"/>
  <c r="AC2" i="10"/>
  <c r="I16" i="14"/>
  <c r="C16" i="14" s="1"/>
  <c r="I11" i="14"/>
  <c r="C11" i="14" s="1"/>
  <c r="I10" i="14"/>
  <c r="C10" i="14" s="1"/>
  <c r="I12" i="14"/>
  <c r="C12" i="14" s="1"/>
  <c r="K13" i="14"/>
  <c r="K18" i="14"/>
  <c r="K12" i="14"/>
  <c r="K16" i="14"/>
  <c r="K20" i="14"/>
  <c r="K3" i="14"/>
  <c r="J15" i="14"/>
  <c r="D15" i="14" s="1"/>
  <c r="B109" i="6" s="1"/>
  <c r="J22" i="14"/>
  <c r="D22" i="14" s="1"/>
  <c r="B116" i="6" s="1"/>
  <c r="I19" i="14"/>
  <c r="C19" i="14" s="1"/>
  <c r="J18" i="14"/>
  <c r="D18" i="14" s="1"/>
  <c r="B112" i="6" s="1"/>
  <c r="K5" i="14"/>
  <c r="AD4" i="10"/>
  <c r="AB4" i="10" s="1"/>
  <c r="I23" i="14"/>
  <c r="C23" i="14" s="1"/>
  <c r="I20" i="14"/>
  <c r="C20" i="14" s="1"/>
  <c r="K9" i="14"/>
  <c r="I17" i="14"/>
  <c r="C17" i="14" s="1"/>
  <c r="K8" i="14"/>
  <c r="K21" i="14"/>
  <c r="K14" i="14"/>
  <c r="J23" i="14"/>
  <c r="D23" i="14" s="1"/>
  <c r="B117" i="6" s="1"/>
  <c r="I21" i="14"/>
  <c r="C21" i="14" s="1"/>
  <c r="I14" i="14"/>
  <c r="C14" i="14" s="1"/>
  <c r="I13" i="14"/>
  <c r="C13" i="14" s="1"/>
  <c r="K4" i="14"/>
  <c r="K17" i="14"/>
  <c r="K22" i="14"/>
  <c r="K10" i="14"/>
  <c r="K15" i="14"/>
  <c r="K19" i="14"/>
  <c r="K23" i="14"/>
  <c r="K6" i="14"/>
  <c r="AA3" i="10"/>
  <c r="AC3" i="10" s="1"/>
  <c r="AS10" i="14"/>
  <c r="AW11" i="14"/>
  <c r="AS11" i="14"/>
  <c r="AW12" i="14"/>
  <c r="AS12" i="14"/>
  <c r="AW13" i="14"/>
  <c r="AS13" i="14"/>
  <c r="AW14" i="14"/>
  <c r="AS14" i="14"/>
  <c r="AW15" i="14"/>
  <c r="AS15" i="14"/>
  <c r="AW16" i="14"/>
  <c r="AS16" i="14"/>
  <c r="AW17" i="14"/>
  <c r="AS17" i="14"/>
  <c r="AW18" i="14"/>
  <c r="AS18" i="14"/>
  <c r="AW19" i="14"/>
  <c r="AS19" i="14"/>
  <c r="AW20" i="14"/>
  <c r="AS20" i="14"/>
  <c r="AW21" i="14"/>
  <c r="AS21" i="14"/>
  <c r="AW22" i="14"/>
  <c r="AS22" i="14"/>
  <c r="AP2116" i="1"/>
  <c r="AP1" i="1"/>
  <c r="B95" i="6" l="1"/>
  <c r="B19" i="6"/>
  <c r="G18" i="6"/>
  <c r="E20" i="6"/>
  <c r="B21" i="6" s="1"/>
  <c r="F20" i="6"/>
  <c r="F17" i="6" s="1"/>
  <c r="G19" i="6"/>
  <c r="AD5" i="10"/>
  <c r="AB5" i="10" s="1"/>
  <c r="AA4" i="10"/>
  <c r="AC4" i="10"/>
  <c r="M12" i="6"/>
  <c r="M13" i="6"/>
  <c r="K12" i="6"/>
  <c r="K13" i="6"/>
  <c r="I12" i="6"/>
  <c r="I13" i="6"/>
  <c r="E17" i="6" l="1"/>
  <c r="G20" i="6"/>
  <c r="G17" i="6" s="1"/>
  <c r="AD6" i="10"/>
  <c r="AB6" i="10" s="1"/>
  <c r="AA5" i="10"/>
  <c r="AC5" i="10"/>
  <c r="N13" i="6"/>
  <c r="O13" i="6" s="1"/>
  <c r="N12" i="6"/>
  <c r="O12" i="6" s="1"/>
  <c r="AC6" i="10" l="1"/>
  <c r="AD7" i="10"/>
  <c r="AB7" i="10" s="1"/>
  <c r="AA6" i="10"/>
  <c r="E69" i="8"/>
  <c r="E68" i="8"/>
  <c r="N16" i="8"/>
  <c r="P16" i="8" s="1"/>
  <c r="Q16" i="8" s="1"/>
  <c r="D8" i="8"/>
  <c r="D7" i="8"/>
  <c r="N32" i="8"/>
  <c r="C23" i="8" s="1"/>
  <c r="N18" i="8"/>
  <c r="C17" i="8" s="1"/>
  <c r="N19" i="8"/>
  <c r="C18" i="8" s="1"/>
  <c r="N39" i="8"/>
  <c r="E11" i="6"/>
  <c r="N20" i="8"/>
  <c r="C19" i="8" s="1"/>
  <c r="N42" i="8"/>
  <c r="C89" i="8" s="1"/>
  <c r="N41" i="8"/>
  <c r="C87" i="8" s="1"/>
  <c r="N40" i="8"/>
  <c r="C86" i="8" s="1"/>
  <c r="S26" i="9"/>
  <c r="S27" i="9"/>
  <c r="S28" i="9"/>
  <c r="M29" i="8"/>
  <c r="M31" i="8"/>
  <c r="D23" i="8"/>
  <c r="L27" i="8"/>
  <c r="L31" i="8"/>
  <c r="N23" i="8"/>
  <c r="C22" i="8" s="1"/>
  <c r="N22" i="8"/>
  <c r="C21" i="8" s="1"/>
  <c r="N21" i="8"/>
  <c r="C20" i="8" s="1"/>
  <c r="N17" i="8"/>
  <c r="L23" i="8"/>
  <c r="M25" i="8"/>
  <c r="Q5" i="9"/>
  <c r="L18" i="8" s="1"/>
  <c r="R5" i="9"/>
  <c r="M18" i="8" s="1"/>
  <c r="B17" i="8" s="1"/>
  <c r="S5" i="9"/>
  <c r="T5" i="9"/>
  <c r="O18" i="8" s="1"/>
  <c r="D17" i="8" s="1"/>
  <c r="Q8" i="9"/>
  <c r="L19" i="8" s="1"/>
  <c r="R8" i="9"/>
  <c r="M19" i="8" s="1"/>
  <c r="B18" i="8" s="1"/>
  <c r="S8" i="9"/>
  <c r="T8" i="9"/>
  <c r="O19" i="8" s="1"/>
  <c r="D18" i="8" s="1"/>
  <c r="Q9" i="9"/>
  <c r="L20" i="8" s="1"/>
  <c r="R9" i="9"/>
  <c r="M20" i="8" s="1"/>
  <c r="B19" i="8" s="1"/>
  <c r="S9" i="9"/>
  <c r="T9" i="9"/>
  <c r="O20" i="8" s="1"/>
  <c r="D19" i="8" s="1"/>
  <c r="Q12" i="9"/>
  <c r="L21" i="8" s="1"/>
  <c r="R12" i="9"/>
  <c r="M21" i="8" s="1"/>
  <c r="B20" i="8" s="1"/>
  <c r="S12" i="9"/>
  <c r="T12" i="9"/>
  <c r="O21" i="8" s="1"/>
  <c r="D20" i="8" s="1"/>
  <c r="Q14" i="9"/>
  <c r="L22" i="8" s="1"/>
  <c r="R14" i="9"/>
  <c r="M22" i="8" s="1"/>
  <c r="B21" i="8" s="1"/>
  <c r="S14" i="9"/>
  <c r="T14" i="9"/>
  <c r="O22" i="8" s="1"/>
  <c r="D21" i="8" s="1"/>
  <c r="Q16" i="9"/>
  <c r="R16" i="9"/>
  <c r="M23" i="8" s="1"/>
  <c r="B22" i="8" s="1"/>
  <c r="S16" i="9"/>
  <c r="T16" i="9"/>
  <c r="O23" i="8" s="1"/>
  <c r="D22" i="8" s="1"/>
  <c r="Q17" i="9"/>
  <c r="L25" i="8" s="1"/>
  <c r="R17" i="9"/>
  <c r="S17" i="9"/>
  <c r="T17" i="9"/>
  <c r="O25" i="8" s="1"/>
  <c r="Q19" i="9"/>
  <c r="L26" i="8" s="1"/>
  <c r="R19" i="9"/>
  <c r="M26" i="8" s="1"/>
  <c r="S19" i="9"/>
  <c r="T19" i="9"/>
  <c r="O26" i="8" s="1"/>
  <c r="Q20" i="9"/>
  <c r="R20" i="9"/>
  <c r="M27" i="8" s="1"/>
  <c r="S20" i="9"/>
  <c r="T20" i="9"/>
  <c r="O27" i="8" s="1"/>
  <c r="Q27" i="8" s="1"/>
  <c r="Q21" i="9"/>
  <c r="L28" i="8" s="1"/>
  <c r="R21" i="9"/>
  <c r="M28" i="8" s="1"/>
  <c r="S21" i="9"/>
  <c r="T21" i="9"/>
  <c r="O28" i="8" s="1"/>
  <c r="D29" i="8" s="1"/>
  <c r="Q22" i="9"/>
  <c r="L29" i="8" s="1"/>
  <c r="R22" i="9"/>
  <c r="S22" i="9"/>
  <c r="T22" i="9"/>
  <c r="O29" i="8" s="1"/>
  <c r="D30" i="8" s="1"/>
  <c r="Q23" i="9"/>
  <c r="L39" i="8" s="1"/>
  <c r="R23" i="9"/>
  <c r="M39" i="8" s="1"/>
  <c r="S23" i="9"/>
  <c r="T23" i="9"/>
  <c r="O39" i="8" s="1"/>
  <c r="E9" i="8" s="1"/>
  <c r="G9" i="8" s="1"/>
  <c r="Q24" i="9"/>
  <c r="R24" i="9"/>
  <c r="S24" i="9"/>
  <c r="T24" i="9"/>
  <c r="O31" i="8" s="1"/>
  <c r="D31" i="8" s="1"/>
  <c r="Q25" i="9"/>
  <c r="L32" i="8" s="1"/>
  <c r="R25" i="9"/>
  <c r="M32" i="8" s="1"/>
  <c r="B23" i="8" s="1"/>
  <c r="S25" i="9"/>
  <c r="T25" i="9"/>
  <c r="Q26" i="9"/>
  <c r="L40" i="8" s="1"/>
  <c r="R26" i="9"/>
  <c r="M40" i="8" s="1"/>
  <c r="B86" i="8" s="1"/>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1" i="6"/>
  <c r="I11" i="6"/>
  <c r="K11" i="6"/>
  <c r="E86" i="8"/>
  <c r="F12" i="8"/>
  <c r="E87" i="8"/>
  <c r="E89" i="8"/>
  <c r="C16" i="8"/>
  <c r="E16" i="8" s="1"/>
  <c r="P41" i="8"/>
  <c r="Q41" i="8" s="1"/>
  <c r="C26" i="8"/>
  <c r="B164" i="6" s="1"/>
  <c r="B162" i="6" s="1"/>
  <c r="B50" i="6" s="1"/>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1" i="6"/>
  <c r="E27" i="8"/>
  <c r="E26" i="8" s="1"/>
  <c r="F11" i="6"/>
  <c r="D26" i="8"/>
  <c r="E81" i="8"/>
  <c r="E80" i="8"/>
  <c r="E15" i="8"/>
  <c r="C77" i="8"/>
  <c r="E77" i="8" s="1"/>
  <c r="E8" i="8" s="1"/>
  <c r="I12" i="8" s="1"/>
  <c r="B33" i="6" s="1"/>
  <c r="C79" i="8"/>
  <c r="D79" i="8" s="1"/>
  <c r="E7" i="8" l="1"/>
  <c r="E48" i="8"/>
  <c r="E47" i="8" s="1"/>
  <c r="G7" i="8" s="1"/>
  <c r="C47" i="8"/>
  <c r="F7" i="8" s="1"/>
  <c r="O11" i="6"/>
  <c r="AD10" i="10"/>
  <c r="AB10" i="10" s="1"/>
  <c r="AA9" i="10"/>
  <c r="AC9" i="10"/>
  <c r="D82" i="8"/>
  <c r="F8" i="8" s="1"/>
  <c r="E79" i="8"/>
  <c r="E82" i="8" s="1"/>
  <c r="I10" i="8" s="1"/>
  <c r="C82" i="8"/>
  <c r="AC10" i="10" l="1"/>
  <c r="AD11" i="10"/>
  <c r="AB11" i="10" s="1"/>
  <c r="AA10" i="10"/>
  <c r="E3" i="8"/>
  <c r="B29" i="6" s="1"/>
  <c r="G8" i="8"/>
  <c r="B32" i="6"/>
  <c r="B31" i="6" s="1"/>
  <c r="B25" i="6" l="1"/>
  <c r="B9" i="6" s="1"/>
  <c r="AC11" i="10"/>
  <c r="AD12" i="10"/>
  <c r="AB12" i="10" s="1"/>
  <c r="AA11" i="10"/>
  <c r="E4" i="9"/>
  <c r="E5" i="9"/>
  <c r="G5" i="9" s="1"/>
  <c r="E6" i="9"/>
  <c r="G6" i="9" s="1"/>
  <c r="E7" i="9"/>
  <c r="G7" i="9" s="1"/>
  <c r="E8" i="9"/>
  <c r="G8" i="9" s="1"/>
  <c r="E10" i="9"/>
  <c r="G10" i="9" s="1"/>
  <c r="E13" i="9"/>
  <c r="G13" i="9" s="1"/>
  <c r="E14" i="9"/>
  <c r="G14" i="9" s="1"/>
  <c r="E18" i="9"/>
  <c r="G18" i="9" s="1"/>
  <c r="E19" i="9"/>
  <c r="G19" i="9" s="1"/>
  <c r="E20" i="9"/>
  <c r="G20" i="9" s="1"/>
  <c r="E21" i="9"/>
  <c r="G21" i="9" s="1"/>
  <c r="E22" i="9"/>
  <c r="G22" i="9" s="1"/>
  <c r="E23" i="9"/>
  <c r="G23" i="9"/>
  <c r="E24" i="9"/>
  <c r="G24" i="9" s="1"/>
  <c r="E25" i="9"/>
  <c r="G25" i="9" s="1"/>
  <c r="E26" i="9"/>
  <c r="G26" i="9" s="1"/>
  <c r="E27" i="9"/>
  <c r="G27" i="9" s="1"/>
  <c r="E28" i="9"/>
  <c r="G28" i="9" s="1"/>
  <c r="E29" i="9"/>
  <c r="G29" i="9"/>
  <c r="E30" i="9"/>
  <c r="G30" i="9" s="1"/>
  <c r="E31" i="9"/>
  <c r="G31" i="9" s="1"/>
  <c r="AD13" i="10" l="1"/>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M60" i="5"/>
  <c r="C60" i="5" s="1"/>
  <c r="M61" i="5"/>
  <c r="C61" i="5" s="1"/>
  <c r="M62" i="5"/>
  <c r="C62" i="5" s="1"/>
  <c r="M63" i="5"/>
  <c r="C63" i="5" s="1"/>
  <c r="M64" i="5"/>
  <c r="C64" i="5" s="1"/>
  <c r="M65" i="5"/>
  <c r="C65" i="5" s="1"/>
  <c r="M66" i="5"/>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C66" i="5" l="1"/>
  <c r="Z1813" i="1"/>
  <c r="C59" i="5"/>
  <c r="Z1814" i="1"/>
  <c r="AC14" i="10"/>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897" i="1"/>
  <c r="I1776" i="1"/>
  <c r="I1631" i="1"/>
  <c r="I1172" i="1"/>
  <c r="I955" i="1"/>
  <c r="I210" i="1"/>
  <c r="I17" i="1"/>
  <c r="AC22" i="10" l="1"/>
  <c r="AA22" i="10"/>
  <c r="Z1" i="12"/>
  <c r="AR210" i="1"/>
  <c r="AS210" i="1"/>
  <c r="AP210" i="1"/>
  <c r="AQ210" i="1"/>
  <c r="AP1776" i="1"/>
  <c r="AQ1776" i="1"/>
  <c r="AR1776" i="1"/>
  <c r="AS1776" i="1"/>
  <c r="AQ1631" i="1"/>
  <c r="AS1631" i="1"/>
  <c r="AT1631" i="1"/>
  <c r="AR1631" i="1"/>
  <c r="AP1631" i="1"/>
  <c r="AQ955" i="1"/>
  <c r="AR955" i="1"/>
  <c r="AP955" i="1"/>
  <c r="AS955" i="1"/>
  <c r="AT955" i="1"/>
  <c r="AS1897" i="1"/>
  <c r="AP1897" i="1"/>
  <c r="AT1897" i="1" s="1"/>
  <c r="AQ1897" i="1"/>
  <c r="AR1897" i="1"/>
  <c r="AP1172" i="1"/>
  <c r="AS1172" i="1"/>
  <c r="AQ1172" i="1"/>
  <c r="AR1172" i="1"/>
  <c r="AQ1995" i="1"/>
  <c r="AR1995" i="1"/>
  <c r="AS1995" i="1"/>
  <c r="AP1995" i="1"/>
  <c r="AT1995" i="1"/>
  <c r="AU15" i="1"/>
  <c r="AP19" i="1"/>
  <c r="Z2" i="12" l="1"/>
  <c r="AB2" i="12" s="1"/>
  <c r="AT1776" i="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G2" i="12" l="1"/>
  <c r="AI2" i="12"/>
  <c r="AF2" i="12"/>
  <c r="AH2" i="12"/>
  <c r="Z3" i="12"/>
  <c r="AT2121" i="1"/>
  <c r="AT2120" i="1"/>
  <c r="AT2119" i="1"/>
  <c r="J15" i="1"/>
  <c r="C14" i="1"/>
  <c r="Y2" i="12" l="1"/>
  <c r="Z4" i="12"/>
  <c r="AG3" i="12"/>
  <c r="AB3" i="12"/>
  <c r="AF3" i="12" s="1"/>
  <c r="AH3" i="12"/>
  <c r="AI3" i="12"/>
  <c r="N1922" i="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Y3" i="12" l="1"/>
  <c r="AB4" i="12"/>
  <c r="AF4" i="12" s="1"/>
  <c r="Z5" i="12"/>
  <c r="AG4" i="12"/>
  <c r="AH4" i="12"/>
  <c r="AI4" i="12"/>
  <c r="S1920" i="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J2099" i="1"/>
  <c r="AI2099" i="1" s="1"/>
  <c r="AG2099" i="1"/>
  <c r="AC2099" i="1"/>
  <c r="AB2099" i="1" s="1"/>
  <c r="Z2099" i="1"/>
  <c r="V2099" i="1"/>
  <c r="W2099" i="1" s="1"/>
  <c r="K2099" i="1"/>
  <c r="J2099" i="1"/>
  <c r="A2099" i="1"/>
  <c r="AG2098" i="1"/>
  <c r="Z2098" i="1"/>
  <c r="K2098" i="1"/>
  <c r="J2098" i="1"/>
  <c r="A2098" i="1"/>
  <c r="AG2097" i="1"/>
  <c r="Z2097" i="1"/>
  <c r="S2097" i="1"/>
  <c r="K2097" i="1"/>
  <c r="J2097" i="1"/>
  <c r="A2097" i="1"/>
  <c r="Z2096" i="1"/>
  <c r="S2096" i="1"/>
  <c r="AJ2096" i="1" s="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AG2096" i="1"/>
  <c r="Z188" i="1"/>
  <c r="C42" i="5"/>
  <c r="C41" i="5"/>
  <c r="Y4" i="12" l="1"/>
  <c r="AH5" i="12"/>
  <c r="Z6" i="12"/>
  <c r="AG5" i="12"/>
  <c r="AB5" i="12"/>
  <c r="AF5" i="12" s="1"/>
  <c r="AI5" i="12"/>
  <c r="P112" i="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J1994" i="1" s="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J2097" i="1"/>
  <c r="AI2097" i="1" s="1"/>
  <c r="AH2097" i="1" s="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Y5" i="12" l="1"/>
  <c r="X4" i="6" s="1"/>
  <c r="V1236" i="1"/>
  <c r="W1236" i="1" s="1"/>
  <c r="AC1236" i="1"/>
  <c r="AB1236" i="1" s="1"/>
  <c r="AA1236" i="1" s="1"/>
  <c r="AG6" i="12"/>
  <c r="AI6" i="12"/>
  <c r="AB6" i="12"/>
  <c r="AF6" i="12" s="1"/>
  <c r="Z7" i="12"/>
  <c r="AH6" i="12"/>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Z8" i="12" l="1"/>
  <c r="AG7" i="12"/>
  <c r="AB7" i="12"/>
  <c r="AF7" i="12" s="1"/>
  <c r="AH7" i="12"/>
  <c r="AI7" i="12"/>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S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6" i="1"/>
  <c r="S2098" i="1" s="1"/>
  <c r="M2095" i="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R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B8" i="12" l="1"/>
  <c r="AF8" i="12" s="1"/>
  <c r="AG8" i="12"/>
  <c r="AH8" i="12"/>
  <c r="Z9" i="12"/>
  <c r="AI8" i="12"/>
  <c r="AR15" i="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AQ1994" i="1" s="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S2100"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J2098" i="1"/>
  <c r="AI2098" i="1" s="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Z10" i="12" l="1"/>
  <c r="AI9" i="12"/>
  <c r="AB9" i="12"/>
  <c r="AF9" i="12" s="1"/>
  <c r="AG9" i="12"/>
  <c r="AH9" i="12"/>
  <c r="K1946" i="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J2100" i="1"/>
  <c r="AI2100" i="1" s="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P1994" i="1" s="1"/>
  <c r="AT1994" i="1" s="1"/>
  <c r="AG10" i="12" l="1"/>
  <c r="AB10" i="12"/>
  <c r="AF10" i="12" s="1"/>
  <c r="Z11" i="12"/>
  <c r="AH10" i="12"/>
  <c r="AT786" i="1"/>
  <c r="P2116" i="1"/>
  <c r="AM234" i="1"/>
  <c r="AN234" i="1"/>
  <c r="AM258" i="1"/>
  <c r="AN258" i="1"/>
  <c r="AB11" i="12" l="1"/>
  <c r="AF11" i="12" s="1"/>
  <c r="AG11" i="12"/>
  <c r="Z12" i="12"/>
  <c r="AH11" i="12"/>
  <c r="P2118" i="1"/>
  <c r="K2118" i="1"/>
  <c r="AM2116" i="1"/>
  <c r="AM13" i="1" s="1"/>
  <c r="C9" i="1" s="1"/>
  <c r="AH12" i="12" l="1"/>
  <c r="Z13" i="12"/>
  <c r="AG12" i="12"/>
  <c r="AB12" i="12"/>
  <c r="AF12" i="12" s="1"/>
  <c r="AN2118" i="1"/>
  <c r="AP2118" i="1"/>
  <c r="AP15" i="1" s="1"/>
  <c r="J9" i="1"/>
  <c r="J12" i="1" s="1"/>
  <c r="AM15" i="1" s="1"/>
  <c r="AH13" i="12" l="1"/>
  <c r="AG13" i="12"/>
  <c r="AB13" i="12"/>
  <c r="AF13" i="12" s="1"/>
  <c r="Z14" i="12"/>
  <c r="AV15" i="1"/>
  <c r="AG14" i="12" l="1"/>
  <c r="Z15" i="12"/>
  <c r="AB14" i="12"/>
  <c r="AF14" i="12" s="1"/>
  <c r="AH14" i="12"/>
  <c r="AT15" i="1"/>
  <c r="Z16" i="12" l="1"/>
  <c r="AH15" i="12"/>
  <c r="AB15" i="12"/>
  <c r="AF15" i="12" s="1"/>
  <c r="AG15" i="12"/>
  <c r="Z17" i="12" l="1"/>
  <c r="AH16" i="12"/>
  <c r="AG16" i="12"/>
  <c r="AB16" i="12"/>
  <c r="AF16" i="12" s="1"/>
  <c r="AG17" i="12" l="1"/>
  <c r="AB17" i="12"/>
  <c r="AF17" i="12" s="1"/>
  <c r="Z18" i="12"/>
  <c r="AH17" i="12"/>
  <c r="Z19" i="12" l="1"/>
  <c r="AH18" i="12"/>
  <c r="AG18" i="12"/>
  <c r="AB18" i="12"/>
  <c r="AF18" i="12" s="1"/>
  <c r="C71" i="8"/>
  <c r="Z20" i="12" l="1"/>
  <c r="AH19" i="12"/>
  <c r="AG19" i="12"/>
  <c r="AB19" i="12"/>
  <c r="AF19" i="12" s="1"/>
  <c r="AB20" i="12" l="1"/>
  <c r="AF20" i="12" s="1"/>
  <c r="AG20" i="12"/>
  <c r="AH20" i="12"/>
  <c r="Z21" i="12"/>
  <c r="Z22" i="12" l="1"/>
  <c r="AH21" i="12"/>
  <c r="AB21" i="12"/>
  <c r="AF21" i="12" s="1"/>
  <c r="AG21" i="12"/>
  <c r="AH22" i="12" l="1"/>
  <c r="AG22" i="12"/>
  <c r="AB22" i="12"/>
  <c r="AF22" i="12" s="1"/>
  <c r="AN1" i="14"/>
  <c r="AN2" i="14" l="1"/>
  <c r="AW2" i="14" s="1"/>
  <c r="AP2" i="14"/>
  <c r="AT2" i="14" s="1"/>
  <c r="AV2" i="14" l="1"/>
  <c r="AU2" i="14"/>
  <c r="AN3" i="14"/>
  <c r="AU3" i="14" s="1"/>
  <c r="AW3" i="14" l="1"/>
  <c r="AM2" i="14"/>
  <c r="S2" i="14" s="1"/>
  <c r="AN4" i="14"/>
  <c r="AP3" i="14"/>
  <c r="AT3" i="14" s="1"/>
  <c r="AV3" i="14"/>
  <c r="AU4" i="14" l="1"/>
  <c r="AW4" i="14"/>
  <c r="AV4" i="14"/>
  <c r="AN5" i="14"/>
  <c r="AN6" i="14" s="1"/>
  <c r="AW6" i="14" s="1"/>
  <c r="AP4" i="14"/>
  <c r="AT4" i="14" s="1"/>
  <c r="AV5" i="14" l="1"/>
  <c r="AW5" i="14"/>
  <c r="AP5" i="14"/>
  <c r="AT5" i="14" s="1"/>
  <c r="AU5" i="14"/>
  <c r="AP6" i="14"/>
  <c r="AT6" i="14" s="1"/>
  <c r="AN7" i="14"/>
  <c r="AV6" i="14"/>
  <c r="AU6" i="14"/>
  <c r="AM6" i="14" l="1"/>
  <c r="S6" i="14" s="1"/>
  <c r="AW7" i="14"/>
  <c r="AP7" i="14"/>
  <c r="AT7" i="14" s="1"/>
  <c r="AN8" i="14"/>
  <c r="AV7" i="14"/>
  <c r="AU7" i="14"/>
  <c r="AM7" i="14" l="1"/>
  <c r="S7" i="14" s="1"/>
  <c r="AV8" i="14"/>
  <c r="AN9" i="14"/>
  <c r="AU8" i="14"/>
  <c r="AP8" i="14"/>
  <c r="AT8" i="14" s="1"/>
  <c r="AP9" i="14" l="1"/>
  <c r="AT9" i="14" s="1"/>
  <c r="AN10" i="14"/>
  <c r="AV9" i="14"/>
  <c r="AU9" i="14"/>
  <c r="AW10" i="14" l="1"/>
  <c r="AP10" i="14"/>
  <c r="AT10" i="14" s="1"/>
  <c r="AN11" i="14"/>
  <c r="AU10" i="14"/>
  <c r="AV10" i="14"/>
  <c r="AU11" i="14" l="1"/>
  <c r="AV11" i="14"/>
  <c r="AP11" i="14"/>
  <c r="AT11" i="14" s="1"/>
  <c r="AN12" i="14"/>
  <c r="AU12" i="14" l="1"/>
  <c r="AV12" i="14"/>
  <c r="AP12" i="14"/>
  <c r="AT12" i="14" s="1"/>
  <c r="AN13" i="14"/>
  <c r="AU13" i="14" l="1"/>
  <c r="AV13" i="14"/>
  <c r="AP13" i="14"/>
  <c r="AT13" i="14" s="1"/>
  <c r="AN14" i="14"/>
  <c r="AU14" i="14" l="1"/>
  <c r="AV14" i="14"/>
  <c r="AP14" i="14"/>
  <c r="AT14" i="14" s="1"/>
  <c r="AN15" i="14"/>
  <c r="AU15" i="14" l="1"/>
  <c r="AV15" i="14"/>
  <c r="AP15" i="14"/>
  <c r="AT15" i="14" s="1"/>
  <c r="AN16" i="14"/>
  <c r="AU16" i="14" l="1"/>
  <c r="AV16" i="14"/>
  <c r="AP16" i="14"/>
  <c r="AT16" i="14" s="1"/>
  <c r="AN17" i="14"/>
  <c r="AU17" i="14" l="1"/>
  <c r="AV17" i="14"/>
  <c r="AN18" i="14"/>
  <c r="AP17" i="14"/>
  <c r="AT17" i="14" s="1"/>
  <c r="AU18" i="14" l="1"/>
  <c r="AV18" i="14"/>
  <c r="AP18" i="14"/>
  <c r="AT18" i="14" s="1"/>
  <c r="AN19" i="14"/>
  <c r="AU19" i="14" l="1"/>
  <c r="AV19" i="14"/>
  <c r="AN20" i="14"/>
  <c r="AP19" i="14"/>
  <c r="AT19" i="14" s="1"/>
  <c r="AU20" i="14" l="1"/>
  <c r="AV20" i="14"/>
  <c r="AP20" i="14"/>
  <c r="AT20" i="14" s="1"/>
  <c r="AN21" i="14"/>
  <c r="AU21" i="14" l="1"/>
  <c r="AV21" i="14"/>
  <c r="AN22" i="14"/>
  <c r="W1" i="18" s="1"/>
  <c r="AP21" i="14"/>
  <c r="AT21" i="14" s="1"/>
  <c r="W2" i="18" l="1"/>
  <c r="AF2" i="18" s="1"/>
  <c r="AU22" i="14"/>
  <c r="AV22" i="14"/>
  <c r="AP22" i="14"/>
  <c r="AT22" i="14" s="1"/>
  <c r="AE2" i="18" l="1"/>
  <c r="Y2" i="18"/>
  <c r="AC2" i="18" s="1"/>
  <c r="W3" i="18"/>
  <c r="AF3" i="18" s="1"/>
  <c r="AD2" i="18"/>
  <c r="G3" i="8"/>
  <c r="AE3" i="18" l="1"/>
  <c r="Y3" i="18"/>
  <c r="AC3" i="18" s="1"/>
  <c r="V2" i="18"/>
  <c r="AD3" i="18"/>
  <c r="W4" i="18"/>
  <c r="AF4" i="18" s="1"/>
  <c r="F3" i="8"/>
  <c r="I7" i="8" s="1"/>
  <c r="E7" i="6" s="1"/>
  <c r="E8" i="6" l="1"/>
  <c r="AE4" i="18"/>
  <c r="V3" i="18"/>
  <c r="Y4" i="18"/>
  <c r="AC4" i="18" s="1"/>
  <c r="AD4" i="18"/>
  <c r="W5" i="18"/>
  <c r="AF5" i="18" s="1"/>
  <c r="B28" i="6"/>
  <c r="F23" i="6"/>
  <c r="B10" i="6" l="1"/>
  <c r="AE5" i="18"/>
  <c r="Y5" i="18"/>
  <c r="AC5" i="18" s="1"/>
  <c r="V4" i="18"/>
  <c r="AD5" i="18"/>
  <c r="W6" i="18"/>
  <c r="AF6" i="18" s="1"/>
  <c r="B27" i="6"/>
  <c r="K7" i="6"/>
  <c r="E9" i="6"/>
  <c r="I7" i="6"/>
  <c r="M7" i="6"/>
  <c r="E10" i="6"/>
  <c r="B14" i="6"/>
  <c r="AE6" i="18" l="1"/>
  <c r="S20" i="6"/>
  <c r="S21" i="6"/>
  <c r="Y6" i="18"/>
  <c r="AC6" i="18" s="1"/>
  <c r="V5" i="18"/>
  <c r="AD6" i="18"/>
  <c r="W7" i="18"/>
  <c r="AF7" i="18" s="1"/>
  <c r="S22" i="6"/>
  <c r="S19" i="6"/>
  <c r="S18" i="6"/>
  <c r="S17" i="6"/>
  <c r="E6" i="6"/>
  <c r="N7" i="6"/>
  <c r="O7" i="6" s="1"/>
  <c r="K9" i="6"/>
  <c r="M9" i="6"/>
  <c r="B16" i="6"/>
  <c r="I9" i="6"/>
  <c r="K10" i="6"/>
  <c r="M10" i="6"/>
  <c r="B17" i="6"/>
  <c r="I10" i="6"/>
  <c r="M8" i="6"/>
  <c r="I8" i="6"/>
  <c r="K8" i="6"/>
  <c r="B15" i="6"/>
  <c r="B13" i="6" l="1"/>
  <c r="AE7" i="18"/>
  <c r="V6" i="18"/>
  <c r="Y7" i="18"/>
  <c r="AC7" i="18" s="1"/>
  <c r="AD7" i="18"/>
  <c r="W8" i="18"/>
  <c r="AF8" i="18" s="1"/>
  <c r="B8" i="6"/>
  <c r="B7" i="6" s="1"/>
  <c r="N9" i="6"/>
  <c r="O9" i="6" s="1"/>
  <c r="N8" i="6"/>
  <c r="O8" i="6" s="1"/>
  <c r="N10" i="6"/>
  <c r="O10" i="6" s="1"/>
  <c r="G13" i="6"/>
  <c r="G12" i="6"/>
  <c r="G11" i="6"/>
  <c r="G7" i="6"/>
  <c r="B1" i="6" l="1"/>
  <c r="B2" i="6"/>
  <c r="B3" i="6"/>
  <c r="AE8" i="18"/>
  <c r="Y8" i="18"/>
  <c r="AC8" i="18" s="1"/>
  <c r="V7" i="18"/>
  <c r="AD8" i="18"/>
  <c r="W9" i="18"/>
  <c r="AF9" i="18" s="1"/>
  <c r="O14" i="6"/>
  <c r="N14" i="6"/>
  <c r="AE9" i="18" l="1"/>
  <c r="Y9" i="18"/>
  <c r="AC9" i="18" s="1"/>
  <c r="V8" i="18"/>
  <c r="AD9" i="18"/>
  <c r="W10" i="18"/>
  <c r="AF10" i="18" s="1"/>
  <c r="AM3" i="14"/>
  <c r="S3" i="14" s="1"/>
  <c r="AE10" i="18" l="1"/>
  <c r="Y10" i="18"/>
  <c r="AC10" i="18" s="1"/>
  <c r="V9" i="18"/>
  <c r="AD10" i="18"/>
  <c r="W11" i="18"/>
  <c r="AF11" i="18" s="1"/>
  <c r="AE11" i="18" l="1"/>
  <c r="Y11" i="18"/>
  <c r="AC11" i="18" s="1"/>
  <c r="V10" i="18"/>
  <c r="AD11" i="18"/>
  <c r="W12" i="18"/>
  <c r="AF12" i="18" s="1"/>
  <c r="AE12" i="18" l="1"/>
  <c r="V11" i="18"/>
  <c r="Y12" i="18"/>
  <c r="AC12" i="18" s="1"/>
  <c r="V12" i="18" s="1"/>
  <c r="AD12" i="18"/>
  <c r="W13" i="18"/>
  <c r="AF13" i="18" s="1"/>
  <c r="AE13" i="18" l="1"/>
  <c r="Y13" i="18"/>
  <c r="AC13" i="18" s="1"/>
  <c r="AD13" i="18"/>
  <c r="W14" i="18"/>
  <c r="AF14" i="18" s="1"/>
  <c r="AM4" i="14"/>
  <c r="S4" i="14" s="1"/>
  <c r="AM5" i="14"/>
  <c r="S5" i="14" s="1"/>
  <c r="AE14" i="18" l="1"/>
  <c r="Y14" i="18"/>
  <c r="AC14" i="18" s="1"/>
  <c r="V13" i="18"/>
  <c r="AD14" i="18"/>
  <c r="W15" i="18"/>
  <c r="AF15" i="18" s="1"/>
  <c r="X5" i="6"/>
  <c r="AE15" i="18" l="1"/>
  <c r="Y15" i="18"/>
  <c r="AC15" i="18" s="1"/>
  <c r="V14" i="18"/>
  <c r="AD15" i="18"/>
  <c r="W16" i="18"/>
  <c r="AF16" i="18" s="1"/>
  <c r="AE16" i="18" l="1"/>
  <c r="Y16" i="18"/>
  <c r="AC16" i="18" s="1"/>
  <c r="V15" i="18"/>
  <c r="X6" i="6" s="1"/>
  <c r="AD16" i="18"/>
  <c r="W17" i="18"/>
  <c r="AF17" i="18" s="1"/>
  <c r="AD17" i="18" l="1"/>
  <c r="AC17" i="18"/>
  <c r="W18" i="18"/>
  <c r="AF18" i="18" s="1"/>
  <c r="AD18" i="18" l="1"/>
  <c r="AC18" i="18"/>
  <c r="W19" i="18"/>
  <c r="AF19" i="18" s="1"/>
  <c r="AD19" i="18" l="1"/>
  <c r="AC19" i="18"/>
  <c r="W20" i="18"/>
  <c r="AF20" i="18" s="1"/>
  <c r="AD20" i="18" l="1"/>
  <c r="AC20" i="18"/>
  <c r="W21" i="18"/>
  <c r="AF21" i="18" s="1"/>
  <c r="AD21" i="18" l="1"/>
  <c r="AC21" i="18"/>
  <c r="W22" i="18"/>
  <c r="AF22" i="18" s="1"/>
  <c r="O1" i="20" l="1"/>
  <c r="O2" i="20" s="1"/>
  <c r="AD22" i="18"/>
  <c r="AC22" i="18"/>
  <c r="O3" i="20" l="1"/>
  <c r="V2" i="20"/>
  <c r="Q2" i="20"/>
  <c r="U2" i="20" s="1"/>
  <c r="O4" i="20" l="1"/>
  <c r="V3" i="20"/>
  <c r="Q3" i="20"/>
  <c r="U3" i="20" s="1"/>
  <c r="N3" i="20" s="1"/>
  <c r="O5" i="20" l="1"/>
  <c r="V4" i="20"/>
  <c r="Q4" i="20"/>
  <c r="U4" i="20" s="1"/>
  <c r="N4" i="20" s="1"/>
  <c r="W5" i="20" l="1"/>
  <c r="Q5" i="20"/>
  <c r="U5" i="20" s="1"/>
  <c r="O6" i="20"/>
  <c r="V5" i="20"/>
  <c r="N5" i="20" s="1"/>
  <c r="W6" i="20" l="1"/>
  <c r="Q6" i="20"/>
  <c r="U6" i="20" s="1"/>
  <c r="O7" i="20"/>
  <c r="V6" i="20"/>
  <c r="O8" i="20" l="1"/>
  <c r="V7" i="20"/>
  <c r="W7" i="20"/>
  <c r="Q7" i="20"/>
  <c r="U7" i="20" s="1"/>
  <c r="W8" i="20" l="1"/>
  <c r="O9" i="20"/>
  <c r="V8" i="20"/>
  <c r="Q8" i="20"/>
  <c r="U8" i="20" s="1"/>
  <c r="N8" i="20" s="1"/>
  <c r="Q9" i="20" l="1"/>
  <c r="U9" i="20" s="1"/>
  <c r="O10" i="20"/>
  <c r="W9" i="20"/>
  <c r="V9" i="20"/>
  <c r="Q10" i="20" l="1"/>
  <c r="U10" i="20" s="1"/>
  <c r="N10" i="20" s="1"/>
  <c r="X7" i="6" s="1"/>
  <c r="O11" i="20"/>
  <c r="W10" i="20"/>
  <c r="V10" i="20"/>
  <c r="O12" i="20" l="1"/>
  <c r="V11" i="20"/>
  <c r="V12" i="20" l="1"/>
  <c r="O13" i="20"/>
  <c r="V13" i="20" l="1"/>
  <c r="O14" i="20"/>
  <c r="V14" i="20" l="1"/>
  <c r="O15" i="20"/>
  <c r="V15" i="20" l="1"/>
  <c r="O16" i="20"/>
  <c r="O17" i="20" l="1"/>
  <c r="V16" i="20"/>
  <c r="V17" i="20" l="1"/>
  <c r="O18" i="20"/>
  <c r="O19" i="20" l="1"/>
  <c r="V18" i="20"/>
  <c r="V19" i="20" l="1"/>
  <c r="O20" i="20"/>
  <c r="O21" i="20" l="1"/>
  <c r="V20" i="20"/>
  <c r="V21" i="20" l="1"/>
  <c r="O22"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Q14" i="8"/>
  <c r="AE1" i="8"/>
  <c r="W8" i="6" s="1"/>
  <c r="X8" i="6" l="1"/>
  <c r="X1" i="6" s="1"/>
  <c r="H1" i="6" s="1"/>
  <c r="AE2" i="20"/>
  <c r="D141" i="6" s="1"/>
  <c r="AE4" i="20"/>
  <c r="D143" i="6" s="1"/>
  <c r="AE21" i="20"/>
  <c r="D160" i="6" s="1"/>
  <c r="AE14" i="20"/>
  <c r="D153" i="6" s="1"/>
  <c r="AE6" i="20"/>
  <c r="D145" i="6" s="1"/>
  <c r="AE11" i="20"/>
  <c r="D150" i="6" s="1"/>
  <c r="AE22" i="20"/>
  <c r="D161" i="6" s="1"/>
  <c r="AE19" i="20"/>
  <c r="D158" i="6" s="1"/>
  <c r="AE16" i="20"/>
  <c r="D155" i="6" s="1"/>
  <c r="AE13" i="20"/>
  <c r="D152" i="6" s="1"/>
  <c r="AE17" i="20"/>
  <c r="D156" i="6" s="1"/>
  <c r="AE5" i="20"/>
  <c r="D144" i="6" s="1"/>
  <c r="AE15" i="20"/>
  <c r="D154" i="6" s="1"/>
  <c r="AE9" i="20"/>
  <c r="D148" i="6" s="1"/>
  <c r="AE8" i="20"/>
  <c r="D147" i="6" s="1"/>
  <c r="AE18" i="20"/>
  <c r="D157" i="6" s="1"/>
  <c r="AE3" i="20"/>
  <c r="D142" i="6" s="1"/>
  <c r="AE10" i="20"/>
  <c r="D149" i="6" s="1"/>
  <c r="AE7" i="20"/>
  <c r="D146" i="6" s="1"/>
  <c r="AE12" i="20"/>
  <c r="D151" i="6" s="1"/>
  <c r="AE20" i="20"/>
  <c r="D159" i="6" s="1"/>
</calcChain>
</file>

<file path=xl/sharedStrings.xml><?xml version="1.0" encoding="utf-8"?>
<sst xmlns="http://schemas.openxmlformats.org/spreadsheetml/2006/main" count="14985" uniqueCount="1354">
  <si>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</si>
  <si>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</si>
  <si>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</si>
  <si>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</si>
  <si>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</si>
  <si>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</si>
  <si>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</si>
  <si>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</si>
  <si>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</si>
  <si>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</si>
  <si>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</si>
  <si>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</si>
  <si>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</si>
  <si>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</si>
  <si>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</si>
  <si>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</si>
  <si>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</si>
  <si>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</si>
  <si>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</si>
  <si>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</si>
  <si>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</si>
  <si>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</si>
  <si>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</si>
  <si>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</si>
  <si>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</si>
  <si>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</si>
  <si>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</si>
  <si>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</si>
  <si>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</si>
  <si>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</si>
  <si>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</si>
  <si>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</si>
  <si>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</si>
  <si>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</si>
  <si>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</si>
  <si>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</si>
  <si>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</si>
  <si>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</si>
  <si>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</si>
  <si>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</si>
  <si>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</si>
  <si>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</si>
  <si>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</si>
  <si>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</si>
  <si>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</si>
  <si>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</si>
  <si>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</si>
  <si>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</si>
  <si>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</si>
  <si>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</si>
  <si>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</si>
  <si>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</si>
  <si>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</si>
  <si>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</si>
  <si>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</si>
  <si>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</si>
  <si>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</si>
  <si>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</si>
  <si>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</si>
  <si>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</si>
  <si>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</si>
  <si>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</si>
  <si>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</si>
  <si>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</si>
  <si>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</si>
  <si>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</si>
  <si>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</si>
  <si>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</si>
  <si>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</si>
  <si>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</si>
  <si>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</si>
  <si>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</si>
  <si>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</si>
  <si>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</si>
  <si>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</si>
  <si>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</si>
  <si>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</si>
  <si>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</si>
  <si>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</si>
  <si>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</si>
  <si>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</si>
  <si>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</si>
  <si>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</si>
  <si>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</si>
  <si>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</si>
  <si>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</si>
  <si>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</si>
  <si>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</si>
  <si>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</si>
  <si>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</si>
  <si>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</si>
  <si>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</si>
  <si>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</si>
  <si>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</si>
  <si>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</si>
  <si>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</si>
  <si>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</si>
  <si>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</si>
  <si>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</si>
  <si>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</si>
  <si>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</si>
  <si>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</si>
  <si>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</si>
  <si>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</si>
  <si>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</si>
  <si>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</si>
  <si>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</si>
  <si>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</si>
  <si>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</si>
  <si>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</si>
  <si>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</si>
  <si>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</si>
  <si>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</si>
  <si>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</si>
  <si>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</si>
  <si>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</si>
  <si>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</si>
  <si>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</si>
  <si>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</si>
  <si>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</si>
  <si>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</si>
  <si>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</si>
  <si>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</si>
  <si>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</si>
  <si>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</si>
  <si>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</si>
  <si>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</si>
  <si>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</si>
  <si>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</si>
  <si>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</si>
  <si>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</si>
  <si>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</si>
  <si>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</si>
  <si>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</si>
  <si>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</si>
  <si>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</si>
  <si>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</si>
  <si>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</si>
  <si>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</si>
  <si>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</si>
  <si>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</si>
  <si>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</si>
  <si>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</si>
  <si>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</si>
  <si>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</si>
  <si>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</si>
  <si>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</si>
  <si>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</si>
  <si>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</si>
  <si>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</si>
  <si>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</si>
  <si>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</si>
  <si>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</si>
  <si>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</si>
  <si>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</si>
  <si>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</si>
  <si>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</si>
  <si>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</si>
  <si>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</si>
  <si>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</si>
  <si>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</si>
  <si>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</si>
  <si>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</si>
  <si>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</si>
  <si>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</si>
  <si>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</si>
  <si>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</si>
  <si>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</si>
  <si>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</si>
  <si>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</si>
  <si>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</si>
  <si>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</si>
  <si>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</si>
  <si>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</si>
  <si>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</si>
  <si>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</si>
  <si>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</si>
  <si>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</si>
  <si>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</si>
  <si>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</si>
  <si>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</si>
  <si>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</si>
  <si>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</si>
  <si>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</si>
  <si>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</si>
  <si>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</si>
  <si>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</si>
  <si>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</si>
  <si>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</si>
  <si>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</si>
  <si>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</si>
  <si>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</si>
  <si>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</si>
  <si>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</si>
  <si>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</si>
  <si>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</si>
  <si>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</si>
  <si>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</si>
  <si>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</si>
  <si>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</si>
  <si>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</si>
  <si>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</si>
  <si>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</si>
  <si>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</si>
  <si>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</si>
  <si>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</si>
  <si>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</si>
  <si>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</si>
  <si>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</si>
  <si>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</si>
  <si>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</si>
  <si>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</si>
  <si>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</si>
  <si>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</si>
  <si>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</si>
  <si>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</si>
  <si>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</si>
  <si>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</si>
  <si>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</si>
  <si>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</si>
  <si>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</si>
  <si>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</si>
  <si>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</si>
  <si>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</si>
  <si>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</si>
  <si>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</si>
  <si>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</si>
  <si>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</si>
  <si>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</si>
  <si>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</si>
  <si>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</si>
  <si>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</si>
  <si>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</si>
  <si>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</si>
  <si>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</si>
  <si>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</si>
  <si>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</si>
  <si>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</si>
  <si>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</si>
  <si>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</si>
  <si>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</si>
  <si>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</si>
  <si>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</si>
  <si>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</si>
  <si>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</si>
  <si>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</si>
  <si>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</si>
  <si>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</si>
  <si>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</si>
  <si>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</si>
  <si>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</si>
  <si>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</si>
  <si>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</si>
  <si>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</si>
  <si>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</si>
  <si>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</si>
  <si>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</si>
  <si>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</si>
  <si>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</si>
  <si>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</si>
  <si>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</si>
  <si>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</si>
  <si>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</si>
  <si>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</si>
  <si>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</si>
  <si>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</si>
  <si>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</si>
  <si>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</si>
  <si>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</si>
  <si>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</si>
  <si>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</si>
  <si>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</si>
  <si>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</si>
  <si>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</si>
  <si>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</si>
  <si>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</si>
  <si>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</si>
  <si>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</si>
  <si>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</si>
  <si>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</si>
  <si>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</si>
  <si>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</si>
  <si>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</si>
  <si>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</si>
  <si>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</si>
  <si>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</si>
  <si>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</si>
  <si>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</si>
  <si>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</si>
  <si>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</si>
  <si>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</si>
  <si>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</si>
  <si>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</si>
  <si>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</si>
  <si>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</si>
  <si>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</si>
  <si>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</si>
  <si>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</si>
  <si>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</si>
  <si>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</si>
  <si>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</si>
  <si>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</si>
  <si>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</si>
  <si>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</si>
  <si>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</si>
  <si>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</si>
  <si>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</si>
  <si>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</si>
  <si>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</si>
  <si>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</si>
  <si>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</si>
  <si>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</si>
  <si>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</si>
  <si>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</si>
  <si>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</si>
  <si>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</si>
  <si>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</si>
  <si>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</si>
  <si>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</si>
  <si>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</si>
  <si>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</si>
  <si>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</si>
  <si>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</si>
  <si>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</si>
  <si>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</si>
  <si>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</si>
  <si>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</si>
  <si>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</si>
  <si>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</si>
  <si>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</si>
  <si>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</si>
  <si>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</si>
  <si>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</si>
  <si>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</si>
  <si>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</si>
  <si>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</si>
  <si>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</si>
  <si>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</si>
  <si>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</si>
  <si>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</si>
  <si>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</si>
  <si>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</si>
  <si>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</si>
  <si>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</si>
  <si>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</si>
  <si>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</si>
  <si>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</si>
  <si>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</si>
  <si>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</si>
  <si>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</si>
  <si>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</si>
  <si>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</si>
  <si>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</si>
  <si>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</si>
  <si>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</si>
  <si>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</si>
  <si>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</si>
  <si>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</si>
  <si>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</si>
  <si>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</si>
  <si>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</si>
  <si>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</si>
  <si>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</si>
  <si>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</si>
  <si>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</si>
  <si>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</si>
  <si>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</si>
  <si>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</si>
  <si>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</si>
  <si>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</si>
  <si>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</si>
  <si>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</si>
  <si>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</si>
  <si>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</si>
  <si>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</si>
  <si>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</si>
  <si>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</si>
  <si>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</si>
  <si>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</si>
  <si>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</si>
  <si>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</si>
  <si>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</si>
  <si>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</si>
  <si>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</si>
  <si>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</si>
  <si>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</si>
  <si>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</si>
  <si>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</si>
  <si>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</si>
  <si>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</si>
  <si>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</si>
  <si>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</si>
  <si>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</si>
  <si>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</si>
  <si>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</si>
  <si>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</si>
  <si>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</si>
  <si>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</si>
  <si>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</si>
  <si>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</si>
  <si>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</si>
  <si>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</si>
  <si>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</si>
  <si>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</si>
  <si>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</si>
  <si>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</si>
  <si>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</si>
  <si>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</si>
  <si>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</si>
  <si>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</si>
  <si>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</si>
  <si>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</si>
  <si>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</si>
  <si>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</si>
  <si>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</si>
  <si>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</si>
  <si>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</si>
  <si>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</si>
  <si>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</si>
  <si>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</si>
  <si>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</si>
  <si>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</si>
  <si>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</si>
  <si>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</si>
  <si>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</si>
  <si>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</si>
  <si>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</si>
  <si>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</si>
  <si>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</si>
  <si>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</si>
  <si>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</si>
  <si>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</si>
  <si>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</si>
  <si>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</si>
  <si>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</si>
  <si>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</si>
  <si>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</si>
  <si>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</si>
  <si>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</si>
  <si>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</si>
  <si>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</si>
  <si>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</si>
  <si>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</si>
  <si>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</si>
  <si>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</si>
  <si>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</si>
  <si>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</si>
  <si>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</si>
  <si>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</si>
  <si>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</si>
  <si>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</si>
  <si>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</si>
  <si>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</si>
  <si>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</si>
  <si>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</si>
  <si>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</si>
  <si>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</si>
  <si>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</si>
  <si>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</si>
  <si>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</si>
  <si>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</si>
  <si>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</si>
  <si>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</si>
  <si>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</si>
  <si>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</si>
  <si>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</si>
  <si>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</si>
  <si>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</si>
  <si>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</si>
  <si>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</si>
  <si>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</si>
  <si>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</si>
  <si>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</si>
  <si>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</si>
  <si>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</si>
  <si>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</si>
  <si>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</si>
  <si>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</si>
  <si>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</si>
  <si>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</si>
  <si>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</si>
  <si>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</si>
  <si>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</si>
  <si>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</si>
  <si>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</si>
  <si>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</si>
  <si>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</si>
  <si>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</si>
  <si>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</si>
  <si>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</si>
  <si>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</si>
  <si>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</si>
  <si>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</si>
  <si>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</si>
  <si>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</si>
  <si>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</si>
  <si>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</si>
  <si>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</si>
  <si>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</si>
  <si>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</si>
  <si>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</si>
  <si>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</si>
  <si>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</si>
  <si>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</si>
  <si>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</si>
  <si>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</si>
  <si>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</si>
  <si>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</si>
  <si>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</si>
  <si>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</si>
  <si>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</si>
  <si>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</si>
  <si>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</si>
  <si>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</si>
  <si>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</si>
  <si>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</si>
  <si>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</si>
  <si>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</si>
  <si>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</si>
  <si>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</si>
  <si>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</si>
  <si>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</si>
  <si>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</si>
  <si>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</si>
  <si>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</si>
  <si>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</si>
  <si>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</si>
  <si>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</si>
  <si>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</si>
  <si>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</si>
  <si>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</si>
  <si>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</si>
  <si>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</si>
  <si>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</si>
  <si>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</si>
  <si>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</si>
  <si>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</si>
  <si>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</si>
  <si>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</si>
  <si>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</si>
  <si>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</si>
  <si>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</si>
  <si>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</si>
  <si>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</si>
  <si>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</si>
  <si>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</si>
  <si>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</si>
  <si>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</si>
  <si>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</si>
  <si>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</si>
  <si>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</si>
  <si>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</si>
  <si>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</si>
  <si>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</si>
  <si>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</si>
  <si>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</si>
  <si>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</si>
  <si>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</si>
  <si>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</si>
  <si>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</si>
  <si>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</si>
  <si>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</si>
  <si>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</si>
  <si>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</si>
  <si>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</si>
  <si>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</si>
  <si>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</si>
  <si>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</si>
  <si>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</si>
  <si>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</si>
  <si>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</si>
  <si>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</si>
  <si>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</si>
  <si>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</si>
  <si>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</si>
  <si>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</si>
  <si>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</si>
  <si>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</si>
  <si>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</si>
  <si>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</si>
  <si>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</si>
  <si>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</si>
  <si>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</si>
  <si>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</si>
  <si>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</si>
  <si>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</si>
  <si>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</si>
  <si>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</si>
  <si>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</si>
  <si>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</si>
  <si>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</si>
  <si>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</si>
  <si>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</si>
  <si>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</si>
  <si>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</si>
  <si>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</si>
  <si>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</si>
  <si>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</si>
  <si>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</si>
  <si>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</si>
  <si>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</si>
  <si>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</si>
  <si>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</si>
  <si>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</si>
  <si>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</si>
  <si>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</si>
  <si>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</si>
  <si>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</si>
  <si>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</si>
  <si>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</si>
  <si>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</si>
  <si>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</si>
  <si>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</si>
  <si>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</si>
  <si>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</si>
  <si>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</si>
  <si>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</si>
  <si>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</si>
  <si>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</si>
  <si>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</si>
  <si>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</si>
  <si>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</si>
  <si>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</si>
  <si>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</si>
  <si>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</si>
  <si>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</si>
  <si>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</si>
  <si>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</si>
  <si>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</si>
  <si>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</si>
  <si>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</si>
  <si>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</si>
  <si>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</si>
  <si>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</si>
  <si>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</si>
  <si>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</si>
  <si>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</si>
  <si>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</si>
  <si>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</si>
  <si>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</si>
  <si>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</si>
  <si>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</si>
  <si>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</si>
  <si>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</si>
  <si>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</si>
  <si>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</si>
  <si>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</si>
  <si>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</si>
  <si>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</si>
  <si>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</si>
  <si>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</si>
  <si>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</si>
  <si>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</si>
  <si>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</si>
  <si>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</si>
  <si>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</si>
  <si>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</si>
  <si>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</si>
  <si>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</si>
  <si>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</si>
  <si>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</si>
  <si>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</si>
  <si>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</si>
  <si>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</si>
  <si>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</si>
  <si>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</si>
  <si>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</si>
  <si>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</si>
  <si>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</si>
  <si>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</si>
  <si>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</si>
  <si>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</si>
  <si>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</si>
  <si>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</si>
  <si>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</si>
  <si>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</si>
  <si>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</si>
  <si>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</si>
  <si>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</si>
  <si>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</si>
  <si>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</si>
  <si>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</si>
  <si>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</si>
  <si>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</si>
  <si>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</si>
  <si>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</si>
  <si>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</si>
  <si>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</si>
  <si>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</si>
  <si>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</si>
  <si>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</si>
  <si>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</si>
  <si>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</si>
  <si>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</si>
  <si>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</si>
  <si>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</si>
  <si>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</si>
  <si>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</si>
  <si>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</si>
  <si>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</si>
  <si>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</si>
  <si>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</si>
  <si>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</si>
  <si>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</si>
  <si>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</si>
  <si>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</si>
  <si>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</si>
  <si>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</si>
  <si>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</si>
  <si>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</si>
  <si>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</si>
  <si>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</si>
  <si>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</si>
  <si>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</si>
  <si>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</si>
  <si>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</si>
  <si>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</si>
  <si>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</si>
  <si>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</si>
  <si>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</si>
  <si>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</si>
  <si>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</si>
  <si>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</si>
  <si>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</si>
  <si>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</si>
  <si>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</si>
  <si>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</si>
  <si>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</si>
  <si>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</si>
  <si>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Admin/Overhead</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</si>
  <si>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</si>
  <si>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</si>
  <si>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</si>
  <si>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</si>
  <si>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</si>
  <si>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</si>
  <si>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</si>
  <si>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</si>
  <si>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</si>
  <si>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</si>
  <si>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</si>
  <si>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</si>
  <si>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</si>
  <si>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</si>
  <si>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</si>
  <si>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</si>
  <si>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</si>
  <si>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</si>
  <si>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</si>
  <si>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</si>
  <si>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</si>
  <si>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</si>
  <si>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</si>
  <si>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</si>
  <si>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</si>
  <si>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</si>
  <si>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</si>
  <si>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</si>
  <si>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</si>
  <si>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</si>
  <si>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</si>
  <si>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</si>
  <si>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</si>
  <si>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</si>
  <si>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</si>
  <si>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</si>
  <si>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</si>
  <si>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</si>
  <si>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</si>
  <si>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</si>
  <si>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</si>
  <si>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</si>
  <si>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</si>
  <si>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</si>
  <si>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</si>
  <si>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</si>
  <si>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</si>
  <si>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</si>
  <si>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</si>
  <si>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</si>
  <si>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</si>
  <si>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</si>
  <si>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</si>
  <si>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</si>
  <si>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</si>
  <si>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</si>
  <si>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</si>
  <si>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</si>
  <si>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</si>
  <si>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</si>
  <si>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</si>
  <si>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</si>
  <si>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</si>
  <si>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</si>
  <si>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</si>
  <si>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</si>
  <si>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</si>
  <si>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</si>
  <si>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</si>
  <si>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</si>
  <si>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</si>
  <si>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</si>
  <si>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</si>
  <si>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</si>
  <si>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</si>
  <si>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</si>
  <si>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</si>
  <si>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</si>
  <si>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</si>
  <si>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</si>
  <si>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</si>
  <si>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</si>
  <si>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</si>
  <si>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</si>
  <si>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</si>
  <si>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</si>
  <si>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</si>
  <si>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</si>
  <si>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</si>
  <si>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</si>
  <si>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</si>
  <si>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</si>
  <si>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</si>
  <si>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</si>
  <si>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</si>
  <si>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</si>
  <si>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</si>
  <si>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</si>
  <si>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</si>
  <si>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</si>
  <si>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</si>
  <si>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</si>
  <si>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</si>
  <si>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</si>
  <si>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</si>
  <si>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</si>
  <si>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</si>
  <si>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</si>
  <si>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</si>
  <si>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</si>
  <si>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</si>
  <si>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</si>
  <si>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</si>
  <si>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</si>
  <si>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</si>
  <si>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</si>
  <si>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</si>
  <si>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</si>
  <si>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</si>
  <si>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</si>
  <si>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</si>
  <si>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</si>
  <si>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</si>
  <si>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</si>
  <si>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</si>
  <si>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</si>
  <si>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</si>
  <si>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</si>
  <si>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</si>
  <si>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</si>
  <si>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</si>
  <si>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</si>
  <si>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</si>
  <si>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</si>
  <si>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</si>
  <si>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</si>
  <si>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</si>
  <si>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</si>
  <si>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</si>
  <si>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</si>
  <si>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</si>
  <si>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</si>
  <si>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</si>
  <si>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</si>
  <si>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</si>
  <si>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</si>
  <si>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</si>
  <si>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</si>
  <si>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</si>
  <si>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</si>
  <si>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</si>
  <si>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</si>
  <si>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</si>
  <si>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</si>
  <si>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</si>
  <si>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</si>
  <si>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</si>
  <si>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</si>
  <si>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</si>
  <si>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</si>
  <si>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</si>
  <si>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</si>
  <si>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</si>
  <si>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</si>
  <si>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</si>
  <si>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</si>
  <si>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</si>
  <si>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</si>
  <si>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</si>
  <si>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</si>
  <si>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</si>
  <si>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</si>
  <si>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</si>
  <si>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</si>
  <si>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</si>
  <si>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</si>
  <si>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</si>
  <si>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</si>
  <si>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</si>
  <si>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</si>
  <si>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</si>
  <si>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</si>
  <si>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</si>
  <si>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</si>
  <si>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</si>
  <si>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</si>
  <si>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</si>
  <si>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</si>
  <si>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</si>
  <si>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</si>
  <si>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</si>
  <si>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</si>
  <si>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</si>
  <si>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</si>
  <si>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</si>
  <si>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</si>
  <si>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</si>
  <si>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</si>
  <si>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</si>
  <si>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</si>
  <si>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</si>
  <si>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</si>
  <si>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</si>
  <si>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</si>
  <si>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</si>
  <si>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</si>
  <si>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</si>
  <si>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</si>
  <si>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</si>
  <si>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</si>
  <si>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</si>
  <si>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</si>
  <si>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</si>
  <si>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</si>
  <si>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</si>
  <si>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</si>
  <si>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</si>
  <si>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</si>
  <si>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</si>
  <si>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</si>
  <si>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</si>
  <si>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</si>
  <si>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</si>
  <si>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</si>
  <si>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</si>
  <si>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</si>
  <si>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</si>
  <si>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</si>
  <si>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</si>
  <si>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</si>
  <si>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</si>
  <si>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</si>
  <si>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</si>
  <si>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</si>
  <si>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</si>
  <si>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</si>
  <si>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</si>
  <si>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</si>
  <si>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</si>
  <si>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</si>
  <si>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</si>
  <si>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</si>
  <si>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</si>
  <si>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</si>
  <si>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</si>
  <si>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</si>
  <si>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</si>
  <si>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</si>
  <si>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</si>
  <si>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</si>
  <si>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</si>
  <si>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</si>
  <si>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</si>
  <si>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</si>
  <si>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</si>
  <si>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</si>
  <si>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</si>
  <si>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</si>
  <si>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</si>
  <si>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</si>
  <si>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</si>
  <si>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</si>
  <si>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</si>
  <si>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</si>
  <si>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</si>
  <si>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</si>
  <si>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</si>
  <si>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</si>
  <si>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</si>
  <si>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</si>
  <si>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</si>
  <si>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</si>
  <si>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</si>
  <si>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</si>
  <si>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</si>
  <si>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</si>
  <si>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</si>
  <si>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</si>
  <si>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</si>
  <si>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</si>
  <si>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</si>
  <si>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</si>
  <si>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</si>
  <si>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</si>
  <si>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</si>
  <si>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</si>
  <si>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</si>
  <si>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</si>
  <si>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</si>
  <si>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</si>
  <si>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</si>
  <si>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</si>
  <si>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</si>
  <si>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</si>
  <si>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</si>
  <si>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</si>
  <si>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</si>
  <si>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</si>
  <si>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</si>
  <si>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</si>
  <si>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</si>
  <si>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</si>
  <si>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</si>
  <si>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</si>
  <si>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</si>
  <si>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</si>
  <si>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</si>
  <si>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</si>
  <si>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</si>
  <si>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</si>
  <si>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</si>
  <si>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</si>
  <si>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</si>
  <si>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</si>
  <si>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</si>
  <si>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</si>
  <si>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</si>
  <si>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</si>
  <si>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</si>
  <si>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</si>
  <si>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</si>
  <si>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</si>
  <si>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</si>
  <si>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</si>
  <si>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</si>
  <si>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</si>
  <si>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</si>
  <si>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</si>
  <si>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</si>
  <si>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</si>
  <si>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</si>
  <si>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</si>
  <si>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</si>
  <si>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</si>
  <si>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</si>
  <si>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</si>
  <si>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</si>
  <si>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</si>
  <si>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</si>
  <si>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</si>
  <si>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</si>
  <si>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</si>
  <si>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</si>
  <si>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</si>
  <si>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</si>
  <si>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</si>
  <si>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</si>
  <si>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</si>
  <si>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</si>
  <si>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</si>
  <si>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</si>
  <si>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</si>
  <si>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</si>
  <si>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</si>
  <si>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</si>
  <si>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</si>
  <si>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</si>
  <si>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</si>
  <si>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</si>
  <si>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</si>
  <si>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</si>
  <si>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</si>
  <si>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</si>
  <si>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</si>
  <si>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</si>
  <si>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</si>
  <si>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</si>
  <si>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</si>
  <si>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</si>
  <si>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</si>
  <si>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</si>
  <si>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</si>
  <si>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</si>
  <si>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</si>
  <si>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</si>
  <si>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</si>
  <si>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</si>
  <si>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</si>
  <si>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</si>
  <si>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</si>
  <si>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</si>
  <si>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</si>
  <si>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</si>
  <si>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</si>
  <si>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</si>
  <si>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</si>
  <si>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</si>
  <si>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</si>
  <si>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</si>
  <si>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</si>
  <si>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</si>
  <si>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</si>
  <si>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</si>
  <si>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</si>
  <si>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</si>
  <si>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</si>
  <si>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</si>
  <si>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</si>
  <si>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</si>
  <si>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</si>
  <si>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</si>
  <si>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</si>
  <si>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</si>
  <si>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</si>
  <si>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</si>
  <si>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</si>
  <si>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</si>
  <si>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</si>
  <si>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</si>
  <si>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</si>
  <si>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</si>
  <si>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</si>
  <si>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</si>
  <si>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</si>
  <si>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</si>
  <si>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</si>
  <si>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</si>
  <si>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</si>
  <si>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</si>
  <si>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</si>
  <si>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</si>
  <si>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</si>
  <si>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</si>
  <si>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</si>
  <si>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</si>
  <si>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</si>
  <si>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</si>
  <si>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</si>
  <si>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</si>
  <si>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</si>
  <si>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</si>
  <si>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</si>
  <si>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</si>
  <si>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</si>
  <si>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</si>
  <si>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</si>
  <si>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</si>
  <si>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</si>
  <si>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</si>
  <si>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</si>
  <si>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</si>
  <si>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</si>
  <si>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</si>
  <si>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</si>
  <si>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</si>
  <si>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</si>
  <si>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</si>
  <si>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</si>
  <si>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</si>
  <si>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</si>
  <si>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</si>
  <si>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</si>
  <si>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</si>
  <si>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</si>
  <si>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</si>
  <si>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</si>
  <si>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</si>
  <si>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</si>
  <si>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</si>
  <si>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</si>
  <si>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</si>
  <si>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</si>
  <si>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</si>
  <si>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</si>
  <si>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</si>
  <si>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</si>
  <si>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</si>
  <si>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</si>
  <si>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</si>
  <si>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</si>
  <si>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</si>
  <si>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</si>
  <si>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</si>
  <si>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</si>
  <si>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</si>
  <si>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</si>
  <si>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</si>
  <si>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</si>
  <si>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</si>
  <si>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</si>
  <si>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</si>
  <si>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</si>
  <si>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</si>
  <si>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</si>
  <si>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</si>
  <si>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</si>
  <si>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</si>
  <si>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</si>
  <si>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</si>
  <si>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</si>
  <si>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</si>
  <si>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</si>
  <si>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</si>
  <si>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</si>
  <si>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</si>
  <si>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</si>
  <si>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</si>
  <si>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</si>
  <si>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</si>
  <si>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</si>
  <si>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</si>
  <si>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</si>
  <si>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</si>
  <si>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</si>
  <si>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</si>
  <si>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</si>
  <si>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</si>
  <si>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</si>
  <si>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</si>
  <si>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</si>
  <si>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</si>
  <si>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</si>
  <si>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</si>
  <si>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</si>
  <si>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</si>
  <si>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</si>
  <si>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</si>
  <si>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</si>
  <si>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</si>
  <si>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</si>
  <si>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</si>
  <si>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</si>
  <si>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</si>
  <si>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</si>
  <si>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</si>
  <si>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</si>
  <si>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</si>
  <si>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</si>
  <si>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</si>
  <si>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</si>
  <si>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</si>
  <si>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</si>
  <si>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</si>
  <si>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</si>
  <si>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</si>
  <si>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</si>
  <si>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</si>
  <si>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</si>
  <si>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</si>
  <si>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</si>
  <si>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</si>
  <si>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</si>
  <si>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</si>
  <si>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</si>
  <si>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</si>
  <si>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</si>
  <si>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</si>
  <si>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</si>
  <si>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</si>
  <si>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</si>
  <si>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</si>
  <si>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</si>
  <si>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</si>
  <si>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</si>
  <si>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</si>
  <si>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</si>
  <si>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</si>
  <si>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</si>
  <si>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</si>
  <si>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</si>
  <si>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</si>
  <si>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</si>
  <si>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</si>
  <si>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</si>
  <si>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</si>
  <si>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</si>
  <si>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</si>
  <si>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</si>
  <si>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</si>
  <si>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</si>
  <si>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</si>
  <si>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</si>
  <si>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</si>
  <si>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</si>
  <si>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</si>
  <si>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</si>
  <si>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</si>
  <si>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</si>
  <si>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</si>
  <si>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</si>
  <si>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</si>
  <si>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</si>
  <si>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</si>
  <si>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</si>
  <si>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</si>
  <si>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</si>
  <si>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</si>
  <si>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</si>
  <si>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</si>
  <si>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</si>
  <si>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</si>
  <si>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</si>
  <si>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</si>
  <si>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</si>
  <si>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</si>
  <si>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</si>
  <si>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</si>
  <si>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</si>
  <si>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</si>
  <si>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</si>
  <si>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</si>
  <si>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</si>
  <si>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</si>
  <si>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</si>
  <si>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</si>
  <si>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</si>
  <si>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</si>
  <si>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</si>
  <si>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</si>
  <si>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</si>
  <si>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</si>
  <si>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</si>
  <si>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Car ParK</t>
  </si>
  <si>
    <t>JOB TOTAL</t>
  </si>
  <si>
    <t>REFRESH ME</t>
  </si>
  <si>
    <t>SCROLL DOWN FOR SUMMARY OF WORKS</t>
  </si>
  <si>
    <t>VRF indoor unit with: Fire shutdown</t>
  </si>
  <si>
    <t xml:space="preserve">KEF &amp; KSF fan with: Fire Shutdown, </t>
  </si>
  <si>
    <t>Numb of Guys</t>
  </si>
  <si>
    <t>Aprox days with No. of Guys</t>
  </si>
  <si>
    <t>Days for 2 guy</t>
  </si>
  <si>
    <t>Travel Calcs</t>
  </si>
  <si>
    <t>Time to travel to/From</t>
  </si>
  <si>
    <t>screened 4mm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</si>
</sst>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8" formatCode="&quot;$&quot;#,##0.00;[Red]\-&quot;$&quot;#,##0.00"/>
    <numFmt numFmtId="42" formatCode="_-&quot;$&quot;* #,##0_-;\-&quot;$&quot;* #,##0_-;_-&quot;$&quot;*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s>
  <fonts count="42"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1"/>
      <color theme="0"/>
      <name val="Consolas"/>
      <family val="2"/>
    </font>
    <font>
      <b/>
      <sz val="15"/>
      <color theme="3"/>
      <name val="Consolas"/>
      <family val="2"/>
    </font>
  </fonts>
  <fills count="45">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
      <patternFill patternType="solid">
        <fgColor rgb="FFA5A5A5"/>
      </patternFill>
    </fill>
    <fill>
      <patternFill patternType="solid">
        <fgColor theme="9" tint="0.59999389629810485"/>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style="thin">
        <color rgb="FF7F7F7F"/>
      </left>
      <right style="medium">
        <color indexed="64"/>
      </right>
      <top style="thin">
        <color rgb="FF7F7F7F"/>
      </top>
      <bottom/>
      <diagonal/>
    </border>
  </borders>
  <cellStyleXfs count="20">
    <xf numFmtId="0" fontId="0" fillId="0" borderId="0"/>
    <xf numFmtId="42" fontId="26" fillId="0" borderId="0" applyFont="0" applyFill="0" applyBorder="0" applyAlignment="0" applyProtection="0"/>
    <xf numFmtId="0" fontId="27" fillId="25" borderId="21" applyNumberFormat="0" applyAlignment="0" applyProtection="0"/>
    <xf numFmtId="9" fontId="26" fillId="0" borderId="0" applyFont="0" applyFill="0" applyBorder="0" applyAlignment="0" applyProtection="0"/>
    <xf numFmtId="44" fontId="26" fillId="0" borderId="0" applyFont="0" applyFill="0" applyBorder="0" applyAlignment="0" applyProtection="0"/>
    <xf numFmtId="0" fontId="29" fillId="26" borderId="0" applyNumberFormat="0" applyBorder="0" applyAlignment="0" applyProtection="0"/>
    <xf numFmtId="0" fontId="30" fillId="27" borderId="21" applyNumberFormat="0" applyAlignment="0" applyProtection="0"/>
    <xf numFmtId="0" fontId="31" fillId="25" borderId="22" applyNumberFormat="0" applyAlignment="0" applyProtection="0"/>
    <xf numFmtId="43" fontId="26" fillId="0" borderId="0" applyFont="0" applyFill="0" applyBorder="0" applyAlignment="0" applyProtection="0"/>
    <xf numFmtId="0" fontId="34" fillId="32" borderId="0" applyNumberFormat="0" applyBorder="0" applyAlignment="0" applyProtection="0"/>
    <xf numFmtId="0" fontId="35" fillId="0" borderId="0" applyNumberFormat="0" applyFill="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26" fillId="38" borderId="44" applyNumberFormat="0" applyFont="0" applyAlignment="0" applyProtection="0"/>
    <xf numFmtId="0" fontId="2" fillId="39" borderId="0" applyNumberFormat="0" applyBorder="0" applyAlignment="0" applyProtection="0"/>
    <xf numFmtId="0" fontId="38" fillId="40" borderId="0" applyNumberFormat="0" applyBorder="0" applyAlignment="0" applyProtection="0"/>
    <xf numFmtId="0" fontId="1" fillId="41" borderId="0" applyNumberFormat="0" applyBorder="0" applyAlignment="0" applyProtection="0"/>
    <xf numFmtId="0" fontId="40" fillId="43" borderId="57" applyNumberFormat="0" applyAlignment="0" applyProtection="0"/>
    <xf numFmtId="0" fontId="41" fillId="0" borderId="58" applyNumberFormat="0" applyFill="0" applyAlignment="0" applyProtection="0"/>
  </cellStyleXfs>
  <cellXfs count="532">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9" fillId="4" borderId="2" xfId="0" applyFont="1" applyFill="1" applyBorder="1" applyAlignment="1">
      <alignment vertical="center" wrapText="1"/>
    </xf>
    <xf numFmtId="0" fontId="10" fillId="4" borderId="2" xfId="0" applyFont="1" applyFill="1" applyBorder="1" applyAlignment="1">
      <alignment vertical="center" wrapText="1"/>
    </xf>
    <xf numFmtId="0" fontId="9" fillId="4" borderId="3" xfId="0" applyFont="1" applyFill="1" applyBorder="1" applyAlignment="1">
      <alignment vertical="center" wrapText="1"/>
    </xf>
    <xf numFmtId="0" fontId="10" fillId="4" borderId="3" xfId="0" applyFont="1" applyFill="1" applyBorder="1" applyAlignment="1">
      <alignment vertical="center" wrapText="1"/>
    </xf>
    <xf numFmtId="0" fontId="0" fillId="5" borderId="0" xfId="0" applyFill="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7" fillId="6" borderId="1" xfId="0" applyFont="1" applyFill="1" applyBorder="1" applyAlignment="1">
      <alignment wrapText="1"/>
    </xf>
    <xf numFmtId="0" fontId="0" fillId="11" borderId="1" xfId="0" applyFill="1" applyBorder="1"/>
    <xf numFmtId="0" fontId="11" fillId="7" borderId="0" xfId="0" applyFont="1" applyFill="1" applyAlignment="1">
      <alignment wrapText="1"/>
    </xf>
    <xf numFmtId="0" fontId="11" fillId="7" borderId="0" xfId="0" applyFont="1" applyFill="1" applyAlignment="1">
      <alignment vertical="top" wrapText="1"/>
    </xf>
    <xf numFmtId="44" fontId="0" fillId="8" borderId="0" xfId="0" applyNumberFormat="1" applyFill="1" applyBorder="1"/>
    <xf numFmtId="0" fontId="0" fillId="0" borderId="0" xfId="0"/>
    <xf numFmtId="0" fontId="5" fillId="0" borderId="0" xfId="0" applyFont="1"/>
    <xf numFmtId="0" fontId="8" fillId="0" borderId="0" xfId="0" applyFont="1"/>
    <xf numFmtId="0" fontId="6" fillId="0" borderId="0" xfId="0" applyFont="1"/>
    <xf numFmtId="164" fontId="0" fillId="0" borderId="0" xfId="0" applyNumberFormat="1"/>
    <xf numFmtId="0" fontId="8" fillId="0" borderId="1" xfId="0" applyFont="1" applyBorder="1"/>
    <xf numFmtId="0" fontId="0" fillId="0" borderId="1" xfId="0" applyBorder="1"/>
    <xf numFmtId="0" fontId="0" fillId="9" borderId="0" xfId="0" applyFill="1"/>
    <xf numFmtId="0" fontId="5" fillId="9" borderId="0" xfId="0" applyFont="1" applyFill="1"/>
    <xf numFmtId="164" fontId="5"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2" fillId="9" borderId="0" xfId="0" applyFont="1" applyFill="1"/>
    <xf numFmtId="0" fontId="13" fillId="9" borderId="0" xfId="0" applyFont="1" applyFill="1"/>
    <xf numFmtId="164" fontId="13"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8"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4"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0" fillId="19" borderId="0" xfId="0" applyFill="1" applyBorder="1"/>
    <xf numFmtId="0" fontId="15" fillId="19" borderId="0" xfId="0" applyFont="1" applyFill="1" applyBorder="1"/>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8"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8"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7"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8"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4"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8" fillId="21" borderId="1" xfId="0" applyFont="1" applyFill="1" applyBorder="1" applyAlignment="1">
      <alignment wrapText="1"/>
    </xf>
    <xf numFmtId="164" fontId="14" fillId="0" borderId="6" xfId="0" applyNumberFormat="1" applyFont="1" applyBorder="1"/>
    <xf numFmtId="44" fontId="0" fillId="13" borderId="4" xfId="0" applyNumberFormat="1" applyFill="1" applyBorder="1"/>
    <xf numFmtId="0" fontId="8"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8" fillId="19" borderId="14" xfId="0" applyNumberFormat="1" applyFont="1" applyFill="1" applyBorder="1"/>
    <xf numFmtId="44" fontId="18"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19" fillId="17" borderId="0" xfId="0" applyFont="1" applyFill="1"/>
    <xf numFmtId="0" fontId="20" fillId="13" borderId="0" xfId="0" applyFont="1" applyFill="1"/>
    <xf numFmtId="44" fontId="20" fillId="13" borderId="11" xfId="0" applyNumberFormat="1" applyFont="1" applyFill="1" applyBorder="1"/>
    <xf numFmtId="44" fontId="20" fillId="13" borderId="13" xfId="0" applyNumberFormat="1" applyFont="1" applyFill="1" applyBorder="1"/>
    <xf numFmtId="0" fontId="20" fillId="13" borderId="9" xfId="0" applyFont="1" applyFill="1" applyBorder="1"/>
    <xf numFmtId="0" fontId="20" fillId="13" borderId="15" xfId="0" applyFont="1" applyFill="1" applyBorder="1"/>
    <xf numFmtId="0" fontId="20" fillId="13" borderId="11" xfId="0" applyFont="1" applyFill="1" applyBorder="1"/>
    <xf numFmtId="0" fontId="20" fillId="13" borderId="1" xfId="0" applyFont="1" applyFill="1" applyBorder="1"/>
    <xf numFmtId="0" fontId="19" fillId="0" borderId="0" xfId="0" applyFont="1"/>
    <xf numFmtId="0" fontId="21" fillId="0" borderId="1" xfId="0" applyFont="1" applyBorder="1"/>
    <xf numFmtId="164" fontId="21" fillId="0" borderId="1" xfId="0" applyNumberFormat="1" applyFont="1" applyBorder="1"/>
    <xf numFmtId="0" fontId="21" fillId="3" borderId="0" xfId="0" applyFont="1" applyFill="1" applyAlignment="1">
      <alignment wrapText="1"/>
    </xf>
    <xf numFmtId="0" fontId="19" fillId="8" borderId="0" xfId="0" applyFont="1" applyFill="1"/>
    <xf numFmtId="0" fontId="19" fillId="0" borderId="0" xfId="0" applyFont="1" applyAlignment="1">
      <alignment wrapText="1"/>
    </xf>
    <xf numFmtId="0" fontId="19" fillId="21" borderId="0" xfId="0" applyFont="1" applyFill="1"/>
    <xf numFmtId="0" fontId="19" fillId="12" borderId="0" xfId="0" applyFont="1" applyFill="1"/>
    <xf numFmtId="0" fontId="19" fillId="2" borderId="0" xfId="0" applyFont="1" applyFill="1"/>
    <xf numFmtId="0" fontId="19" fillId="0" borderId="1" xfId="0" applyFont="1" applyBorder="1" applyAlignment="1">
      <alignment wrapText="1"/>
    </xf>
    <xf numFmtId="0" fontId="21" fillId="3" borderId="1" xfId="0" applyFont="1" applyFill="1" applyBorder="1" applyAlignment="1">
      <alignment wrapText="1"/>
    </xf>
    <xf numFmtId="0" fontId="19" fillId="0" borderId="1" xfId="0" applyFont="1" applyBorder="1"/>
    <xf numFmtId="0" fontId="19" fillId="8" borderId="1" xfId="0" applyFont="1" applyFill="1" applyBorder="1"/>
    <xf numFmtId="0" fontId="22" fillId="0" borderId="1" xfId="0" applyFont="1" applyBorder="1"/>
    <xf numFmtId="0" fontId="16" fillId="3" borderId="1" xfId="0" applyFont="1" applyFill="1" applyBorder="1" applyAlignment="1">
      <alignment wrapText="1"/>
    </xf>
    <xf numFmtId="0" fontId="22" fillId="8" borderId="1" xfId="0" applyFont="1" applyFill="1" applyBorder="1"/>
    <xf numFmtId="0" fontId="22" fillId="0" borderId="0" xfId="0" applyFont="1"/>
    <xf numFmtId="0" fontId="16" fillId="0" borderId="1" xfId="0" applyFont="1" applyBorder="1"/>
    <xf numFmtId="10" fontId="16" fillId="0" borderId="1" xfId="0" applyNumberFormat="1" applyFont="1" applyBorder="1"/>
    <xf numFmtId="0" fontId="16" fillId="3" borderId="0" xfId="0" applyFont="1" applyFill="1" applyAlignment="1">
      <alignment wrapText="1"/>
    </xf>
    <xf numFmtId="0" fontId="22" fillId="8" borderId="0" xfId="0" applyFont="1" applyFill="1"/>
    <xf numFmtId="164" fontId="14" fillId="0" borderId="0" xfId="0" applyNumberFormat="1" applyFont="1"/>
    <xf numFmtId="44" fontId="21"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19" fillId="13" borderId="1" xfId="0" applyFont="1" applyFill="1" applyBorder="1"/>
    <xf numFmtId="0" fontId="19" fillId="13" borderId="1" xfId="0" applyFont="1" applyFill="1" applyBorder="1" applyAlignment="1">
      <alignment wrapText="1"/>
    </xf>
    <xf numFmtId="44" fontId="19" fillId="13" borderId="1" xfId="0" applyNumberFormat="1" applyFont="1" applyFill="1" applyBorder="1"/>
    <xf numFmtId="164" fontId="14" fillId="13" borderId="1" xfId="0" applyNumberFormat="1" applyFont="1" applyFill="1" applyBorder="1"/>
    <xf numFmtId="0" fontId="19" fillId="0" borderId="8" xfId="0" applyFont="1" applyBorder="1" applyAlignment="1">
      <alignment wrapText="1"/>
    </xf>
    <xf numFmtId="0" fontId="0" fillId="0" borderId="5" xfId="0" applyBorder="1"/>
    <xf numFmtId="0" fontId="16" fillId="3" borderId="5" xfId="0" applyFont="1" applyFill="1" applyBorder="1" applyAlignment="1">
      <alignment wrapText="1"/>
    </xf>
    <xf numFmtId="0" fontId="19" fillId="7" borderId="1" xfId="0" applyFont="1" applyFill="1" applyBorder="1" applyAlignment="1">
      <alignment wrapText="1"/>
    </xf>
    <xf numFmtId="0" fontId="22" fillId="0" borderId="17" xfId="0" applyFont="1" applyBorder="1"/>
    <xf numFmtId="0" fontId="22" fillId="0" borderId="6" xfId="0" applyFont="1" applyBorder="1"/>
    <xf numFmtId="0" fontId="22" fillId="17" borderId="7" xfId="0" applyFont="1" applyFill="1" applyBorder="1"/>
    <xf numFmtId="0" fontId="19" fillId="0" borderId="6" xfId="0" applyFont="1" applyBorder="1" applyAlignment="1">
      <alignment wrapText="1"/>
    </xf>
    <xf numFmtId="44" fontId="22" fillId="13" borderId="17" xfId="0" applyNumberFormat="1" applyFont="1" applyFill="1" applyBorder="1"/>
    <xf numFmtId="44" fontId="0" fillId="19" borderId="6" xfId="0" applyNumberFormat="1" applyFill="1" applyBorder="1"/>
    <xf numFmtId="44" fontId="22" fillId="13" borderId="18" xfId="0" applyNumberFormat="1" applyFont="1" applyFill="1" applyBorder="1"/>
    <xf numFmtId="44" fontId="22" fillId="13" borderId="19" xfId="0" applyNumberFormat="1" applyFont="1" applyFill="1" applyBorder="1"/>
    <xf numFmtId="44" fontId="0" fillId="21" borderId="6" xfId="0" applyNumberFormat="1" applyFill="1" applyBorder="1"/>
    <xf numFmtId="44" fontId="22" fillId="13" borderId="20" xfId="0" applyNumberFormat="1" applyFont="1" applyFill="1" applyBorder="1"/>
    <xf numFmtId="0" fontId="0" fillId="0" borderId="5" xfId="0" applyBorder="1" applyAlignment="1">
      <alignment wrapText="1"/>
    </xf>
    <xf numFmtId="0" fontId="8" fillId="3" borderId="5" xfId="0" applyFont="1" applyFill="1" applyBorder="1" applyAlignment="1">
      <alignment wrapText="1"/>
    </xf>
    <xf numFmtId="0" fontId="19" fillId="17" borderId="1" xfId="0" applyFont="1" applyFill="1" applyBorder="1"/>
    <xf numFmtId="0" fontId="0" fillId="17" borderId="1" xfId="0" applyFill="1" applyBorder="1"/>
    <xf numFmtId="164" fontId="5" fillId="0" borderId="1" xfId="0" applyNumberFormat="1" applyFont="1" applyBorder="1"/>
    <xf numFmtId="0" fontId="0" fillId="13" borderId="1" xfId="0" applyFill="1" applyBorder="1"/>
    <xf numFmtId="0" fontId="19" fillId="0" borderId="1" xfId="0" applyFont="1" applyBorder="1" applyAlignment="1">
      <alignment horizontal="center" vertical="center"/>
    </xf>
    <xf numFmtId="0" fontId="19" fillId="17" borderId="1" xfId="0" applyFont="1" applyFill="1" applyBorder="1" applyAlignment="1">
      <alignment horizontal="center" vertical="center"/>
    </xf>
    <xf numFmtId="0" fontId="19" fillId="0" borderId="1" xfId="0" applyFont="1" applyBorder="1" applyAlignment="1">
      <alignment horizontal="center" vertical="center" wrapText="1"/>
    </xf>
    <xf numFmtId="0" fontId="17" fillId="22" borderId="1" xfId="0" applyFont="1" applyFill="1" applyBorder="1" applyAlignment="1">
      <alignment horizontal="center" wrapText="1"/>
    </xf>
    <xf numFmtId="0" fontId="24" fillId="0" borderId="1" xfId="0" applyFont="1" applyBorder="1" applyAlignment="1">
      <alignment horizontal="center" vertical="center"/>
    </xf>
    <xf numFmtId="0" fontId="24" fillId="0" borderId="0" xfId="0" applyFont="1" applyAlignment="1">
      <alignment horizontal="center" vertical="center"/>
    </xf>
    <xf numFmtId="0" fontId="24" fillId="8" borderId="0" xfId="0" applyFont="1" applyFill="1" applyAlignment="1">
      <alignment horizontal="center" vertical="center"/>
    </xf>
    <xf numFmtId="0" fontId="0" fillId="24" borderId="0" xfId="0" applyFill="1"/>
    <xf numFmtId="0" fontId="19" fillId="24" borderId="0" xfId="0" applyFont="1" applyFill="1"/>
    <xf numFmtId="0" fontId="8" fillId="24" borderId="0" xfId="0" applyFont="1" applyFill="1" applyAlignment="1">
      <alignment wrapText="1"/>
    </xf>
    <xf numFmtId="0" fontId="11" fillId="24" borderId="0" xfId="0" applyFont="1" applyFill="1"/>
    <xf numFmtId="0" fontId="17" fillId="22" borderId="1" xfId="0" applyFont="1" applyFill="1" applyBorder="1" applyAlignment="1">
      <alignment horizontal="center" vertical="center" wrapText="1"/>
    </xf>
    <xf numFmtId="0" fontId="17" fillId="13" borderId="1" xfId="0" applyFont="1" applyFill="1" applyBorder="1" applyAlignment="1">
      <alignment horizontal="center" vertical="center"/>
    </xf>
    <xf numFmtId="0" fontId="17" fillId="24" borderId="0" xfId="0" applyFont="1" applyFill="1" applyAlignment="1">
      <alignment horizontal="center" vertical="center"/>
    </xf>
    <xf numFmtId="0" fontId="17" fillId="22" borderId="1" xfId="0" quotePrefix="1" applyFont="1" applyFill="1" applyBorder="1" applyAlignment="1">
      <alignment horizontal="center" vertical="center" wrapText="1"/>
    </xf>
    <xf numFmtId="0" fontId="17" fillId="13" borderId="1" xfId="0" quotePrefix="1" applyFont="1" applyFill="1" applyBorder="1" applyAlignment="1">
      <alignment horizontal="center" vertical="center"/>
    </xf>
    <xf numFmtId="0" fontId="17" fillId="17" borderId="1" xfId="0" quotePrefix="1" applyFont="1" applyFill="1" applyBorder="1" applyAlignment="1">
      <alignment horizontal="center" vertical="center"/>
    </xf>
    <xf numFmtId="22" fontId="25"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7" fillId="22" borderId="1" xfId="1" applyFont="1" applyFill="1" applyBorder="1" applyAlignment="1">
      <alignment horizontal="center" wrapText="1"/>
    </xf>
    <xf numFmtId="42" fontId="8" fillId="3" borderId="0" xfId="1" applyFont="1" applyFill="1" applyAlignment="1">
      <alignment wrapText="1"/>
    </xf>
    <xf numFmtId="42" fontId="0" fillId="8" borderId="0" xfId="1" applyFont="1" applyFill="1"/>
    <xf numFmtId="42" fontId="19" fillId="13" borderId="1" xfId="1" applyFont="1" applyFill="1" applyBorder="1"/>
    <xf numFmtId="0" fontId="0" fillId="0" borderId="0" xfId="0" applyAlignment="1">
      <alignment wrapText="1"/>
    </xf>
    <xf numFmtId="0" fontId="0" fillId="8" borderId="0" xfId="0" applyFill="1" applyAlignment="1">
      <alignment wrapText="1"/>
    </xf>
    <xf numFmtId="44" fontId="19" fillId="13" borderId="1" xfId="0" applyNumberFormat="1" applyFont="1" applyFill="1" applyBorder="1" applyAlignment="1">
      <alignment wrapText="1"/>
    </xf>
    <xf numFmtId="0" fontId="16" fillId="3" borderId="1" xfId="0" applyFont="1" applyFill="1" applyBorder="1" applyAlignment="1">
      <alignment horizontal="center" vertical="center" wrapText="1"/>
    </xf>
    <xf numFmtId="0" fontId="27" fillId="25" borderId="21" xfId="2"/>
    <xf numFmtId="10" fontId="27" fillId="25" borderId="21" xfId="2" applyNumberFormat="1"/>
    <xf numFmtId="0" fontId="27" fillId="25" borderId="21" xfId="2" applyAlignment="1">
      <alignment wrapText="1"/>
    </xf>
    <xf numFmtId="0" fontId="27" fillId="25" borderId="21" xfId="2" applyAlignment="1">
      <alignment horizontal="center" wrapText="1"/>
    </xf>
    <xf numFmtId="44" fontId="27" fillId="25" borderId="21" xfId="2" applyNumberFormat="1"/>
    <xf numFmtId="42" fontId="27" fillId="25" borderId="21" xfId="2" applyNumberFormat="1"/>
    <xf numFmtId="42" fontId="0" fillId="0" borderId="0" xfId="0" applyNumberFormat="1"/>
    <xf numFmtId="0" fontId="17" fillId="3" borderId="1" xfId="0" applyFont="1" applyFill="1" applyBorder="1" applyAlignment="1">
      <alignment horizontal="center" vertical="center" wrapText="1"/>
    </xf>
    <xf numFmtId="0" fontId="17"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5"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29" fillId="26" borderId="21" xfId="5" applyBorder="1"/>
    <xf numFmtId="0" fontId="27" fillId="25" borderId="21" xfId="2" applyAlignment="1">
      <alignment horizontal="right"/>
    </xf>
    <xf numFmtId="0" fontId="27" fillId="25" borderId="21" xfId="2" applyAlignment="1">
      <alignment horizontal="center"/>
    </xf>
    <xf numFmtId="0" fontId="32" fillId="25" borderId="22" xfId="7" applyFont="1"/>
    <xf numFmtId="0" fontId="30" fillId="27" borderId="21" xfId="6"/>
    <xf numFmtId="44" fontId="31" fillId="25" borderId="22" xfId="4" applyFont="1" applyFill="1" applyBorder="1"/>
    <xf numFmtId="0" fontId="31" fillId="25" borderId="22" xfId="7" applyAlignment="1">
      <alignment horizontal="right"/>
    </xf>
    <xf numFmtId="0" fontId="32"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3"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5" fillId="0" borderId="28" xfId="0" applyFont="1" applyBorder="1"/>
    <xf numFmtId="0" fontId="5" fillId="0" borderId="18" xfId="0" applyFont="1" applyBorder="1"/>
    <xf numFmtId="0" fontId="5" fillId="0" borderId="29" xfId="0" applyFont="1" applyBorder="1"/>
    <xf numFmtId="0" fontId="0" fillId="36" borderId="0" xfId="0" applyFont="1" applyFill="1"/>
    <xf numFmtId="0" fontId="0" fillId="0" borderId="0" xfId="0" applyFont="1"/>
    <xf numFmtId="0" fontId="35" fillId="0" borderId="0" xfId="10"/>
    <xf numFmtId="0" fontId="35" fillId="0" borderId="0" xfId="10" applyFill="1" applyBorder="1"/>
    <xf numFmtId="0" fontId="34" fillId="32" borderId="0" xfId="9"/>
    <xf numFmtId="0" fontId="0" fillId="37" borderId="0" xfId="0" applyFont="1" applyFill="1"/>
    <xf numFmtId="43" fontId="0" fillId="0" borderId="0" xfId="8" applyFont="1"/>
    <xf numFmtId="0" fontId="3" fillId="33" borderId="0" xfId="11" applyAlignment="1">
      <alignment horizontal="right"/>
    </xf>
    <xf numFmtId="44" fontId="3" fillId="33" borderId="0" xfId="11" applyNumberFormat="1"/>
    <xf numFmtId="0" fontId="3" fillId="33" borderId="0" xfId="11"/>
    <xf numFmtId="170" fontId="3" fillId="33" borderId="0" xfId="11" applyNumberFormat="1"/>
    <xf numFmtId="44" fontId="3" fillId="34" borderId="0" xfId="12" applyNumberFormat="1"/>
    <xf numFmtId="0" fontId="3" fillId="35" borderId="0" xfId="13"/>
    <xf numFmtId="0" fontId="32" fillId="25" borderId="30" xfId="7" applyFont="1" applyBorder="1" applyAlignment="1">
      <alignment horizontal="right"/>
    </xf>
    <xf numFmtId="170" fontId="27" fillId="25" borderId="21" xfId="2" applyNumberFormat="1"/>
    <xf numFmtId="0" fontId="32" fillId="25" borderId="31" xfId="7" applyFont="1" applyBorder="1" applyAlignment="1">
      <alignment horizontal="right"/>
    </xf>
    <xf numFmtId="0" fontId="34" fillId="32" borderId="32" xfId="9" applyBorder="1" applyAlignment="1">
      <alignment horizontal="center" vertical="center"/>
    </xf>
    <xf numFmtId="0" fontId="34" fillId="32" borderId="33" xfId="9" applyBorder="1" applyAlignment="1">
      <alignment horizontal="center" vertical="center"/>
    </xf>
    <xf numFmtId="0" fontId="34" fillId="32" borderId="34" xfId="9" applyBorder="1" applyAlignment="1">
      <alignment horizontal="center" vertical="center"/>
    </xf>
    <xf numFmtId="43" fontId="31" fillId="25" borderId="22" xfId="8" applyFont="1" applyFill="1" applyBorder="1"/>
    <xf numFmtId="43" fontId="3" fillId="34" borderId="0" xfId="8" applyFont="1" applyFill="1"/>
    <xf numFmtId="44" fontId="31" fillId="25" borderId="22" xfId="7" applyNumberFormat="1" applyAlignment="1">
      <alignment horizontal="right"/>
    </xf>
    <xf numFmtId="42" fontId="32" fillId="25" borderId="22" xfId="7" applyNumberFormat="1" applyFont="1" applyAlignment="1">
      <alignment horizontal="right"/>
    </xf>
    <xf numFmtId="43" fontId="32" fillId="25" borderId="22" xfId="8" applyFont="1" applyFill="1" applyBorder="1" applyAlignment="1">
      <alignment horizontal="right"/>
    </xf>
    <xf numFmtId="0" fontId="32" fillId="25" borderId="30" xfId="7" applyFont="1" applyBorder="1" applyAlignment="1">
      <alignment horizontal="center" vertical="center"/>
    </xf>
    <xf numFmtId="43" fontId="32" fillId="25" borderId="22" xfId="7" applyNumberFormat="1" applyFont="1" applyAlignment="1">
      <alignment horizontal="center" vertical="center"/>
    </xf>
    <xf numFmtId="44" fontId="32" fillId="25" borderId="30" xfId="7" applyNumberFormat="1" applyFont="1" applyBorder="1" applyAlignment="1">
      <alignment horizontal="center" vertical="center"/>
    </xf>
    <xf numFmtId="0" fontId="0" fillId="6" borderId="0" xfId="0" applyFill="1"/>
    <xf numFmtId="0" fontId="27" fillId="25" borderId="35" xfId="2" applyBorder="1"/>
    <xf numFmtId="0" fontId="0" fillId="0" borderId="23" xfId="0" applyBorder="1"/>
    <xf numFmtId="0" fontId="0" fillId="0" borderId="25" xfId="0" applyBorder="1"/>
    <xf numFmtId="0" fontId="27" fillId="25" borderId="36" xfId="2" applyBorder="1"/>
    <xf numFmtId="0" fontId="27"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3" fillId="33" borderId="24" xfId="11" applyBorder="1"/>
    <xf numFmtId="0" fontId="3" fillId="33" borderId="27" xfId="11" applyBorder="1"/>
    <xf numFmtId="0" fontId="3" fillId="35" borderId="24" xfId="13" applyBorder="1"/>
    <xf numFmtId="0" fontId="3" fillId="35" borderId="27" xfId="13" applyBorder="1"/>
    <xf numFmtId="0" fontId="3" fillId="34" borderId="24" xfId="12" applyBorder="1"/>
    <xf numFmtId="0" fontId="3" fillId="34" borderId="27" xfId="12" applyBorder="1"/>
    <xf numFmtId="0" fontId="27" fillId="25" borderId="38" xfId="2" applyBorder="1"/>
    <xf numFmtId="164" fontId="27"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3" fillId="33" borderId="42" xfId="11" applyBorder="1"/>
    <xf numFmtId="0" fontId="3" fillId="34" borderId="42" xfId="12" applyBorder="1"/>
    <xf numFmtId="0" fontId="3" fillId="35" borderId="42" xfId="13" applyBorder="1"/>
    <xf numFmtId="164" fontId="0" fillId="0" borderId="42" xfId="0" applyNumberFormat="1" applyBorder="1"/>
    <xf numFmtId="164" fontId="0" fillId="0" borderId="27" xfId="0" applyNumberFormat="1" applyBorder="1"/>
    <xf numFmtId="0" fontId="27" fillId="25" borderId="43" xfId="2" applyBorder="1"/>
    <xf numFmtId="42" fontId="27"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7"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7"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8"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3" fillId="33" borderId="40" xfId="3" applyFont="1" applyFill="1" applyBorder="1"/>
    <xf numFmtId="9" fontId="3" fillId="33" borderId="23" xfId="3" applyFont="1" applyFill="1" applyBorder="1"/>
    <xf numFmtId="9" fontId="3" fillId="33" borderId="25" xfId="3" applyFont="1" applyFill="1" applyBorder="1"/>
    <xf numFmtId="9" fontId="3" fillId="34" borderId="40" xfId="3" applyFont="1" applyFill="1" applyBorder="1"/>
    <xf numFmtId="9" fontId="3" fillId="34" borderId="23" xfId="3" applyFont="1" applyFill="1" applyBorder="1"/>
    <xf numFmtId="9" fontId="3" fillId="34" borderId="25" xfId="3" applyFont="1" applyFill="1" applyBorder="1"/>
    <xf numFmtId="9" fontId="3" fillId="35" borderId="40" xfId="3" applyFont="1" applyFill="1" applyBorder="1"/>
    <xf numFmtId="9" fontId="3" fillId="35" borderId="23" xfId="3" applyFont="1" applyFill="1" applyBorder="1"/>
    <xf numFmtId="9" fontId="3" fillId="35" borderId="25" xfId="3" applyFont="1" applyFill="1" applyBorder="1"/>
    <xf numFmtId="44" fontId="16" fillId="3" borderId="1" xfId="4" applyFont="1" applyFill="1" applyBorder="1" applyAlignment="1">
      <alignment horizontal="center" vertical="center" wrapText="1"/>
    </xf>
    <xf numFmtId="44" fontId="8" fillId="7" borderId="0" xfId="0" applyNumberFormat="1" applyFont="1" applyFill="1" applyAlignment="1">
      <alignment wrapText="1"/>
    </xf>
    <xf numFmtId="0" fontId="0" fillId="0" borderId="0" xfId="0" applyAlignment="1"/>
    <xf numFmtId="0" fontId="5" fillId="0" borderId="0" xfId="0" applyFont="1" applyAlignment="1">
      <alignment horizontal="center" vertical="top"/>
    </xf>
    <xf numFmtId="44" fontId="5" fillId="0" borderId="0" xfId="4" applyFont="1" applyAlignment="1">
      <alignment horizontal="center" vertical="top"/>
    </xf>
    <xf numFmtId="0" fontId="5" fillId="0" borderId="0" xfId="0" applyFont="1" applyAlignment="1">
      <alignment horizontal="center" vertical="top" wrapText="1"/>
    </xf>
    <xf numFmtId="0" fontId="27" fillId="25" borderId="21" xfId="2" applyAlignment="1">
      <alignment horizontal="center" vertical="center" wrapText="1"/>
    </xf>
    <xf numFmtId="0" fontId="27" fillId="25" borderId="21" xfId="2" applyAlignment="1">
      <alignment horizontal="center" vertical="center"/>
    </xf>
    <xf numFmtId="0" fontId="5"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6" fillId="0" borderId="0" xfId="0" applyFont="1" applyAlignment="1">
      <alignment horizontal="center" vertical="top"/>
    </xf>
    <xf numFmtId="44" fontId="36" fillId="0" borderId="0" xfId="4" applyFont="1" applyAlignment="1">
      <alignment horizontal="center" vertical="top"/>
    </xf>
    <xf numFmtId="0" fontId="36" fillId="0" borderId="0" xfId="0" applyFont="1" applyAlignment="1">
      <alignment horizontal="center" vertical="top" wrapText="1"/>
    </xf>
    <xf numFmtId="0" fontId="5" fillId="0" borderId="32" xfId="0" applyFont="1" applyBorder="1" applyAlignment="1">
      <alignment horizontal="center" vertical="center"/>
    </xf>
    <xf numFmtId="0" fontId="37" fillId="0" borderId="0" xfId="0" applyFont="1" applyAlignment="1">
      <alignment horizontal="center"/>
    </xf>
    <xf numFmtId="0" fontId="37" fillId="0" borderId="0" xfId="0" applyFont="1"/>
    <xf numFmtId="44" fontId="37" fillId="0" borderId="0" xfId="4" applyFont="1"/>
    <xf numFmtId="0" fontId="37" fillId="0" borderId="33" xfId="0" applyFont="1" applyBorder="1"/>
    <xf numFmtId="0" fontId="36" fillId="0" borderId="0" xfId="0" applyFont="1" applyAlignment="1">
      <alignment horizontal="center" vertical="center"/>
    </xf>
    <xf numFmtId="0" fontId="36" fillId="0" borderId="40" xfId="0" applyFont="1" applyBorder="1" applyAlignment="1">
      <alignment horizontal="center" vertical="top" wrapText="1"/>
    </xf>
    <xf numFmtId="0" fontId="36" fillId="0" borderId="42" xfId="0" applyFont="1" applyBorder="1" applyAlignment="1">
      <alignment horizontal="center" vertical="top" wrapText="1"/>
    </xf>
    <xf numFmtId="0" fontId="36" fillId="0" borderId="40" xfId="0" applyFont="1" applyBorder="1" applyAlignment="1">
      <alignment horizontal="center" vertical="top"/>
    </xf>
    <xf numFmtId="0" fontId="36" fillId="0" borderId="42" xfId="0" applyFont="1" applyBorder="1" applyAlignment="1">
      <alignment horizontal="center" vertical="top"/>
    </xf>
    <xf numFmtId="0" fontId="36" fillId="0" borderId="32" xfId="0" applyFont="1" applyBorder="1" applyAlignment="1">
      <alignment horizontal="center" vertical="top" wrapText="1"/>
    </xf>
    <xf numFmtId="0" fontId="36" fillId="0" borderId="41" xfId="0" applyFont="1" applyBorder="1" applyAlignment="1">
      <alignment horizontal="center" vertical="top" wrapText="1"/>
    </xf>
    <xf numFmtId="0" fontId="37" fillId="0" borderId="23" xfId="0" applyFont="1" applyBorder="1"/>
    <xf numFmtId="0" fontId="37" fillId="0" borderId="24" xfId="0" applyFont="1" applyBorder="1"/>
    <xf numFmtId="0" fontId="0" fillId="0" borderId="0" xfId="0" applyFont="1" applyBorder="1"/>
    <xf numFmtId="0" fontId="0" fillId="0" borderId="0" xfId="0" applyFont="1" applyFill="1" applyBorder="1"/>
    <xf numFmtId="44" fontId="5" fillId="0" borderId="0" xfId="4" applyFont="1"/>
    <xf numFmtId="0" fontId="2" fillId="39" borderId="0" xfId="15"/>
    <xf numFmtId="43" fontId="0" fillId="0" borderId="0" xfId="0" applyNumberFormat="1"/>
    <xf numFmtId="170" fontId="27" fillId="25" borderId="38" xfId="2" applyNumberFormat="1" applyBorder="1"/>
    <xf numFmtId="0" fontId="0" fillId="0" borderId="0" xfId="0" applyFill="1" applyBorder="1"/>
    <xf numFmtId="0" fontId="27" fillId="25" borderId="40" xfId="2" applyBorder="1"/>
    <xf numFmtId="44" fontId="0" fillId="0" borderId="40" xfId="0" applyNumberFormat="1" applyBorder="1"/>
    <xf numFmtId="44" fontId="0" fillId="0" borderId="23" xfId="0" applyNumberFormat="1" applyBorder="1"/>
    <xf numFmtId="0" fontId="27" fillId="25" borderId="37" xfId="2" applyBorder="1" applyAlignment="1">
      <alignment horizontal="right"/>
    </xf>
    <xf numFmtId="0" fontId="0" fillId="0" borderId="33" xfId="0" applyFill="1" applyBorder="1"/>
    <xf numFmtId="0" fontId="1" fillId="41" borderId="0" xfId="17" applyAlignment="1">
      <alignment horizontal="center"/>
    </xf>
    <xf numFmtId="0" fontId="1" fillId="35" borderId="0" xfId="13" applyFont="1"/>
    <xf numFmtId="0" fontId="0" fillId="0" borderId="28" xfId="0" applyBorder="1"/>
    <xf numFmtId="42" fontId="0" fillId="0" borderId="29" xfId="0" applyNumberFormat="1" applyBorder="1"/>
    <xf numFmtId="172" fontId="27" fillId="25" borderId="39" xfId="2" applyNumberFormat="1" applyBorder="1"/>
    <xf numFmtId="0" fontId="38" fillId="40" borderId="53" xfId="16" applyBorder="1" applyAlignment="1">
      <alignment horizontal="center" vertical="center"/>
    </xf>
    <xf numFmtId="173" fontId="0" fillId="0" borderId="0" xfId="8" applyNumberFormat="1" applyFont="1"/>
    <xf numFmtId="0" fontId="27" fillId="25" borderId="56" xfId="2" applyBorder="1"/>
    <xf numFmtId="0" fontId="39" fillId="0" borderId="29" xfId="0" applyFont="1" applyBorder="1"/>
    <xf numFmtId="9" fontId="39" fillId="0" borderId="34" xfId="3" applyFont="1" applyBorder="1" applyAlignment="1">
      <alignment horizontal="center" vertical="center"/>
    </xf>
    <xf numFmtId="0" fontId="39" fillId="0" borderId="53" xfId="0" applyFont="1" applyBorder="1" applyAlignment="1">
      <alignment horizontal="center" vertical="center"/>
    </xf>
    <xf numFmtId="0" fontId="39" fillId="0" borderId="34" xfId="0" applyFont="1" applyBorder="1" applyAlignment="1">
      <alignment horizontal="center" vertical="center"/>
    </xf>
    <xf numFmtId="0" fontId="5" fillId="42" borderId="0" xfId="0" applyFont="1" applyFill="1"/>
    <xf numFmtId="0" fontId="0" fillId="0" borderId="0" xfId="0" quotePrefix="1"/>
    <xf numFmtId="174" fontId="0" fillId="0" borderId="0" xfId="0" applyNumberFormat="1"/>
    <xf numFmtId="174" fontId="27" fillId="25" borderId="21" xfId="2" applyNumberFormat="1"/>
    <xf numFmtId="1" fontId="0" fillId="0" borderId="0" xfId="0" applyNumberFormat="1"/>
    <xf numFmtId="1" fontId="27" fillId="25" borderId="21" xfId="2" applyNumberFormat="1"/>
    <xf numFmtId="0" fontId="0" fillId="0" borderId="42" xfId="0" applyFill="1" applyBorder="1"/>
    <xf numFmtId="2" fontId="0" fillId="0" borderId="24" xfId="1" applyNumberFormat="1" applyFont="1" applyFill="1" applyBorder="1"/>
    <xf numFmtId="2" fontId="0" fillId="0" borderId="24" xfId="0" applyNumberFormat="1" applyBorder="1"/>
    <xf numFmtId="2" fontId="0" fillId="0" borderId="27" xfId="0" applyNumberFormat="1" applyBorder="1"/>
    <xf numFmtId="8" fontId="0" fillId="0" borderId="0" xfId="4" applyNumberFormat="1" applyFont="1"/>
    <xf numFmtId="8" fontId="0" fillId="6" borderId="0" xfId="0" applyNumberFormat="1" applyFill="1"/>
    <xf numFmtId="170" fontId="0" fillId="0" borderId="0" xfId="0" applyNumberFormat="1" applyFill="1" applyBorder="1"/>
    <xf numFmtId="0" fontId="0" fillId="0" borderId="34" xfId="0" applyFill="1" applyBorder="1"/>
    <xf numFmtId="0" fontId="38" fillId="0" borderId="0" xfId="16" applyFill="1" applyBorder="1"/>
    <xf numFmtId="0" fontId="5" fillId="0" borderId="0" xfId="0" applyFont="1" applyFill="1" applyBorder="1"/>
    <xf numFmtId="171" fontId="5" fillId="0" borderId="0" xfId="0" applyNumberFormat="1" applyFont="1" applyFill="1" applyBorder="1"/>
    <xf numFmtId="170" fontId="5" fillId="0" borderId="0" xfId="0" applyNumberFormat="1" applyFont="1" applyFill="1" applyBorder="1"/>
    <xf numFmtId="9" fontId="38" fillId="0" borderId="0" xfId="3" applyFont="1" applyFill="1" applyBorder="1"/>
    <xf numFmtId="171" fontId="0" fillId="0" borderId="0" xfId="0" applyNumberFormat="1" applyFill="1" applyBorder="1" applyAlignment="1">
      <alignment wrapText="1"/>
    </xf>
    <xf numFmtId="171" fontId="0" fillId="0" borderId="0" xfId="0" applyNumberFormat="1" applyFill="1" applyBorder="1"/>
    <xf numFmtId="171" fontId="0" fillId="0" borderId="0" xfId="4" applyNumberFormat="1" applyFont="1" applyFill="1" applyBorder="1"/>
    <xf numFmtId="0" fontId="27" fillId="25" borderId="39" xfId="2" applyBorder="1"/>
    <xf numFmtId="174" fontId="27" fillId="25" borderId="39" xfId="2" applyNumberFormat="1" applyBorder="1"/>
    <xf numFmtId="1" fontId="27" fillId="25" borderId="39" xfId="2" applyNumberFormat="1" applyBorder="1"/>
    <xf numFmtId="0" fontId="38" fillId="40" borderId="1" xfId="16" applyBorder="1" applyAlignment="1">
      <alignment horizontal="center" vertical="center"/>
    </xf>
    <xf numFmtId="0" fontId="27" fillId="25" borderId="1" xfId="2" applyBorder="1"/>
    <xf numFmtId="1" fontId="27" fillId="25" borderId="1" xfId="2" applyNumberFormat="1" applyBorder="1"/>
    <xf numFmtId="0" fontId="40" fillId="43" borderId="1" xfId="18" applyBorder="1"/>
    <xf numFmtId="167" fontId="40" fillId="43" borderId="1" xfId="18" applyNumberFormat="1" applyBorder="1"/>
    <xf numFmtId="1" fontId="40" fillId="43" borderId="1" xfId="18" applyNumberFormat="1" applyBorder="1"/>
    <xf numFmtId="174" fontId="27" fillId="25" borderId="1" xfId="2" applyNumberFormat="1" applyBorder="1"/>
    <xf numFmtId="174" fontId="0" fillId="0" borderId="1" xfId="0" applyNumberFormat="1" applyBorder="1"/>
    <xf numFmtId="0" fontId="27" fillId="25" borderId="1" xfId="2" applyBorder="1" applyAlignment="1">
      <alignment wrapText="1"/>
    </xf>
    <xf numFmtId="0" fontId="0" fillId="44" borderId="0" xfId="0" applyFill="1"/>
    <xf numFmtId="0" fontId="0" fillId="44" borderId="0" xfId="0" applyFill="1" applyAlignment="1"/>
    <xf numFmtId="44" fontId="27" fillId="25" borderId="59" xfId="2" applyNumberFormat="1" applyBorder="1" applyAlignment="1">
      <alignment horizontal="right"/>
    </xf>
    <xf numFmtId="44" fontId="0" fillId="0" borderId="25" xfId="0" applyNumberFormat="1" applyBorder="1"/>
    <xf numFmtId="44" fontId="27" fillId="25" borderId="35" xfId="2" applyNumberFormat="1" applyBorder="1" applyAlignment="1">
      <alignment horizontal="right"/>
    </xf>
    <xf numFmtId="0" fontId="27" fillId="25" borderId="53" xfId="2" applyBorder="1" applyAlignment="1">
      <alignment horizontal="right"/>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1" fillId="0" borderId="58" xfId="19" applyAlignment="1">
      <alignment horizontal="center"/>
    </xf>
    <xf numFmtId="44" fontId="0" fillId="19" borderId="1" xfId="0" applyNumberFormat="1" applyFill="1" applyBorder="1" applyAlignment="1">
      <alignment horizontal="center"/>
    </xf>
    <xf numFmtId="0" fontId="8" fillId="3" borderId="1" xfId="0" applyFont="1" applyFill="1" applyBorder="1" applyAlignment="1">
      <alignment horizontal="center" wrapText="1"/>
    </xf>
    <xf numFmtId="44" fontId="0" fillId="19" borderId="1" xfId="0" applyNumberFormat="1" applyFill="1" applyBorder="1" applyAlignment="1">
      <alignment horizontal="right"/>
    </xf>
    <xf numFmtId="0" fontId="8"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7" fillId="0" borderId="1" xfId="0" applyFont="1" applyBorder="1" applyAlignment="1">
      <alignment horizontal="center"/>
    </xf>
    <xf numFmtId="0" fontId="16" fillId="0" borderId="1" xfId="0" applyFont="1" applyBorder="1" applyAlignment="1">
      <alignment horizontal="center"/>
    </xf>
    <xf numFmtId="14" fontId="23" fillId="0" borderId="1" xfId="0" applyNumberFormat="1" applyFont="1" applyBorder="1" applyAlignment="1">
      <alignment horizontal="center"/>
    </xf>
    <xf numFmtId="0" fontId="23" fillId="0" borderId="1" xfId="0" applyFont="1" applyBorder="1" applyAlignment="1">
      <alignment horizontal="center" vertical="center"/>
    </xf>
    <xf numFmtId="0" fontId="19" fillId="0" borderId="0" xfId="0" applyFont="1" applyAlignment="1">
      <alignment horizontal="center"/>
    </xf>
    <xf numFmtId="0" fontId="17" fillId="0" borderId="1" xfId="0" applyFont="1" applyBorder="1" applyAlignment="1">
      <alignment horizontal="center" vertical="center"/>
    </xf>
    <xf numFmtId="0" fontId="23" fillId="0" borderId="1" xfId="0" applyFont="1" applyBorder="1" applyAlignment="1">
      <alignment horizontal="center"/>
    </xf>
    <xf numFmtId="0" fontId="32" fillId="25" borderId="54" xfId="7" applyFont="1" applyBorder="1" applyAlignment="1">
      <alignment horizontal="center"/>
    </xf>
    <xf numFmtId="0" fontId="32" fillId="25" borderId="55" xfId="7" applyFont="1" applyBorder="1" applyAlignment="1">
      <alignment horizontal="center"/>
    </xf>
    <xf numFmtId="0" fontId="32" fillId="25" borderId="31" xfId="7" applyFont="1" applyBorder="1" applyAlignment="1">
      <alignment horizontal="center"/>
    </xf>
  </cellXfs>
  <cellStyles count="20">
    <cellStyle name="20% - Accent1" xfId="11" builtinId="30"/>
    <cellStyle name="20% - Accent2" xfId="12" builtinId="34"/>
    <cellStyle name="20% - Accent3" xfId="13" builtinId="38"/>
    <cellStyle name="20% - Accent6" xfId="15" builtinId="50"/>
    <cellStyle name="60% - Accent2" xfId="17" builtinId="36"/>
    <cellStyle name="Accent5" xfId="5" builtinId="45"/>
    <cellStyle name="Bad" xfId="9" builtinId="27"/>
    <cellStyle name="Calculation" xfId="2" builtinId="22"/>
    <cellStyle name="Check Cell" xfId="18" builtinId="23"/>
    <cellStyle name="Comma" xfId="8" builtinId="3"/>
    <cellStyle name="Currency" xfId="4" builtinId="4"/>
    <cellStyle name="Currency [0]" xfId="1" builtinId="7"/>
    <cellStyle name="Explanatory Text" xfId="10" builtinId="53"/>
    <cellStyle name="Good" xfId="16" builtinId="26"/>
    <cellStyle name="Heading 1" xfId="19" builtinId="16"/>
    <cellStyle name="Input" xfId="6" builtinId="20"/>
    <cellStyle name="Normal" xfId="0" builtinId="0"/>
    <cellStyle name="Note" xfId="14" builtinId="10"/>
    <cellStyle name="Output" xfId="7" builtinId="21"/>
    <cellStyle name="Percent" xfId="3" builtinId="5"/>
  </cellStyles>
  <dxfs count="513">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Admin/Overhead</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Summary'!$D$7:$D$13</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Summary'!$O$7:$O$13</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488687</xdr:colOff>
      <xdr:row>26</xdr:row>
      <xdr:rowOff>70563</xdr:rowOff>
    </xdr:from>
    <xdr:to>
      <xdr:col>7</xdr:col>
      <xdr:colOff>81643</xdr:colOff>
      <xdr:row>46</xdr:row>
      <xdr:rowOff>81060</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293526</xdr:colOff>
      <xdr:row>26</xdr:row>
      <xdr:rowOff>82420</xdr:rowOff>
    </xdr:from>
    <xdr:to>
      <xdr:col>13</xdr:col>
      <xdr:colOff>839536</xdr:colOff>
      <xdr:row>46</xdr:row>
      <xdr:rowOff>92917</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160788</xdr:colOff>
      <xdr:row>26</xdr:row>
      <xdr:rowOff>47625</xdr:rowOff>
    </xdr:from>
    <xdr:to>
      <xdr:col>20</xdr:col>
      <xdr:colOff>40821</xdr:colOff>
      <xdr:row>46</xdr:row>
      <xdr:rowOff>58670</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ithub/IGOC-Workspace/Mech%20Elec%20Template/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ithub/IGOC-Workspace/Mech%20Elec%20Template/V2%20-%20XXX%20-%20%20Mech%20Elec%20-%20Rev%20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AA165"/>
  <sheetViews>
    <sheetView tabSelected="1" zoomScale="80" zoomScaleNormal="80" workbookViewId="0">
      <selection activeCell="B35" sqref="B35:B46"/>
    </sheetView>
  </sheetViews>
  <sheetFormatPr defaultColWidth="9.3046875" defaultRowHeight="14.6" x14ac:dyDescent="0.4"/>
  <cols>
    <col min="1" max="1" width="25.3828125" style="114" bestFit="1" customWidth="1"/>
    <col min="2" max="3" width="13.69140625" style="114" customWidth="1"/>
    <col min="4" max="4" width="22.69140625" style="114" bestFit="1" customWidth="1"/>
    <col min="5" max="5" width="16.3828125" style="114" customWidth="1"/>
    <col min="6" max="6" width="12.53515625" style="114" customWidth="1"/>
    <col min="7" max="7" width="17.3046875" style="114" customWidth="1"/>
    <col min="8" max="8" width="10.3828125" style="114" customWidth="1"/>
    <col min="9" max="9" width="12.3828125" style="114" customWidth="1"/>
    <col min="10" max="13" width="10.3828125" style="114" customWidth="1"/>
    <col min="14" max="14" width="14.15234375" style="114" customWidth="1"/>
    <col min="15" max="15" width="15.84375" style="114" customWidth="1"/>
    <col min="16" max="17" width="9.3046875" style="114"/>
    <col min="18" max="18" width="21.53515625" style="114" customWidth="1"/>
    <col min="19" max="21" width="9.3046875" style="114"/>
    <col min="22" max="27" width="9.3046875" style="114" hidden="1" customWidth="1"/>
    <col min="28" max="33" width="9.3046875" style="114" customWidth="1"/>
    <col min="34" max="16384" width="9.3046875" style="114"/>
  </cols>
  <sheetData>
    <row r="1" spans="1:24" ht="17.600000000000001" thickBot="1" x14ac:dyDescent="0.75">
      <c r="A1" s="385" t="s">
        <v>721</v>
      </c>
      <c r="B1" s="399">
        <f>B7*(1+B4+B5)</f>
        <v>0</v>
      </c>
      <c r="C1" s="460"/>
      <c r="D1" s="304" t="s">
        <v>782</v>
      </c>
      <c r="F1" s="466" t="s">
        <v>1282</v>
      </c>
      <c r="G1" s="461" t="s">
        <v>1254</v>
      </c>
      <c r="H1" s="462"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I1" s="466" t="s">
        <v>1282</v>
      </c>
      <c r="N1" s="415"/>
      <c r="O1" s="415"/>
      <c r="Q1" s="506" t="s">
        <v>930</v>
      </c>
      <c r="R1" s="507"/>
      <c r="S1" s="507"/>
      <c r="T1" s="507"/>
      <c r="U1" s="508"/>
      <c r="W1" s="114" t="s">
        <v>1254</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739</v>
      </c>
      <c r="B2" s="400">
        <f>B7*B5</f>
        <v>0</v>
      </c>
      <c r="D2" s="304" t="s">
        <v>784</v>
      </c>
      <c r="F2" s="466" t="s">
        <v>1282</v>
      </c>
      <c r="G2" s="466" t="s">
        <v>1282</v>
      </c>
      <c r="H2" s="466" t="s">
        <v>1282</v>
      </c>
      <c r="I2" s="466" t="s">
        <v>1282</v>
      </c>
      <c r="N2" s="415"/>
      <c r="O2" s="415"/>
      <c r="Q2" s="509"/>
      <c r="R2" s="510"/>
      <c r="S2" s="510"/>
      <c r="T2" s="510"/>
      <c r="U2" s="511"/>
    </row>
    <row r="3" spans="1:24" x14ac:dyDescent="0.4">
      <c r="A3" s="355" t="s">
        <v>738</v>
      </c>
      <c r="B3" s="401">
        <f>B7*B4</f>
        <v>0</v>
      </c>
      <c r="D3" s="353"/>
      <c r="E3" s="477"/>
      <c r="F3" s="500"/>
      <c r="G3" s="501"/>
      <c r="H3" s="501"/>
      <c r="I3" s="501"/>
      <c r="J3" s="415"/>
      <c r="K3" s="415"/>
      <c r="N3" s="415"/>
      <c r="O3" s="415"/>
      <c r="Q3" s="512"/>
      <c r="R3" s="513"/>
      <c r="S3" s="513"/>
      <c r="T3" s="513"/>
      <c r="U3" s="514"/>
      <c r="W3" s="114" t="s">
        <v>678</v>
      </c>
      <c r="X3" s="114" t="str">
        <f>_xlfn.CONCAT('@MSSB'!Q:Q)</f>
        <v/>
      </c>
    </row>
    <row r="4" spans="1:24" ht="19.75" thickBot="1" x14ac:dyDescent="0.55000000000000004">
      <c r="A4" s="355" t="s">
        <v>722</v>
      </c>
      <c r="B4" s="402">
        <v>0.3</v>
      </c>
      <c r="D4" s="515" t="s">
        <v>1345</v>
      </c>
      <c r="E4" s="515"/>
      <c r="F4" s="515"/>
      <c r="G4" s="515"/>
      <c r="H4" s="515"/>
      <c r="I4" s="515"/>
      <c r="Q4" s="512"/>
      <c r="R4" s="513"/>
      <c r="S4" s="513"/>
      <c r="T4" s="513"/>
      <c r="U4" s="514"/>
      <c r="W4" s="114" t="s">
        <v>493</v>
      </c>
      <c r="X4" s="114" t="str">
        <f>_xlfn.CONCAT('@Fan'!Y:Y)</f>
        <v/>
      </c>
    </row>
    <row r="5" spans="1:24" ht="15.45" thickTop="1" thickBot="1" x14ac:dyDescent="0.45">
      <c r="A5" s="356" t="s">
        <v>723</v>
      </c>
      <c r="B5" s="403">
        <v>0.03</v>
      </c>
      <c r="Q5" s="512"/>
      <c r="R5" s="513"/>
      <c r="S5" s="513"/>
      <c r="T5" s="513"/>
      <c r="U5" s="514"/>
      <c r="W5" s="114" t="s">
        <v>591</v>
      </c>
      <c r="X5" s="114" t="str">
        <f>_xlfn.CONCAT('@VRF'!S:S)</f>
        <v/>
      </c>
    </row>
    <row r="6" spans="1:24" ht="15" thickBot="1" x14ac:dyDescent="0.45">
      <c r="B6" s="295"/>
      <c r="D6" s="357" t="s">
        <v>725</v>
      </c>
      <c r="E6" s="447">
        <f>SUM(E7:E13)</f>
        <v>0</v>
      </c>
      <c r="F6" s="374" t="s">
        <v>726</v>
      </c>
      <c r="G6" s="358" t="s">
        <v>783</v>
      </c>
      <c r="H6" s="357" t="s">
        <v>914</v>
      </c>
      <c r="I6" s="358" t="s">
        <v>915</v>
      </c>
      <c r="J6" s="357" t="s">
        <v>916</v>
      </c>
      <c r="K6" s="358" t="s">
        <v>917</v>
      </c>
      <c r="L6" s="357" t="s">
        <v>918</v>
      </c>
      <c r="M6" s="358" t="s">
        <v>716</v>
      </c>
      <c r="N6" s="357" t="s">
        <v>919</v>
      </c>
      <c r="O6" s="358" t="s">
        <v>920</v>
      </c>
      <c r="Q6" s="512"/>
      <c r="R6" s="513"/>
      <c r="S6" s="513"/>
      <c r="T6" s="513"/>
      <c r="U6" s="514"/>
      <c r="W6" s="114" t="s">
        <v>1326</v>
      </c>
      <c r="X6" s="114" t="str">
        <f>_xlfn.CONCAT('@Chiller'!V:V)</f>
        <v/>
      </c>
    </row>
    <row r="7" spans="1:24" ht="15" thickBot="1" x14ac:dyDescent="0.45">
      <c r="A7" s="385" t="s">
        <v>724</v>
      </c>
      <c r="B7" s="395">
        <f>SUM(B8:B11)</f>
        <v>0</v>
      </c>
      <c r="D7" s="376" t="s">
        <v>727</v>
      </c>
      <c r="E7" s="377">
        <f>F17+'@Car Park'!I7</f>
        <v>0</v>
      </c>
      <c r="F7" s="378">
        <v>80</v>
      </c>
      <c r="G7" s="379" t="e">
        <f>E7/E6</f>
        <v>#DIV/0!</v>
      </c>
      <c r="H7" s="404"/>
      <c r="I7" s="380">
        <f>E7*H7</f>
        <v>0</v>
      </c>
      <c r="J7" s="407"/>
      <c r="K7" s="381">
        <f>J7*E7</f>
        <v>0</v>
      </c>
      <c r="L7" s="410"/>
      <c r="M7" s="382">
        <f>L7*E7</f>
        <v>0</v>
      </c>
      <c r="N7" s="377">
        <f>E7+I7+K7+M7</f>
        <v>0</v>
      </c>
      <c r="O7" s="383">
        <f>N7*F7</f>
        <v>0</v>
      </c>
      <c r="Q7" s="512"/>
      <c r="R7" s="513"/>
      <c r="S7" s="513"/>
      <c r="T7" s="513"/>
      <c r="U7" s="514"/>
      <c r="W7" s="114" t="s">
        <v>680</v>
      </c>
      <c r="X7" s="114" t="str">
        <f>_xlfn.CONCAT('@Other'!N:N)</f>
        <v/>
      </c>
    </row>
    <row r="8" spans="1:24" x14ac:dyDescent="0.4">
      <c r="A8" s="376" t="s">
        <v>716</v>
      </c>
      <c r="B8" s="396">
        <f>SUM(B14:B17)</f>
        <v>0</v>
      </c>
      <c r="D8" s="355" t="s">
        <v>728</v>
      </c>
      <c r="E8" s="359">
        <f>$E$7*G8</f>
        <v>0</v>
      </c>
      <c r="F8" s="360">
        <v>100</v>
      </c>
      <c r="G8" s="361">
        <v>0.02</v>
      </c>
      <c r="H8" s="405"/>
      <c r="I8" s="368">
        <f t="shared" ref="I8:I13" si="0">E8*H8</f>
        <v>0</v>
      </c>
      <c r="J8" s="408"/>
      <c r="K8" s="372">
        <f t="shared" ref="K8:K13" si="1">J8*E8</f>
        <v>0</v>
      </c>
      <c r="L8" s="411"/>
      <c r="M8" s="370">
        <f t="shared" ref="M8:M13" si="2">L8*E8</f>
        <v>0</v>
      </c>
      <c r="N8" s="359">
        <f t="shared" ref="N8:N13" si="3">E8+I8+K8+M8</f>
        <v>0</v>
      </c>
      <c r="O8" s="367">
        <f t="shared" ref="O8:O13" si="4">N8*F8</f>
        <v>0</v>
      </c>
      <c r="Q8" s="512"/>
      <c r="R8" s="513"/>
      <c r="S8" s="513"/>
      <c r="T8" s="513"/>
      <c r="U8" s="514"/>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55" t="s">
        <v>730</v>
      </c>
      <c r="E9" s="359">
        <f>$E$7*G9</f>
        <v>0</v>
      </c>
      <c r="F9" s="360">
        <v>85</v>
      </c>
      <c r="G9" s="361">
        <v>0.12</v>
      </c>
      <c r="H9" s="405"/>
      <c r="I9" s="368">
        <f t="shared" si="0"/>
        <v>0</v>
      </c>
      <c r="J9" s="408"/>
      <c r="K9" s="372">
        <f t="shared" si="1"/>
        <v>0</v>
      </c>
      <c r="L9" s="411"/>
      <c r="M9" s="370">
        <f t="shared" si="2"/>
        <v>0</v>
      </c>
      <c r="N9" s="359">
        <f t="shared" si="3"/>
        <v>0</v>
      </c>
      <c r="O9" s="367">
        <f t="shared" si="4"/>
        <v>0</v>
      </c>
      <c r="Q9" s="512"/>
      <c r="R9" s="513"/>
      <c r="S9" s="513"/>
      <c r="T9" s="513"/>
      <c r="U9" s="514"/>
    </row>
    <row r="10" spans="1:24" x14ac:dyDescent="0.4">
      <c r="A10" s="355" t="s">
        <v>729</v>
      </c>
      <c r="B10" s="397">
        <f>SUM(B35)</f>
        <v>0</v>
      </c>
      <c r="D10" s="355" t="s">
        <v>732</v>
      </c>
      <c r="E10" s="359">
        <f>$E$7*G10</f>
        <v>0</v>
      </c>
      <c r="F10" s="360">
        <v>80</v>
      </c>
      <c r="G10" s="361">
        <v>0.06</v>
      </c>
      <c r="H10" s="405"/>
      <c r="I10" s="368">
        <f t="shared" si="0"/>
        <v>0</v>
      </c>
      <c r="J10" s="408"/>
      <c r="K10" s="372">
        <f t="shared" si="1"/>
        <v>0</v>
      </c>
      <c r="L10" s="411"/>
      <c r="M10" s="370">
        <f t="shared" si="2"/>
        <v>0</v>
      </c>
      <c r="N10" s="359">
        <f t="shared" si="3"/>
        <v>0</v>
      </c>
      <c r="O10" s="367">
        <f t="shared" si="4"/>
        <v>0</v>
      </c>
      <c r="Q10" s="512"/>
      <c r="R10" s="513"/>
      <c r="S10" s="513"/>
      <c r="T10" s="513"/>
      <c r="U10" s="514"/>
    </row>
    <row r="11" spans="1:24" ht="15" thickBot="1" x14ac:dyDescent="0.45">
      <c r="A11" s="356" t="s">
        <v>731</v>
      </c>
      <c r="B11" s="398">
        <v>0</v>
      </c>
      <c r="D11" s="355" t="s">
        <v>905</v>
      </c>
      <c r="E11" s="359">
        <f>'@Car Park'!C27</f>
        <v>0</v>
      </c>
      <c r="F11" s="360">
        <f>'@Car Park'!D27</f>
        <v>110</v>
      </c>
      <c r="G11" s="361" t="e">
        <f>E11/E6</f>
        <v>#DIV/0!</v>
      </c>
      <c r="H11" s="405"/>
      <c r="I11" s="368">
        <f t="shared" si="0"/>
        <v>0</v>
      </c>
      <c r="J11" s="408"/>
      <c r="K11" s="372">
        <f t="shared" si="1"/>
        <v>0</v>
      </c>
      <c r="L11" s="411"/>
      <c r="M11" s="370">
        <f t="shared" si="2"/>
        <v>0</v>
      </c>
      <c r="N11" s="359">
        <f t="shared" si="3"/>
        <v>0</v>
      </c>
      <c r="O11" s="367">
        <f t="shared" si="4"/>
        <v>0</v>
      </c>
      <c r="Q11" s="512"/>
      <c r="R11" s="513"/>
      <c r="S11" s="513"/>
      <c r="T11" s="513"/>
      <c r="U11" s="514"/>
    </row>
    <row r="12" spans="1:24" x14ac:dyDescent="0.4">
      <c r="D12" s="355" t="s">
        <v>898</v>
      </c>
      <c r="E12" s="359">
        <v>0</v>
      </c>
      <c r="F12" s="360">
        <v>0</v>
      </c>
      <c r="G12" s="361" t="e">
        <f>E12/E6</f>
        <v>#DIV/0!</v>
      </c>
      <c r="H12" s="405"/>
      <c r="I12" s="368">
        <f t="shared" si="0"/>
        <v>0</v>
      </c>
      <c r="J12" s="408"/>
      <c r="K12" s="372">
        <f t="shared" si="1"/>
        <v>0</v>
      </c>
      <c r="L12" s="411"/>
      <c r="M12" s="370">
        <f t="shared" si="2"/>
        <v>0</v>
      </c>
      <c r="N12" s="359">
        <f t="shared" si="3"/>
        <v>0</v>
      </c>
      <c r="O12" s="367">
        <f t="shared" si="4"/>
        <v>0</v>
      </c>
      <c r="Q12" s="512"/>
      <c r="R12" s="513"/>
      <c r="S12" s="513"/>
      <c r="T12" s="513"/>
      <c r="U12" s="514"/>
    </row>
    <row r="13" spans="1:24" ht="15" thickBot="1" x14ac:dyDescent="0.45">
      <c r="A13" s="385" t="s">
        <v>733</v>
      </c>
      <c r="B13" s="386">
        <f>SUM(B14:B25)</f>
        <v>0</v>
      </c>
      <c r="D13" s="356" t="s">
        <v>680</v>
      </c>
      <c r="E13" s="364">
        <v>0</v>
      </c>
      <c r="F13" s="365">
        <v>0</v>
      </c>
      <c r="G13" s="366" t="e">
        <f>E13/E6</f>
        <v>#DIV/0!</v>
      </c>
      <c r="H13" s="406"/>
      <c r="I13" s="369">
        <f t="shared" si="0"/>
        <v>0</v>
      </c>
      <c r="J13" s="409"/>
      <c r="K13" s="373">
        <f t="shared" si="1"/>
        <v>0</v>
      </c>
      <c r="L13" s="412"/>
      <c r="M13" s="371">
        <f t="shared" si="2"/>
        <v>0</v>
      </c>
      <c r="N13" s="364">
        <f t="shared" si="3"/>
        <v>0</v>
      </c>
      <c r="O13" s="384">
        <f t="shared" si="4"/>
        <v>0</v>
      </c>
      <c r="Q13" s="512"/>
      <c r="R13" s="513"/>
      <c r="S13" s="513"/>
      <c r="T13" s="513"/>
      <c r="U13" s="514"/>
    </row>
    <row r="14" spans="1:24" x14ac:dyDescent="0.4">
      <c r="A14" s="376" t="s">
        <v>734</v>
      </c>
      <c r="B14" s="396">
        <f>E7*F7+B32+E11*F11</f>
        <v>0</v>
      </c>
      <c r="N14" s="458">
        <f>SUM(N7:N13)</f>
        <v>0</v>
      </c>
      <c r="O14" s="375">
        <f>SUM(O7:O13)</f>
        <v>0</v>
      </c>
      <c r="Q14" s="512"/>
      <c r="R14" s="513"/>
      <c r="S14" s="513"/>
      <c r="T14" s="513"/>
      <c r="U14" s="514"/>
    </row>
    <row r="15" spans="1:24" ht="15" thickBot="1" x14ac:dyDescent="0.45">
      <c r="A15" s="355" t="s">
        <v>735</v>
      </c>
      <c r="B15" s="397">
        <f>E8*F8</f>
        <v>0</v>
      </c>
      <c r="E15" s="321"/>
      <c r="F15" s="321"/>
      <c r="G15" s="321"/>
    </row>
    <row r="16" spans="1:24" ht="15" thickBot="1" x14ac:dyDescent="0.45">
      <c r="A16" s="355" t="s">
        <v>736</v>
      </c>
      <c r="B16" s="397">
        <f>E9*F9</f>
        <v>0</v>
      </c>
      <c r="D16" s="459" t="s">
        <v>1245</v>
      </c>
      <c r="E16" s="505" t="s">
        <v>1242</v>
      </c>
      <c r="F16" s="452" t="s">
        <v>934</v>
      </c>
      <c r="G16" s="452" t="s">
        <v>353</v>
      </c>
      <c r="I16" s="480"/>
      <c r="J16" s="480"/>
      <c r="K16" s="480"/>
      <c r="L16" s="480"/>
      <c r="M16" s="480"/>
      <c r="N16" s="480"/>
      <c r="O16" s="448"/>
      <c r="R16" s="286" t="s">
        <v>1283</v>
      </c>
      <c r="S16" s="286"/>
    </row>
    <row r="17" spans="1:19" ht="15" thickBot="1" x14ac:dyDescent="0.45">
      <c r="A17" s="356" t="s">
        <v>737</v>
      </c>
      <c r="B17" s="398">
        <f>E10*F10</f>
        <v>0</v>
      </c>
      <c r="D17" s="449" t="s">
        <v>894</v>
      </c>
      <c r="E17" s="504">
        <f>SUM(E18:E22)</f>
        <v>0</v>
      </c>
      <c r="F17" s="447">
        <f t="shared" ref="F17:G17" si="5">SUM(F18:F22)</f>
        <v>0</v>
      </c>
      <c r="G17" s="502">
        <f t="shared" si="5"/>
        <v>0</v>
      </c>
      <c r="I17" s="480"/>
      <c r="J17" s="448"/>
      <c r="K17" s="481"/>
      <c r="L17" s="481"/>
      <c r="M17" s="481"/>
      <c r="N17" s="480"/>
      <c r="O17" s="448"/>
      <c r="R17" s="464" t="s">
        <v>1284</v>
      </c>
      <c r="S17" s="463" t="e">
        <f>G18/(G17+B27)</f>
        <v>#DIV/0!</v>
      </c>
    </row>
    <row r="18" spans="1:19" ht="15" thickBot="1" x14ac:dyDescent="0.45">
      <c r="D18" s="453" t="s">
        <v>678</v>
      </c>
      <c r="E18" s="450">
        <f>SUM('@MSSB'!C2:C500)</f>
        <v>0</v>
      </c>
      <c r="F18" s="377">
        <f>SUM('@MSSB'!D2:D500)</f>
        <v>0</v>
      </c>
      <c r="G18" s="383">
        <f t="shared" ref="G18:G19" si="6">F18*80+E18</f>
        <v>0</v>
      </c>
      <c r="I18" s="480"/>
      <c r="J18" s="448"/>
      <c r="K18" s="482"/>
      <c r="L18" s="483"/>
      <c r="M18" s="482"/>
      <c r="N18" s="484"/>
      <c r="O18" s="448"/>
      <c r="R18" s="465" t="s">
        <v>493</v>
      </c>
      <c r="S18" s="463" t="e">
        <f>G19/(G17+B27)</f>
        <v>#DIV/0!</v>
      </c>
    </row>
    <row r="19" spans="1:19" ht="15" thickBot="1" x14ac:dyDescent="0.45">
      <c r="A19" s="376" t="str">
        <f t="shared" ref="A19:B23" si="7">D18</f>
        <v>MSSB</v>
      </c>
      <c r="B19" s="396">
        <f t="shared" si="7"/>
        <v>0</v>
      </c>
      <c r="D19" s="453" t="s">
        <v>1243</v>
      </c>
      <c r="E19" s="451">
        <f>SUM('@Fan'!C2:C500)</f>
        <v>0</v>
      </c>
      <c r="F19" s="359">
        <f>SUM('@Fan'!D2:D500)</f>
        <v>0</v>
      </c>
      <c r="G19" s="367">
        <f t="shared" si="6"/>
        <v>0</v>
      </c>
      <c r="I19" s="480"/>
      <c r="J19" s="448"/>
      <c r="K19" s="485"/>
      <c r="L19" s="478"/>
      <c r="M19" s="486"/>
      <c r="N19" s="480"/>
      <c r="O19" s="448"/>
      <c r="R19" s="465" t="s">
        <v>1244</v>
      </c>
      <c r="S19" s="463" t="e">
        <f>G20/(G17+B27)</f>
        <v>#DIV/0!</v>
      </c>
    </row>
    <row r="20" spans="1:19" ht="15" thickBot="1" x14ac:dyDescent="0.45">
      <c r="A20" s="355" t="str">
        <f t="shared" si="7"/>
        <v>Fan</v>
      </c>
      <c r="B20" s="397">
        <f t="shared" si="7"/>
        <v>0</v>
      </c>
      <c r="D20" s="453" t="s">
        <v>1244</v>
      </c>
      <c r="E20" s="451">
        <f>SUM('@VRF'!C2:C500)</f>
        <v>0</v>
      </c>
      <c r="F20" s="359">
        <f>SUM('@VRF'!D2:D500)</f>
        <v>0</v>
      </c>
      <c r="G20" s="367">
        <f>F20*80+E20</f>
        <v>0</v>
      </c>
      <c r="I20" s="480"/>
      <c r="J20" s="448"/>
      <c r="K20" s="486"/>
      <c r="L20" s="478"/>
      <c r="M20" s="487"/>
      <c r="N20" s="480"/>
      <c r="O20" s="448"/>
      <c r="R20" s="465" t="str">
        <f>D21</f>
        <v>Chiller</v>
      </c>
      <c r="S20" s="463" t="e">
        <f>G21/(G17+B27)</f>
        <v>#DIV/0!</v>
      </c>
    </row>
    <row r="21" spans="1:19" ht="15" thickBot="1" x14ac:dyDescent="0.45">
      <c r="A21" s="355" t="str">
        <f t="shared" si="7"/>
        <v>VRF</v>
      </c>
      <c r="B21" s="397">
        <f t="shared" si="7"/>
        <v>0</v>
      </c>
      <c r="D21" s="453" t="s">
        <v>1339</v>
      </c>
      <c r="E21" s="451">
        <f>SUM('@Chiller'!C:C)</f>
        <v>0</v>
      </c>
      <c r="F21" s="359">
        <f>SUM('@Chiller'!D:D)</f>
        <v>0</v>
      </c>
      <c r="G21" s="367">
        <f t="shared" ref="G21:G22" si="8">F21*80+E21</f>
        <v>0</v>
      </c>
      <c r="I21" s="480"/>
      <c r="J21" s="480"/>
      <c r="K21" s="480"/>
      <c r="L21" s="480"/>
      <c r="M21" s="480"/>
      <c r="N21" s="480"/>
      <c r="O21" s="448"/>
      <c r="R21" s="465" t="str">
        <f>D22</f>
        <v>Other</v>
      </c>
      <c r="S21" s="463" t="e">
        <f>G22/(G17+B27)</f>
        <v>#DIV/0!</v>
      </c>
    </row>
    <row r="22" spans="1:19" ht="15" thickBot="1" x14ac:dyDescent="0.45">
      <c r="A22" s="355" t="str">
        <f t="shared" si="7"/>
        <v>Chiller</v>
      </c>
      <c r="B22" s="397">
        <f t="shared" si="7"/>
        <v>0</v>
      </c>
      <c r="D22" s="479" t="s">
        <v>680</v>
      </c>
      <c r="E22" s="503">
        <f>SUM('@Other'!C:C)</f>
        <v>0</v>
      </c>
      <c r="F22" s="364">
        <f>SUM('@Other'!D:D)</f>
        <v>0</v>
      </c>
      <c r="G22" s="384">
        <f t="shared" si="8"/>
        <v>0</v>
      </c>
      <c r="R22" s="465" t="s">
        <v>1274</v>
      </c>
      <c r="S22" s="463" t="e">
        <f>B27/(G17+B27)</f>
        <v>#DIV/0!</v>
      </c>
    </row>
    <row r="23" spans="1:19" ht="15" thickBot="1" x14ac:dyDescent="0.45">
      <c r="A23" s="356" t="str">
        <f t="shared" si="7"/>
        <v>Other</v>
      </c>
      <c r="B23" s="398">
        <f t="shared" si="7"/>
        <v>0</v>
      </c>
      <c r="D23" s="363" t="s">
        <v>892</v>
      </c>
      <c r="E23" s="321"/>
      <c r="F23" s="364">
        <f>E7-F17</f>
        <v>0</v>
      </c>
      <c r="G23" s="322"/>
    </row>
    <row r="24" spans="1:19" ht="15" thickBot="1" x14ac:dyDescent="0.45"/>
    <row r="25" spans="1:19" ht="15" thickBot="1" x14ac:dyDescent="0.45">
      <c r="A25" s="456" t="s">
        <v>903</v>
      </c>
      <c r="B25" s="457">
        <f>B29+B33</f>
        <v>0</v>
      </c>
    </row>
    <row r="27" spans="1:19" ht="15" thickBot="1" x14ac:dyDescent="0.45">
      <c r="A27" s="385" t="s">
        <v>921</v>
      </c>
      <c r="B27" s="386">
        <f>SUM(B28:B29)</f>
        <v>0</v>
      </c>
      <c r="C27" s="292"/>
    </row>
    <row r="28" spans="1:19" x14ac:dyDescent="0.4">
      <c r="A28" s="393" t="s">
        <v>912</v>
      </c>
      <c r="B28" s="394">
        <f>'@Car Park'!I7*F7+E11*F11</f>
        <v>0</v>
      </c>
    </row>
    <row r="29" spans="1:19" ht="15" thickBot="1" x14ac:dyDescent="0.45">
      <c r="A29" s="356" t="s">
        <v>911</v>
      </c>
      <c r="B29" s="392">
        <f>'@Car Park'!E3</f>
        <v>0</v>
      </c>
    </row>
    <row r="31" spans="1:19" ht="15" thickBot="1" x14ac:dyDescent="0.45">
      <c r="A31" s="354" t="s">
        <v>804</v>
      </c>
      <c r="B31" s="390">
        <f>SUM(B32:B33)</f>
        <v>0</v>
      </c>
    </row>
    <row r="32" spans="1:19" x14ac:dyDescent="0.4">
      <c r="A32" s="376" t="s">
        <v>902</v>
      </c>
      <c r="B32" s="391">
        <f>'@Car Park'!E82</f>
        <v>0</v>
      </c>
    </row>
    <row r="33" spans="1:2" ht="15" thickBot="1" x14ac:dyDescent="0.45">
      <c r="A33" s="356" t="s">
        <v>906</v>
      </c>
      <c r="B33" s="392">
        <f>'@Car Park'!I12</f>
        <v>0</v>
      </c>
    </row>
    <row r="35" spans="1:2" ht="15" thickBot="1" x14ac:dyDescent="0.45">
      <c r="A35" s="354" t="s">
        <v>922</v>
      </c>
      <c r="B35" s="390"/>
    </row>
    <row r="36" spans="1:2" x14ac:dyDescent="0.4">
      <c r="A36" s="376" t="s">
        <v>923</v>
      </c>
      <c r="B36" s="387"/>
    </row>
    <row r="37" spans="1:2" x14ac:dyDescent="0.4">
      <c r="A37" s="362" t="s">
        <v>924</v>
      </c>
      <c r="B37" s="388"/>
    </row>
    <row r="38" spans="1:2" x14ac:dyDescent="0.4">
      <c r="A38" s="362" t="s">
        <v>925</v>
      </c>
      <c r="B38" s="388"/>
    </row>
    <row r="39" spans="1:2" x14ac:dyDescent="0.4">
      <c r="A39" s="362" t="s">
        <v>812</v>
      </c>
      <c r="B39" s="388"/>
    </row>
    <row r="40" spans="1:2" ht="15" thickBot="1" x14ac:dyDescent="0.45">
      <c r="A40" s="363" t="s">
        <v>926</v>
      </c>
      <c r="B40" s="389"/>
    </row>
    <row r="42" spans="1:2" ht="15" thickBot="1" x14ac:dyDescent="0.45">
      <c r="A42" s="354" t="s">
        <v>1351</v>
      </c>
      <c r="B42" s="390"/>
    </row>
    <row r="43" spans="1:2" x14ac:dyDescent="0.4">
      <c r="A43" s="393" t="s">
        <v>1352</v>
      </c>
      <c r="B43" s="472"/>
    </row>
    <row r="44" spans="1:2" x14ac:dyDescent="0.4">
      <c r="A44" s="362" t="s">
        <v>1348</v>
      </c>
      <c r="B44" s="473"/>
    </row>
    <row r="45" spans="1:2" x14ac:dyDescent="0.4">
      <c r="A45" s="362" t="s">
        <v>1349</v>
      </c>
      <c r="B45" s="474"/>
    </row>
    <row r="46" spans="1:2" ht="15" thickBot="1" x14ac:dyDescent="0.45">
      <c r="A46" s="363" t="s">
        <v>1350</v>
      </c>
      <c r="B46" s="475"/>
    </row>
    <row r="49" spans="1:4" x14ac:dyDescent="0.4">
      <c r="A49" s="491" t="s">
        <v>1344</v>
      </c>
      <c r="B49" s="492" t="str">
        <f>'@MSSB'!D1</f>
        <v>Hours</v>
      </c>
      <c r="C49" s="493" t="str">
        <f>'@MSSB'!E1</f>
        <v>Qty</v>
      </c>
      <c r="D49" s="492" t="s">
        <v>932</v>
      </c>
    </row>
    <row r="50" spans="1:4" x14ac:dyDescent="0.4">
      <c r="A50" s="494" t="s">
        <v>1343</v>
      </c>
      <c r="B50" s="495">
        <f>B51+B73+B95+B118+B140+B162</f>
        <v>0</v>
      </c>
      <c r="C50" s="496"/>
      <c r="D50" s="494"/>
    </row>
    <row r="51" spans="1:4" hidden="1" x14ac:dyDescent="0.4">
      <c r="A51" s="488" t="str">
        <f>IF(C51&gt;0, "", "INVALID")</f>
        <v>INVALID</v>
      </c>
      <c r="B51" s="489">
        <f>SUM(B52:B72)</f>
        <v>0</v>
      </c>
      <c r="C51" s="490">
        <f>SUM(C52:C72)</f>
        <v>0</v>
      </c>
      <c r="D51" s="488" t="s">
        <v>678</v>
      </c>
    </row>
    <row r="52" spans="1:4" hidden="1" x14ac:dyDescent="0.4">
      <c r="A52" s="286" t="str">
        <f t="shared" ref="A52:A115" si="9">IF(C52&gt;0, "", "INVALID")</f>
        <v>INVALID</v>
      </c>
      <c r="B52" s="468">
        <f>'@MSSB'!D2</f>
        <v>0</v>
      </c>
      <c r="C52" s="470">
        <f>'@MSSB'!E2</f>
        <v>0</v>
      </c>
      <c r="D52" s="114" t="str">
        <f>'@MSSB'!Z2</f>
        <v>0 Pole MSSB</v>
      </c>
    </row>
    <row r="53" spans="1:4" hidden="1" x14ac:dyDescent="0.4">
      <c r="A53" s="286" t="str">
        <f t="shared" si="9"/>
        <v>INVALID</v>
      </c>
      <c r="B53" s="468">
        <f>'@MSSB'!D3</f>
        <v>0</v>
      </c>
      <c r="C53" s="470">
        <f>'@MSSB'!E3</f>
        <v>0</v>
      </c>
      <c r="D53" s="114" t="str">
        <f>'@MSSB'!Z3</f>
        <v>0 Pole MSSB</v>
      </c>
    </row>
    <row r="54" spans="1:4" hidden="1" x14ac:dyDescent="0.4">
      <c r="A54" s="286" t="str">
        <f t="shared" si="9"/>
        <v>INVALID</v>
      </c>
      <c r="B54" s="468">
        <f>'@MSSB'!D4</f>
        <v>0</v>
      </c>
      <c r="C54" s="470">
        <f>'@MSSB'!E4</f>
        <v>0</v>
      </c>
      <c r="D54" s="114" t="str">
        <f>'@MSSB'!Z4</f>
        <v>0 Pole MSSB</v>
      </c>
    </row>
    <row r="55" spans="1:4" hidden="1" x14ac:dyDescent="0.4">
      <c r="A55" s="286" t="str">
        <f t="shared" si="9"/>
        <v>INVALID</v>
      </c>
      <c r="B55" s="468">
        <f>'@MSSB'!D5</f>
        <v>0</v>
      </c>
      <c r="C55" s="470">
        <f>'@MSSB'!E5</f>
        <v>0</v>
      </c>
      <c r="D55" s="114" t="str">
        <f>'@MSSB'!Z5</f>
        <v>0 Pole MSSB</v>
      </c>
    </row>
    <row r="56" spans="1:4" hidden="1" x14ac:dyDescent="0.4">
      <c r="A56" s="286" t="str">
        <f t="shared" si="9"/>
        <v>INVALID</v>
      </c>
      <c r="B56" s="468">
        <f>'@MSSB'!D6</f>
        <v>0</v>
      </c>
      <c r="C56" s="470">
        <f>'@MSSB'!E6</f>
        <v>0</v>
      </c>
      <c r="D56" s="114" t="str">
        <f>'@MSSB'!Z6</f>
        <v>0 Pole MSSB</v>
      </c>
    </row>
    <row r="57" spans="1:4" hidden="1" x14ac:dyDescent="0.4">
      <c r="A57" s="286" t="str">
        <f t="shared" si="9"/>
        <v>INVALID</v>
      </c>
      <c r="B57" s="468">
        <f>'@MSSB'!D7</f>
        <v>0</v>
      </c>
      <c r="C57" s="470">
        <f>'@MSSB'!E7</f>
        <v>0</v>
      </c>
      <c r="D57" s="114" t="str">
        <f>'@MSSB'!Z7</f>
        <v>0 Pole MSSB</v>
      </c>
    </row>
    <row r="58" spans="1:4" hidden="1" x14ac:dyDescent="0.4">
      <c r="A58" s="286" t="str">
        <f t="shared" si="9"/>
        <v>INVALID</v>
      </c>
      <c r="B58" s="468">
        <f>'@MSSB'!D8</f>
        <v>0</v>
      </c>
      <c r="C58" s="470">
        <f>'@MSSB'!E8</f>
        <v>0</v>
      </c>
      <c r="D58" s="114" t="str">
        <f>'@MSSB'!Z8</f>
        <v>0 Pole MSSB</v>
      </c>
    </row>
    <row r="59" spans="1:4" hidden="1" x14ac:dyDescent="0.4">
      <c r="A59" s="286" t="str">
        <f t="shared" si="9"/>
        <v>INVALID</v>
      </c>
      <c r="B59" s="468">
        <f>'@MSSB'!D9</f>
        <v>0</v>
      </c>
      <c r="C59" s="470">
        <f>'@MSSB'!E9</f>
        <v>0</v>
      </c>
      <c r="D59" s="114" t="str">
        <f>'@MSSB'!Z9</f>
        <v>0 Pole MSSB</v>
      </c>
    </row>
    <row r="60" spans="1:4" hidden="1" x14ac:dyDescent="0.4">
      <c r="A60" s="286" t="str">
        <f t="shared" si="9"/>
        <v>INVALID</v>
      </c>
      <c r="B60" s="468">
        <f>'@MSSB'!D10</f>
        <v>0</v>
      </c>
      <c r="C60" s="470">
        <f>'@MSSB'!E10</f>
        <v>0</v>
      </c>
      <c r="D60" s="114" t="str">
        <f>'@MSSB'!Z10</f>
        <v>0 Pole MSSB</v>
      </c>
    </row>
    <row r="61" spans="1:4" hidden="1" x14ac:dyDescent="0.4">
      <c r="A61" s="286" t="str">
        <f t="shared" si="9"/>
        <v>INVALID</v>
      </c>
      <c r="B61" s="468">
        <f>'@MSSB'!D11</f>
        <v>0</v>
      </c>
      <c r="C61" s="470">
        <f>'@MSSB'!E11</f>
        <v>0</v>
      </c>
      <c r="D61" s="114" t="str">
        <f>'@MSSB'!Z11</f>
        <v>0 Pole MSSB</v>
      </c>
    </row>
    <row r="62" spans="1:4" hidden="1" x14ac:dyDescent="0.4">
      <c r="A62" s="286" t="str">
        <f t="shared" si="9"/>
        <v>INVALID</v>
      </c>
      <c r="B62" s="468">
        <f>'@MSSB'!D12</f>
        <v>0</v>
      </c>
      <c r="C62" s="470">
        <f>'@MSSB'!E12</f>
        <v>0</v>
      </c>
      <c r="D62" s="114" t="str">
        <f>'@MSSB'!Z12</f>
        <v>0 Pole MSSB</v>
      </c>
    </row>
    <row r="63" spans="1:4" hidden="1" x14ac:dyDescent="0.4">
      <c r="A63" s="286" t="str">
        <f t="shared" si="9"/>
        <v>INVALID</v>
      </c>
      <c r="B63" s="468">
        <f>'@MSSB'!D13</f>
        <v>0</v>
      </c>
      <c r="C63" s="470">
        <f>'@MSSB'!E13</f>
        <v>0</v>
      </c>
      <c r="D63" s="114" t="str">
        <f>'@MSSB'!Z13</f>
        <v>0 Pole MSSB</v>
      </c>
    </row>
    <row r="64" spans="1:4" hidden="1" x14ac:dyDescent="0.4">
      <c r="A64" s="286" t="str">
        <f t="shared" si="9"/>
        <v>INVALID</v>
      </c>
      <c r="B64" s="468">
        <f>'@MSSB'!D14</f>
        <v>0</v>
      </c>
      <c r="C64" s="470">
        <f>'@MSSB'!E14</f>
        <v>0</v>
      </c>
      <c r="D64" s="114" t="str">
        <f>'@MSSB'!Z14</f>
        <v>0 Pole MSSB</v>
      </c>
    </row>
    <row r="65" spans="1:4" hidden="1" x14ac:dyDescent="0.4">
      <c r="A65" s="286" t="str">
        <f t="shared" si="9"/>
        <v>INVALID</v>
      </c>
      <c r="B65" s="468">
        <f>'@MSSB'!D15</f>
        <v>0</v>
      </c>
      <c r="C65" s="470">
        <f>'@MSSB'!E15</f>
        <v>0</v>
      </c>
      <c r="D65" s="114" t="str">
        <f>'@MSSB'!Z15</f>
        <v>0 Pole MSSB</v>
      </c>
    </row>
    <row r="66" spans="1:4" hidden="1" x14ac:dyDescent="0.4">
      <c r="A66" s="286" t="str">
        <f t="shared" si="9"/>
        <v>INVALID</v>
      </c>
      <c r="B66" s="468">
        <f>'@MSSB'!D16</f>
        <v>0</v>
      </c>
      <c r="C66" s="470">
        <f>'@MSSB'!E16</f>
        <v>0</v>
      </c>
      <c r="D66" s="114" t="str">
        <f>'@MSSB'!Z16</f>
        <v>0 Pole MSSB</v>
      </c>
    </row>
    <row r="67" spans="1:4" hidden="1" x14ac:dyDescent="0.4">
      <c r="A67" s="286" t="str">
        <f t="shared" si="9"/>
        <v>INVALID</v>
      </c>
      <c r="B67" s="468">
        <f>'@MSSB'!D17</f>
        <v>0</v>
      </c>
      <c r="C67" s="470">
        <f>'@MSSB'!E17</f>
        <v>0</v>
      </c>
      <c r="D67" s="114" t="str">
        <f>'@MSSB'!Z17</f>
        <v>0 Pole MSSB</v>
      </c>
    </row>
    <row r="68" spans="1:4" hidden="1" x14ac:dyDescent="0.4">
      <c r="A68" s="286" t="str">
        <f t="shared" si="9"/>
        <v>INVALID</v>
      </c>
      <c r="B68" s="468">
        <f>'@MSSB'!D18</f>
        <v>0</v>
      </c>
      <c r="C68" s="470">
        <f>'@MSSB'!E18</f>
        <v>0</v>
      </c>
      <c r="D68" s="114" t="str">
        <f>'@MSSB'!Z18</f>
        <v>0 Pole MSSB</v>
      </c>
    </row>
    <row r="69" spans="1:4" hidden="1" x14ac:dyDescent="0.4">
      <c r="A69" s="286" t="str">
        <f t="shared" si="9"/>
        <v>INVALID</v>
      </c>
      <c r="B69" s="468">
        <f>'@MSSB'!D19</f>
        <v>0</v>
      </c>
      <c r="C69" s="470">
        <f>'@MSSB'!E19</f>
        <v>0</v>
      </c>
      <c r="D69" s="114" t="str">
        <f>'@MSSB'!Z19</f>
        <v>0 Pole MSSB</v>
      </c>
    </row>
    <row r="70" spans="1:4" hidden="1" x14ac:dyDescent="0.4">
      <c r="A70" s="286" t="str">
        <f t="shared" si="9"/>
        <v>INVALID</v>
      </c>
      <c r="B70" s="468">
        <f>'@MSSB'!D20</f>
        <v>0</v>
      </c>
      <c r="C70" s="470">
        <f>'@MSSB'!E20</f>
        <v>0</v>
      </c>
      <c r="D70" s="114" t="str">
        <f>'@MSSB'!Z20</f>
        <v>0 Pole MSSB</v>
      </c>
    </row>
    <row r="71" spans="1:4" hidden="1" x14ac:dyDescent="0.4">
      <c r="A71" s="286" t="str">
        <f t="shared" si="9"/>
        <v>INVALID</v>
      </c>
      <c r="B71" s="468">
        <f>'@MSSB'!D21</f>
        <v>0</v>
      </c>
      <c r="C71" s="470">
        <f>'@MSSB'!E21</f>
        <v>0</v>
      </c>
      <c r="D71" s="114" t="str">
        <f>'@MSSB'!Z21</f>
        <v>0 Pole MSSB</v>
      </c>
    </row>
    <row r="72" spans="1:4" hidden="1" x14ac:dyDescent="0.4">
      <c r="A72" s="385" t="str">
        <f t="shared" si="9"/>
        <v>INVALID</v>
      </c>
      <c r="B72" s="468">
        <f>'@MSSB'!D22</f>
        <v>0</v>
      </c>
      <c r="C72" s="470">
        <f>'@MSSB'!E22</f>
        <v>0</v>
      </c>
      <c r="D72" s="114" t="str">
        <f>'@MSSB'!Z22</f>
        <v>0 Pole MSSB</v>
      </c>
    </row>
    <row r="73" spans="1:4" x14ac:dyDescent="0.4">
      <c r="A73" s="492" t="str">
        <f t="shared" si="9"/>
        <v>INVALID</v>
      </c>
      <c r="B73" s="497">
        <f>SUM(B74:B94)</f>
        <v>0</v>
      </c>
      <c r="C73" s="493">
        <f>SUM(C74:C94)</f>
        <v>0</v>
      </c>
      <c r="D73" s="492" t="s">
        <v>493</v>
      </c>
    </row>
    <row r="74" spans="1:4" ht="43.75" x14ac:dyDescent="0.4">
      <c r="A74" s="492" t="str">
        <f t="shared" si="9"/>
        <v>INVALID</v>
      </c>
      <c r="B74" s="498">
        <f>'@Fan'!D2</f>
        <v>0</v>
      </c>
      <c r="C74" s="117">
        <f>'@Fan'!E2</f>
        <v>0</v>
      </c>
      <c r="D74" s="231" t="str">
        <f>'@Fan'!AL2</f>
        <v xml:space="preserve">fan with: , </v>
      </c>
    </row>
    <row r="75" spans="1:4" ht="43.75" x14ac:dyDescent="0.4">
      <c r="A75" s="492" t="str">
        <f t="shared" si="9"/>
        <v>INVALID</v>
      </c>
      <c r="B75" s="498">
        <f>'@Fan'!D3</f>
        <v>0</v>
      </c>
      <c r="C75" s="117">
        <f>'@Fan'!E3</f>
        <v>0</v>
      </c>
      <c r="D75" s="231" t="str">
        <f>'@Fan'!AL3</f>
        <v xml:space="preserve">fan with: , </v>
      </c>
    </row>
    <row r="76" spans="1:4" ht="43.75" x14ac:dyDescent="0.4">
      <c r="A76" s="492" t="str">
        <f t="shared" si="9"/>
        <v>INVALID</v>
      </c>
      <c r="B76" s="498">
        <f>'@Fan'!D4</f>
        <v>0</v>
      </c>
      <c r="C76" s="117">
        <f>'@Fan'!E4</f>
        <v>0</v>
      </c>
      <c r="D76" s="231" t="str">
        <f>'@Fan'!AL4</f>
        <v xml:space="preserve">fan with: , </v>
      </c>
    </row>
    <row r="77" spans="1:4" ht="29.15" x14ac:dyDescent="0.4">
      <c r="A77" s="492" t="str">
        <f t="shared" si="9"/>
        <v>INVALID</v>
      </c>
      <c r="B77" s="498">
        <f>'@Fan'!D5</f>
        <v>0</v>
      </c>
      <c r="C77" s="117">
        <f>'@Fan'!E5</f>
        <v>0</v>
      </c>
      <c r="D77" s="231" t="s">
        <v>1347</v>
      </c>
    </row>
    <row r="78" spans="1:4" hidden="1" x14ac:dyDescent="0.4">
      <c r="A78" s="488" t="str">
        <f t="shared" si="9"/>
        <v>INVALID</v>
      </c>
      <c r="B78" s="468">
        <f>'@Fan'!D6</f>
        <v>0</v>
      </c>
      <c r="C78" s="114">
        <f>'@Fan'!E6</f>
        <v>0</v>
      </c>
      <c r="D78" s="114" t="str">
        <f>'@Fan'!AL6</f>
        <v xml:space="preserve">fan with: , </v>
      </c>
    </row>
    <row r="79" spans="1:4" hidden="1" x14ac:dyDescent="0.4">
      <c r="A79" s="286" t="str">
        <f t="shared" si="9"/>
        <v>INVALID</v>
      </c>
      <c r="B79" s="468">
        <f>'@Fan'!D7</f>
        <v>0</v>
      </c>
      <c r="C79" s="114">
        <f>'@Fan'!E7</f>
        <v>0</v>
      </c>
      <c r="D79" s="114" t="str">
        <f>'@Fan'!AL7</f>
        <v xml:space="preserve">fan with: , </v>
      </c>
    </row>
    <row r="80" spans="1:4" hidden="1" x14ac:dyDescent="0.4">
      <c r="A80" s="286" t="str">
        <f t="shared" si="9"/>
        <v>INVALID</v>
      </c>
      <c r="B80" s="468">
        <f>'@Fan'!D8</f>
        <v>0</v>
      </c>
      <c r="C80" s="114">
        <f>'@Fan'!E8</f>
        <v>0</v>
      </c>
      <c r="D80" s="114" t="str">
        <f>'@Fan'!AL8</f>
        <v xml:space="preserve">fan with: , </v>
      </c>
    </row>
    <row r="81" spans="1:4" hidden="1" x14ac:dyDescent="0.4">
      <c r="A81" s="286" t="str">
        <f t="shared" si="9"/>
        <v>INVALID</v>
      </c>
      <c r="B81" s="468">
        <f>'@Fan'!D9</f>
        <v>0</v>
      </c>
      <c r="C81" s="114">
        <f>'@Fan'!E9</f>
        <v>0</v>
      </c>
      <c r="D81" s="114" t="str">
        <f>'@Fan'!AL9</f>
        <v xml:space="preserve">fan with: , </v>
      </c>
    </row>
    <row r="82" spans="1:4" hidden="1" x14ac:dyDescent="0.4">
      <c r="A82" s="286" t="str">
        <f t="shared" si="9"/>
        <v>INVALID</v>
      </c>
      <c r="B82" s="468">
        <f>'@Fan'!D10</f>
        <v>0</v>
      </c>
      <c r="C82" s="114">
        <f>'@Fan'!E10</f>
        <v>0</v>
      </c>
      <c r="D82" s="114" t="str">
        <f>'@Fan'!AL10</f>
        <v xml:space="preserve">fan with: , </v>
      </c>
    </row>
    <row r="83" spans="1:4" hidden="1" x14ac:dyDescent="0.4">
      <c r="A83" s="286" t="str">
        <f t="shared" si="9"/>
        <v>INVALID</v>
      </c>
      <c r="B83" s="468">
        <f>'@Fan'!D11</f>
        <v>0</v>
      </c>
      <c r="C83" s="114">
        <f>'@Fan'!E11</f>
        <v>0</v>
      </c>
      <c r="D83" s="114" t="str">
        <f>'@Fan'!AL11</f>
        <v xml:space="preserve">fan with: , </v>
      </c>
    </row>
    <row r="84" spans="1:4" hidden="1" x14ac:dyDescent="0.4">
      <c r="A84" s="286" t="str">
        <f t="shared" si="9"/>
        <v>INVALID</v>
      </c>
      <c r="B84" s="468">
        <f>'@Fan'!D12</f>
        <v>0</v>
      </c>
      <c r="C84" s="114">
        <f>'@Fan'!E12</f>
        <v>0</v>
      </c>
      <c r="D84" s="114" t="str">
        <f>'@Fan'!AL12</f>
        <v xml:space="preserve">fan with: , </v>
      </c>
    </row>
    <row r="85" spans="1:4" hidden="1" x14ac:dyDescent="0.4">
      <c r="A85" s="286" t="str">
        <f t="shared" si="9"/>
        <v>INVALID</v>
      </c>
      <c r="B85" s="468">
        <f>'@Fan'!D13</f>
        <v>0</v>
      </c>
      <c r="C85" s="114">
        <f>'@Fan'!E13</f>
        <v>0</v>
      </c>
      <c r="D85" s="114" t="str">
        <f>'@Fan'!AL13</f>
        <v xml:space="preserve">fan with: , </v>
      </c>
    </row>
    <row r="86" spans="1:4" hidden="1" x14ac:dyDescent="0.4">
      <c r="A86" s="286" t="str">
        <f t="shared" si="9"/>
        <v>INVALID</v>
      </c>
      <c r="B86" s="468">
        <f>'@Fan'!D14</f>
        <v>0</v>
      </c>
      <c r="C86" s="114">
        <f>'@Fan'!E14</f>
        <v>0</v>
      </c>
      <c r="D86" s="114" t="str">
        <f>'@Fan'!AL14</f>
        <v xml:space="preserve">fan with: , </v>
      </c>
    </row>
    <row r="87" spans="1:4" hidden="1" x14ac:dyDescent="0.4">
      <c r="A87" s="286" t="str">
        <f t="shared" si="9"/>
        <v>INVALID</v>
      </c>
      <c r="B87" s="468">
        <f>'@Fan'!D15</f>
        <v>0</v>
      </c>
      <c r="C87" s="114">
        <f>'@Fan'!E15</f>
        <v>0</v>
      </c>
      <c r="D87" s="114" t="str">
        <f>'@Fan'!AL15</f>
        <v xml:space="preserve">fan with: , </v>
      </c>
    </row>
    <row r="88" spans="1:4" hidden="1" x14ac:dyDescent="0.4">
      <c r="A88" s="286" t="str">
        <f t="shared" si="9"/>
        <v>INVALID</v>
      </c>
      <c r="B88" s="468">
        <f>'@Fan'!D16</f>
        <v>0</v>
      </c>
      <c r="C88" s="114">
        <f>'@Fan'!E16</f>
        <v>0</v>
      </c>
      <c r="D88" s="114" t="str">
        <f>'@Fan'!AL16</f>
        <v xml:space="preserve">fan with: , </v>
      </c>
    </row>
    <row r="89" spans="1:4" hidden="1" x14ac:dyDescent="0.4">
      <c r="A89" s="286" t="str">
        <f t="shared" si="9"/>
        <v>INVALID</v>
      </c>
      <c r="B89" s="468">
        <f>'@Fan'!D17</f>
        <v>0</v>
      </c>
      <c r="C89" s="114">
        <f>'@Fan'!E17</f>
        <v>0</v>
      </c>
      <c r="D89" s="114" t="str">
        <f>'@Fan'!AL17</f>
        <v xml:space="preserve">fan with: , </v>
      </c>
    </row>
    <row r="90" spans="1:4" hidden="1" x14ac:dyDescent="0.4">
      <c r="A90" s="286" t="str">
        <f t="shared" si="9"/>
        <v>INVALID</v>
      </c>
      <c r="B90" s="468">
        <f>'@Fan'!D18</f>
        <v>0</v>
      </c>
      <c r="C90" s="114">
        <f>'@Fan'!E18</f>
        <v>0</v>
      </c>
      <c r="D90" s="114" t="str">
        <f>'@Fan'!AL18</f>
        <v xml:space="preserve">fan with: , </v>
      </c>
    </row>
    <row r="91" spans="1:4" hidden="1" x14ac:dyDescent="0.4">
      <c r="A91" s="286" t="str">
        <f t="shared" si="9"/>
        <v>INVALID</v>
      </c>
      <c r="B91" s="468">
        <f>'@Fan'!D19</f>
        <v>0</v>
      </c>
      <c r="C91" s="114">
        <f>'@Fan'!E19</f>
        <v>0</v>
      </c>
      <c r="D91" s="114" t="str">
        <f>'@Fan'!AL19</f>
        <v xml:space="preserve">fan with: , </v>
      </c>
    </row>
    <row r="92" spans="1:4" hidden="1" x14ac:dyDescent="0.4">
      <c r="A92" s="286" t="str">
        <f t="shared" si="9"/>
        <v>INVALID</v>
      </c>
      <c r="B92" s="468">
        <f>'@Fan'!D20</f>
        <v>0</v>
      </c>
      <c r="C92" s="114">
        <f>'@Fan'!E20</f>
        <v>0</v>
      </c>
      <c r="D92" s="114" t="str">
        <f>'@Fan'!AL20</f>
        <v xml:space="preserve">fan with: , </v>
      </c>
    </row>
    <row r="93" spans="1:4" hidden="1" x14ac:dyDescent="0.4">
      <c r="A93" s="286" t="str">
        <f t="shared" si="9"/>
        <v>INVALID</v>
      </c>
      <c r="B93" s="468">
        <f>'@Fan'!D21</f>
        <v>0</v>
      </c>
      <c r="C93" s="114">
        <f>'@Fan'!E21</f>
        <v>0</v>
      </c>
      <c r="D93" s="114" t="str">
        <f>'@Fan'!AL21</f>
        <v xml:space="preserve">fan with: , </v>
      </c>
    </row>
    <row r="94" spans="1:4" hidden="1" x14ac:dyDescent="0.4">
      <c r="A94" s="385" t="str">
        <f t="shared" si="9"/>
        <v>INVALID</v>
      </c>
      <c r="B94" s="468">
        <f>'@Fan'!D22</f>
        <v>0</v>
      </c>
      <c r="C94" s="114">
        <f>'@Fan'!E22</f>
        <v>0</v>
      </c>
      <c r="D94" s="114" t="str">
        <f>'@Fan'!AL22</f>
        <v xml:space="preserve">fan with: , </v>
      </c>
    </row>
    <row r="95" spans="1:4" x14ac:dyDescent="0.4">
      <c r="A95" s="492" t="str">
        <f t="shared" si="9"/>
        <v>INVALID</v>
      </c>
      <c r="B95" s="497">
        <f>SUM(B96:B117)</f>
        <v>0</v>
      </c>
      <c r="C95" s="493">
        <f>SUM(C96:C117)</f>
        <v>0</v>
      </c>
      <c r="D95" s="499" t="s">
        <v>1244</v>
      </c>
    </row>
    <row r="96" spans="1:4" x14ac:dyDescent="0.4">
      <c r="A96" s="492" t="str">
        <f t="shared" si="9"/>
        <v>INVALID</v>
      </c>
      <c r="B96" s="498">
        <f>'@VRF'!D2</f>
        <v>0</v>
      </c>
      <c r="C96" s="117">
        <f>'@VRF'!E2</f>
        <v>0</v>
      </c>
      <c r="D96" s="231" t="str">
        <f>'@VRF'!AZ2</f>
        <v xml:space="preserve"> </v>
      </c>
    </row>
    <row r="97" spans="1:4" ht="29.15" x14ac:dyDescent="0.4">
      <c r="A97" s="492" t="str">
        <f t="shared" si="9"/>
        <v>INVALID</v>
      </c>
      <c r="B97" s="498">
        <f>'@VRF'!D3</f>
        <v>0</v>
      </c>
      <c r="C97" s="117">
        <f>'@VRF'!E3</f>
        <v>0</v>
      </c>
      <c r="D97" s="231" t="str">
        <f>'@VRF'!AZ3</f>
        <v xml:space="preserve"> </v>
      </c>
    </row>
    <row r="98" spans="1:4" x14ac:dyDescent="0.4">
      <c r="A98" s="492" t="str">
        <f t="shared" si="9"/>
        <v>INVALID</v>
      </c>
      <c r="B98" s="498">
        <f>'@VRF'!D4</f>
        <v>0</v>
      </c>
      <c r="C98" s="117">
        <f>'@VRF'!E4</f>
        <v>0</v>
      </c>
      <c r="D98" s="231" t="str">
        <f>'@VRF'!AZ4</f>
        <v xml:space="preserve"> </v>
      </c>
    </row>
    <row r="99" spans="1:4" ht="29.15" x14ac:dyDescent="0.4">
      <c r="A99" s="492" t="str">
        <f t="shared" si="9"/>
        <v>INVALID</v>
      </c>
      <c r="B99" s="498">
        <f>'@VRF'!D5</f>
        <v>0</v>
      </c>
      <c r="C99" s="117">
        <f>'@VRF'!E5</f>
        <v>0</v>
      </c>
      <c r="D99" s="231" t="s">
        <v>1346</v>
      </c>
    </row>
    <row r="100" spans="1:4" x14ac:dyDescent="0.4">
      <c r="A100" s="492" t="str">
        <f t="shared" si="9"/>
        <v>INVALID</v>
      </c>
      <c r="B100" s="498">
        <f>'@VRF'!D6</f>
        <v>0</v>
      </c>
      <c r="C100" s="117">
        <f>'@VRF'!E6</f>
        <v>0</v>
      </c>
      <c r="D100" s="231" t="str">
        <f>'@VRF'!AZ6</f>
        <v xml:space="preserve"> </v>
      </c>
    </row>
    <row r="101" spans="1:4" x14ac:dyDescent="0.4">
      <c r="A101" s="492" t="str">
        <f t="shared" si="9"/>
        <v>INVALID</v>
      </c>
      <c r="B101" s="498">
        <f>'@VRF'!D7</f>
        <v>0</v>
      </c>
      <c r="C101" s="117">
        <f>'@VRF'!E7</f>
        <v>0</v>
      </c>
      <c r="D101" s="231" t="str">
        <f>'@VRF'!AZ7</f>
        <v xml:space="preserve"> </v>
      </c>
    </row>
    <row r="102" spans="1:4" hidden="1" x14ac:dyDescent="0.4">
      <c r="A102" s="488" t="str">
        <f t="shared" si="9"/>
        <v>INVALID</v>
      </c>
      <c r="B102" s="468">
        <f>'@VRF'!D8</f>
        <v>0</v>
      </c>
      <c r="C102" s="114">
        <f>'@VRF'!E8</f>
        <v>0</v>
      </c>
      <c r="D102" s="114" t="str">
        <f>'@VRF'!AZ8</f>
        <v xml:space="preserve"> </v>
      </c>
    </row>
    <row r="103" spans="1:4" hidden="1" x14ac:dyDescent="0.4">
      <c r="A103" s="286" t="str">
        <f t="shared" si="9"/>
        <v>INVALID</v>
      </c>
      <c r="B103" s="468">
        <f>'@VRF'!D9</f>
        <v>0</v>
      </c>
      <c r="C103" s="114">
        <f>'@VRF'!E9</f>
        <v>0</v>
      </c>
      <c r="D103" s="114" t="str">
        <f>'@VRF'!AZ9</f>
        <v xml:space="preserve"> </v>
      </c>
    </row>
    <row r="104" spans="1:4" hidden="1" x14ac:dyDescent="0.4">
      <c r="A104" s="286" t="str">
        <f t="shared" si="9"/>
        <v>INVALID</v>
      </c>
      <c r="B104" s="468">
        <f>'@VRF'!D10</f>
        <v>0</v>
      </c>
      <c r="C104" s="114">
        <f>'@VRF'!E10</f>
        <v>0</v>
      </c>
      <c r="D104" s="114" t="str">
        <f>'@VRF'!AZ10</f>
        <v xml:space="preserve"> </v>
      </c>
    </row>
    <row r="105" spans="1:4" hidden="1" x14ac:dyDescent="0.4">
      <c r="A105" s="286" t="str">
        <f t="shared" si="9"/>
        <v>INVALID</v>
      </c>
      <c r="B105" s="468">
        <f>'@VRF'!D11</f>
        <v>0</v>
      </c>
      <c r="C105" s="114">
        <f>'@VRF'!E11</f>
        <v>0</v>
      </c>
      <c r="D105" s="114" t="str">
        <f>'@VRF'!AZ11</f>
        <v xml:space="preserve"> </v>
      </c>
    </row>
    <row r="106" spans="1:4" hidden="1" x14ac:dyDescent="0.4">
      <c r="A106" s="286" t="str">
        <f t="shared" si="9"/>
        <v>INVALID</v>
      </c>
      <c r="B106" s="468">
        <f>'@VRF'!D12</f>
        <v>0</v>
      </c>
      <c r="C106" s="114">
        <f>'@VRF'!E12</f>
        <v>0</v>
      </c>
      <c r="D106" s="114" t="str">
        <f>'@VRF'!AZ12</f>
        <v xml:space="preserve"> </v>
      </c>
    </row>
    <row r="107" spans="1:4" hidden="1" x14ac:dyDescent="0.4">
      <c r="A107" s="286" t="str">
        <f t="shared" si="9"/>
        <v>INVALID</v>
      </c>
      <c r="B107" s="468">
        <f>'@VRF'!D13</f>
        <v>0</v>
      </c>
      <c r="C107" s="114">
        <f>'@VRF'!E13</f>
        <v>0</v>
      </c>
      <c r="D107" s="114" t="str">
        <f>'@VRF'!AZ13</f>
        <v xml:space="preserve"> </v>
      </c>
    </row>
    <row r="108" spans="1:4" hidden="1" x14ac:dyDescent="0.4">
      <c r="A108" s="286" t="str">
        <f t="shared" si="9"/>
        <v>INVALID</v>
      </c>
      <c r="B108" s="468">
        <f>'@VRF'!D14</f>
        <v>0</v>
      </c>
      <c r="C108" s="114">
        <f>'@VRF'!E14</f>
        <v>0</v>
      </c>
      <c r="D108" s="114" t="str">
        <f>'@VRF'!AZ14</f>
        <v xml:space="preserve"> </v>
      </c>
    </row>
    <row r="109" spans="1:4" hidden="1" x14ac:dyDescent="0.4">
      <c r="A109" s="286" t="str">
        <f t="shared" si="9"/>
        <v>INVALID</v>
      </c>
      <c r="B109" s="468">
        <f>'@VRF'!D15</f>
        <v>0</v>
      </c>
      <c r="C109" s="114">
        <f>'@VRF'!E15</f>
        <v>0</v>
      </c>
      <c r="D109" s="114" t="str">
        <f>'@VRF'!AZ15</f>
        <v xml:space="preserve"> </v>
      </c>
    </row>
    <row r="110" spans="1:4" hidden="1" x14ac:dyDescent="0.4">
      <c r="A110" s="286" t="str">
        <f t="shared" si="9"/>
        <v>INVALID</v>
      </c>
      <c r="B110" s="468">
        <f>'@VRF'!D16</f>
        <v>0</v>
      </c>
      <c r="C110" s="114">
        <f>'@VRF'!E16</f>
        <v>0</v>
      </c>
      <c r="D110" s="114" t="str">
        <f>'@VRF'!AZ16</f>
        <v xml:space="preserve"> </v>
      </c>
    </row>
    <row r="111" spans="1:4" hidden="1" x14ac:dyDescent="0.4">
      <c r="A111" s="286" t="str">
        <f t="shared" si="9"/>
        <v>INVALID</v>
      </c>
      <c r="B111" s="468">
        <f>'@VRF'!D17</f>
        <v>0</v>
      </c>
      <c r="C111" s="114">
        <f>'@VRF'!E17</f>
        <v>0</v>
      </c>
      <c r="D111" s="114" t="str">
        <f>'@VRF'!AZ17</f>
        <v xml:space="preserve"> </v>
      </c>
    </row>
    <row r="112" spans="1:4" hidden="1" x14ac:dyDescent="0.4">
      <c r="A112" s="286" t="str">
        <f t="shared" si="9"/>
        <v>INVALID</v>
      </c>
      <c r="B112" s="468">
        <f>'@VRF'!D18</f>
        <v>0</v>
      </c>
      <c r="C112" s="114">
        <f>'@VRF'!E18</f>
        <v>0</v>
      </c>
      <c r="D112" s="114" t="str">
        <f>'@VRF'!AZ18</f>
        <v xml:space="preserve"> </v>
      </c>
    </row>
    <row r="113" spans="1:4" hidden="1" x14ac:dyDescent="0.4">
      <c r="A113" s="286" t="str">
        <f t="shared" si="9"/>
        <v>INVALID</v>
      </c>
      <c r="B113" s="468">
        <f>'@VRF'!D19</f>
        <v>0</v>
      </c>
      <c r="C113" s="114">
        <f>'@VRF'!E19</f>
        <v>0</v>
      </c>
      <c r="D113" s="114" t="str">
        <f>'@VRF'!AZ19</f>
        <v xml:space="preserve"> </v>
      </c>
    </row>
    <row r="114" spans="1:4" hidden="1" x14ac:dyDescent="0.4">
      <c r="A114" s="286" t="str">
        <f t="shared" si="9"/>
        <v>INVALID</v>
      </c>
      <c r="B114" s="468">
        <f>'@VRF'!D20</f>
        <v>0</v>
      </c>
      <c r="C114" s="114">
        <f>'@VRF'!E20</f>
        <v>0</v>
      </c>
      <c r="D114" s="114" t="str">
        <f>'@VRF'!AZ20</f>
        <v xml:space="preserve"> </v>
      </c>
    </row>
    <row r="115" spans="1:4" hidden="1" x14ac:dyDescent="0.4">
      <c r="A115" s="286" t="str">
        <f t="shared" si="9"/>
        <v>INVALID</v>
      </c>
      <c r="B115" s="468">
        <f>'@VRF'!D21</f>
        <v>0</v>
      </c>
      <c r="C115" s="114">
        <f>'@VRF'!E21</f>
        <v>0</v>
      </c>
      <c r="D115" s="114" t="str">
        <f>'@VRF'!AZ21</f>
        <v xml:space="preserve"> </v>
      </c>
    </row>
    <row r="116" spans="1:4" hidden="1" x14ac:dyDescent="0.4">
      <c r="A116" s="286" t="str">
        <f t="shared" ref="A116:A165" si="10">IF(C116&gt;0, "", "INVALID")</f>
        <v>INVALID</v>
      </c>
      <c r="B116" s="468">
        <f>'@VRF'!D22</f>
        <v>0</v>
      </c>
      <c r="C116" s="114">
        <f>'@VRF'!E22</f>
        <v>0</v>
      </c>
      <c r="D116" s="114" t="str">
        <f>'@VRF'!AZ22</f>
        <v xml:space="preserve"> </v>
      </c>
    </row>
    <row r="117" spans="1:4" hidden="1" x14ac:dyDescent="0.4">
      <c r="A117" s="286" t="str">
        <f t="shared" si="10"/>
        <v>INVALID</v>
      </c>
      <c r="B117" s="468">
        <f>'@VRF'!D23</f>
        <v>0</v>
      </c>
      <c r="C117" s="114">
        <f>'@VRF'!E23</f>
        <v>0</v>
      </c>
      <c r="D117" s="114" t="str">
        <f>'@VRF'!AZ23</f>
        <v/>
      </c>
    </row>
    <row r="118" spans="1:4" hidden="1" x14ac:dyDescent="0.4">
      <c r="A118" s="286" t="str">
        <f t="shared" si="10"/>
        <v>INVALID</v>
      </c>
      <c r="B118" s="469">
        <f>SUM(B119:B139)</f>
        <v>0</v>
      </c>
      <c r="C118" s="471">
        <f>SUM(C119:C139)</f>
        <v>0</v>
      </c>
      <c r="D118" s="286" t="s">
        <v>1339</v>
      </c>
    </row>
    <row r="119" spans="1:4" hidden="1" x14ac:dyDescent="0.4">
      <c r="A119" s="286" t="str">
        <f t="shared" si="10"/>
        <v>INVALID</v>
      </c>
      <c r="B119" s="468">
        <f>'@Chiller'!D2</f>
        <v>0</v>
      </c>
      <c r="C119" s="114">
        <f>'@Chiller'!E2</f>
        <v>0</v>
      </c>
      <c r="D119" s="114" t="e">
        <f>'@Chiller'!AS2</f>
        <v>#N/A</v>
      </c>
    </row>
    <row r="120" spans="1:4" hidden="1" x14ac:dyDescent="0.4">
      <c r="A120" s="286" t="str">
        <f t="shared" si="10"/>
        <v>INVALID</v>
      </c>
      <c r="B120" s="468">
        <f>'@Chiller'!D3</f>
        <v>0</v>
      </c>
      <c r="C120" s="114">
        <f>'@Chiller'!E3</f>
        <v>0</v>
      </c>
      <c r="D120" s="114" t="e">
        <f>'@Chiller'!AS3</f>
        <v>#N/A</v>
      </c>
    </row>
    <row r="121" spans="1:4" hidden="1" x14ac:dyDescent="0.4">
      <c r="A121" s="286" t="str">
        <f t="shared" si="10"/>
        <v>INVALID</v>
      </c>
      <c r="B121" s="468">
        <f>'@Chiller'!D4</f>
        <v>0</v>
      </c>
      <c r="C121" s="114">
        <f>'@Chiller'!E4</f>
        <v>0</v>
      </c>
      <c r="D121" s="114" t="e">
        <f>'@Chiller'!AS4</f>
        <v>#N/A</v>
      </c>
    </row>
    <row r="122" spans="1:4" hidden="1" x14ac:dyDescent="0.4">
      <c r="A122" s="286" t="str">
        <f t="shared" si="10"/>
        <v>INVALID</v>
      </c>
      <c r="B122" s="468">
        <f>'@Chiller'!D5</f>
        <v>0</v>
      </c>
      <c r="C122" s="114">
        <f>'@Chiller'!E5</f>
        <v>0</v>
      </c>
      <c r="D122" s="114" t="e">
        <f>'@Chiller'!AS5</f>
        <v>#N/A</v>
      </c>
    </row>
    <row r="123" spans="1:4" hidden="1" x14ac:dyDescent="0.4">
      <c r="A123" s="286" t="str">
        <f t="shared" si="10"/>
        <v>INVALID</v>
      </c>
      <c r="B123" s="468">
        <f>'@Chiller'!D6</f>
        <v>0</v>
      </c>
      <c r="C123" s="114">
        <f>'@Chiller'!E6</f>
        <v>0</v>
      </c>
      <c r="D123" s="114" t="e">
        <f>'@Chiller'!AS6</f>
        <v>#N/A</v>
      </c>
    </row>
    <row r="124" spans="1:4" hidden="1" x14ac:dyDescent="0.4">
      <c r="A124" s="286" t="str">
        <f t="shared" si="10"/>
        <v>INVALID</v>
      </c>
      <c r="B124" s="468">
        <f>'@Chiller'!D7</f>
        <v>0</v>
      </c>
      <c r="C124" s="114">
        <f>'@Chiller'!E7</f>
        <v>0</v>
      </c>
      <c r="D124" s="114" t="e">
        <f>'@Chiller'!AS7</f>
        <v>#N/A</v>
      </c>
    </row>
    <row r="125" spans="1:4" hidden="1" x14ac:dyDescent="0.4">
      <c r="A125" s="286" t="str">
        <f t="shared" si="10"/>
        <v>INVALID</v>
      </c>
      <c r="B125" s="468">
        <f>'@Chiller'!D8</f>
        <v>0</v>
      </c>
      <c r="C125" s="114">
        <f>'@Chiller'!E8</f>
        <v>0</v>
      </c>
      <c r="D125" s="114" t="e">
        <f>'@Chiller'!AS8</f>
        <v>#N/A</v>
      </c>
    </row>
    <row r="126" spans="1:4" hidden="1" x14ac:dyDescent="0.4">
      <c r="A126" s="286" t="str">
        <f t="shared" si="10"/>
        <v>INVALID</v>
      </c>
      <c r="B126" s="468">
        <f>'@Chiller'!D9</f>
        <v>0</v>
      </c>
      <c r="C126" s="114">
        <f>'@Chiller'!E9</f>
        <v>0</v>
      </c>
      <c r="D126" s="114" t="e">
        <f>'@Chiller'!AS9</f>
        <v>#N/A</v>
      </c>
    </row>
    <row r="127" spans="1:4" hidden="1" x14ac:dyDescent="0.4">
      <c r="A127" s="286" t="str">
        <f t="shared" si="10"/>
        <v>INVALID</v>
      </c>
      <c r="B127" s="468">
        <f>'@Chiller'!D10</f>
        <v>0</v>
      </c>
      <c r="C127" s="114">
        <f>'@Chiller'!E10</f>
        <v>0</v>
      </c>
      <c r="D127" s="114" t="e">
        <f>'@Chiller'!AS10</f>
        <v>#N/A</v>
      </c>
    </row>
    <row r="128" spans="1:4" hidden="1" x14ac:dyDescent="0.4">
      <c r="A128" s="286" t="str">
        <f t="shared" si="10"/>
        <v>INVALID</v>
      </c>
      <c r="B128" s="468">
        <f>'@Chiller'!D11</f>
        <v>0</v>
      </c>
      <c r="C128" s="114">
        <f>'@Chiller'!E11</f>
        <v>0</v>
      </c>
      <c r="D128" s="114" t="e">
        <f>'@Chiller'!AS11</f>
        <v>#N/A</v>
      </c>
    </row>
    <row r="129" spans="1:4" hidden="1" x14ac:dyDescent="0.4">
      <c r="A129" s="286" t="str">
        <f t="shared" si="10"/>
        <v>INVALID</v>
      </c>
      <c r="B129" s="468">
        <f>'@Chiller'!D12</f>
        <v>0</v>
      </c>
      <c r="C129" s="114">
        <f>'@Chiller'!E12</f>
        <v>0</v>
      </c>
      <c r="D129" s="114" t="e">
        <f>'@Chiller'!AS12</f>
        <v>#N/A</v>
      </c>
    </row>
    <row r="130" spans="1:4" hidden="1" x14ac:dyDescent="0.4">
      <c r="A130" s="286" t="str">
        <f t="shared" si="10"/>
        <v>INVALID</v>
      </c>
      <c r="B130" s="468">
        <f>'@Chiller'!D13</f>
        <v>0</v>
      </c>
      <c r="C130" s="114">
        <f>'@Chiller'!E13</f>
        <v>0</v>
      </c>
      <c r="D130" s="114" t="e">
        <f>'@Chiller'!AS13</f>
        <v>#N/A</v>
      </c>
    </row>
    <row r="131" spans="1:4" hidden="1" x14ac:dyDescent="0.4">
      <c r="A131" s="286" t="str">
        <f t="shared" si="10"/>
        <v>INVALID</v>
      </c>
      <c r="B131" s="468">
        <f>'@Chiller'!D14</f>
        <v>0</v>
      </c>
      <c r="C131" s="114">
        <f>'@Chiller'!E14</f>
        <v>0</v>
      </c>
      <c r="D131" s="114" t="e">
        <f>'@Chiller'!AS14</f>
        <v>#N/A</v>
      </c>
    </row>
    <row r="132" spans="1:4" hidden="1" x14ac:dyDescent="0.4">
      <c r="A132" s="286" t="str">
        <f t="shared" si="10"/>
        <v>INVALID</v>
      </c>
      <c r="B132" s="468">
        <f>'@Chiller'!D15</f>
        <v>0</v>
      </c>
      <c r="C132" s="114">
        <f>'@Chiller'!E15</f>
        <v>0</v>
      </c>
      <c r="D132" s="114" t="e">
        <f>'@Chiller'!AS15</f>
        <v>#N/A</v>
      </c>
    </row>
    <row r="133" spans="1:4" hidden="1" x14ac:dyDescent="0.4">
      <c r="A133" s="286" t="str">
        <f t="shared" si="10"/>
        <v>INVALID</v>
      </c>
      <c r="B133" s="468">
        <f>'@Chiller'!D16</f>
        <v>0</v>
      </c>
      <c r="C133" s="114">
        <f>'@Chiller'!E16</f>
        <v>0</v>
      </c>
      <c r="D133" s="114" t="e">
        <f>'@Chiller'!AS16</f>
        <v>#N/A</v>
      </c>
    </row>
    <row r="134" spans="1:4" hidden="1" x14ac:dyDescent="0.4">
      <c r="A134" s="286" t="str">
        <f t="shared" si="10"/>
        <v>INVALID</v>
      </c>
      <c r="B134" s="468">
        <f>'@Chiller'!D17</f>
        <v>0</v>
      </c>
      <c r="C134" s="114">
        <f>'@Chiller'!E17</f>
        <v>0</v>
      </c>
      <c r="D134" s="114" t="e">
        <f>'@Chiller'!AS17</f>
        <v>#N/A</v>
      </c>
    </row>
    <row r="135" spans="1:4" hidden="1" x14ac:dyDescent="0.4">
      <c r="A135" s="286" t="str">
        <f t="shared" si="10"/>
        <v>INVALID</v>
      </c>
      <c r="B135" s="468">
        <f>'@Chiller'!D18</f>
        <v>0</v>
      </c>
      <c r="C135" s="114">
        <f>'@Chiller'!E18</f>
        <v>0</v>
      </c>
      <c r="D135" s="114" t="e">
        <f>'@Chiller'!AS18</f>
        <v>#N/A</v>
      </c>
    </row>
    <row r="136" spans="1:4" hidden="1" x14ac:dyDescent="0.4">
      <c r="A136" s="286" t="str">
        <f t="shared" si="10"/>
        <v>INVALID</v>
      </c>
      <c r="B136" s="468">
        <f>'@Chiller'!D19</f>
        <v>0</v>
      </c>
      <c r="C136" s="114">
        <f>'@Chiller'!E19</f>
        <v>0</v>
      </c>
      <c r="D136" s="114" t="e">
        <f>'@Chiller'!AS19</f>
        <v>#N/A</v>
      </c>
    </row>
    <row r="137" spans="1:4" hidden="1" x14ac:dyDescent="0.4">
      <c r="A137" s="286" t="str">
        <f t="shared" si="10"/>
        <v>INVALID</v>
      </c>
      <c r="B137" s="468">
        <f>'@Chiller'!D20</f>
        <v>0</v>
      </c>
      <c r="C137" s="114">
        <f>'@Chiller'!E20</f>
        <v>0</v>
      </c>
      <c r="D137" s="114" t="e">
        <f>'@Chiller'!AS20</f>
        <v>#N/A</v>
      </c>
    </row>
    <row r="138" spans="1:4" hidden="1" x14ac:dyDescent="0.4">
      <c r="A138" s="286" t="str">
        <f t="shared" si="10"/>
        <v>INVALID</v>
      </c>
      <c r="B138" s="468">
        <f>'@Chiller'!D21</f>
        <v>0</v>
      </c>
      <c r="C138" s="114">
        <f>'@Chiller'!E21</f>
        <v>0</v>
      </c>
      <c r="D138" s="114" t="e">
        <f>'@Chiller'!AS21</f>
        <v>#N/A</v>
      </c>
    </row>
    <row r="139" spans="1:4" hidden="1" x14ac:dyDescent="0.4">
      <c r="A139" s="286" t="str">
        <f t="shared" si="10"/>
        <v>INVALID</v>
      </c>
      <c r="B139" s="468">
        <f>'@Chiller'!D22</f>
        <v>0</v>
      </c>
      <c r="C139" s="114">
        <f>'@Chiller'!E22</f>
        <v>0</v>
      </c>
      <c r="D139" s="114" t="e">
        <f>'@Chiller'!AS22</f>
        <v>#N/A</v>
      </c>
    </row>
    <row r="140" spans="1:4" hidden="1" x14ac:dyDescent="0.4">
      <c r="A140" s="286" t="str">
        <f t="shared" si="10"/>
        <v>INVALID</v>
      </c>
      <c r="B140" s="469">
        <f>SUM(B141:B161)</f>
        <v>0</v>
      </c>
      <c r="C140" s="471">
        <f>SUM(C141:C161)</f>
        <v>0</v>
      </c>
      <c r="D140" s="286" t="s">
        <v>680</v>
      </c>
    </row>
    <row r="141" spans="1:4" hidden="1" x14ac:dyDescent="0.4">
      <c r="A141" s="286" t="str">
        <f t="shared" si="10"/>
        <v>INVALID</v>
      </c>
      <c r="B141" s="468">
        <f>'@Other'!D2</f>
        <v>0</v>
      </c>
      <c r="C141" s="114">
        <f>'@Other'!E2</f>
        <v>0</v>
      </c>
      <c r="D141" s="114" t="str">
        <f>'@Other'!AE2</f>
        <v xml:space="preserve">FALSE with: </v>
      </c>
    </row>
    <row r="142" spans="1:4" hidden="1" x14ac:dyDescent="0.4">
      <c r="A142" s="286" t="str">
        <f t="shared" si="10"/>
        <v>INVALID</v>
      </c>
      <c r="B142" s="468">
        <f>'@Other'!D3</f>
        <v>0</v>
      </c>
      <c r="C142" s="114">
        <f>'@Other'!E3</f>
        <v>0</v>
      </c>
      <c r="D142" s="114" t="str">
        <f>'@Other'!AE3</f>
        <v xml:space="preserve">FALSE with: </v>
      </c>
    </row>
    <row r="143" spans="1:4" hidden="1" x14ac:dyDescent="0.4">
      <c r="A143" s="286" t="str">
        <f t="shared" si="10"/>
        <v>INVALID</v>
      </c>
      <c r="B143" s="468">
        <f>'@Other'!D4</f>
        <v>0</v>
      </c>
      <c r="C143" s="114">
        <f>'@Other'!E4</f>
        <v>0</v>
      </c>
      <c r="D143" s="114" t="str">
        <f>'@Other'!AE4</f>
        <v xml:space="preserve">FALSE with: </v>
      </c>
    </row>
    <row r="144" spans="1:4" hidden="1" x14ac:dyDescent="0.4">
      <c r="A144" s="286" t="str">
        <f t="shared" si="10"/>
        <v>INVALID</v>
      </c>
      <c r="B144" s="468">
        <f>'@Other'!D5</f>
        <v>0</v>
      </c>
      <c r="C144" s="114">
        <f>'@Other'!E5</f>
        <v>0</v>
      </c>
      <c r="D144" s="114" t="str">
        <f>'@Other'!AE5</f>
        <v xml:space="preserve">FALSE with: </v>
      </c>
    </row>
    <row r="145" spans="1:4" hidden="1" x14ac:dyDescent="0.4">
      <c r="A145" s="286" t="str">
        <f t="shared" si="10"/>
        <v>INVALID</v>
      </c>
      <c r="B145" s="468">
        <f>'@Other'!D6</f>
        <v>0</v>
      </c>
      <c r="C145" s="114">
        <f>'@Other'!E6</f>
        <v>0</v>
      </c>
      <c r="D145" s="114" t="str">
        <f>'@Other'!AE6</f>
        <v xml:space="preserve">FALSE with: </v>
      </c>
    </row>
    <row r="146" spans="1:4" hidden="1" x14ac:dyDescent="0.4">
      <c r="A146" s="286" t="str">
        <f t="shared" si="10"/>
        <v>INVALID</v>
      </c>
      <c r="B146" s="468">
        <f>'@Other'!D7</f>
        <v>0</v>
      </c>
      <c r="C146" s="114">
        <f>'@Other'!E7</f>
        <v>0</v>
      </c>
      <c r="D146" s="114" t="str">
        <f>'@Other'!AE7</f>
        <v xml:space="preserve">FALSE with: </v>
      </c>
    </row>
    <row r="147" spans="1:4" hidden="1" x14ac:dyDescent="0.4">
      <c r="A147" s="286" t="str">
        <f t="shared" si="10"/>
        <v>INVALID</v>
      </c>
      <c r="B147" s="468">
        <f>'@Other'!D8</f>
        <v>0</v>
      </c>
      <c r="C147" s="114">
        <f>'@Other'!E8</f>
        <v>0</v>
      </c>
      <c r="D147" s="114" t="str">
        <f>'@Other'!AE8</f>
        <v xml:space="preserve">FALSE with: </v>
      </c>
    </row>
    <row r="148" spans="1:4" hidden="1" x14ac:dyDescent="0.4">
      <c r="A148" s="286" t="str">
        <f t="shared" si="10"/>
        <v>INVALID</v>
      </c>
      <c r="B148" s="468">
        <f>'@Other'!D9</f>
        <v>0</v>
      </c>
      <c r="C148" s="114">
        <f>'@Other'!E9</f>
        <v>0</v>
      </c>
      <c r="D148" s="114" t="str">
        <f>'@Other'!AE9</f>
        <v xml:space="preserve">FALSE with: </v>
      </c>
    </row>
    <row r="149" spans="1:4" hidden="1" x14ac:dyDescent="0.4">
      <c r="A149" s="286" t="str">
        <f t="shared" si="10"/>
        <v>INVALID</v>
      </c>
      <c r="B149" s="468">
        <f>'@Other'!D10</f>
        <v>0</v>
      </c>
      <c r="C149" s="114">
        <f>'@Other'!E10</f>
        <v>0</v>
      </c>
      <c r="D149" s="114" t="str">
        <f>'@Other'!AE10</f>
        <v xml:space="preserve">FALSE with: </v>
      </c>
    </row>
    <row r="150" spans="1:4" hidden="1" x14ac:dyDescent="0.4">
      <c r="A150" s="286" t="str">
        <f t="shared" si="10"/>
        <v>INVALID</v>
      </c>
      <c r="B150" s="468">
        <f>'@Other'!D11</f>
        <v>0</v>
      </c>
      <c r="C150" s="114">
        <f>'@Other'!E11</f>
        <v>0</v>
      </c>
      <c r="D150" s="114" t="str">
        <f>'@Other'!AE11</f>
        <v xml:space="preserve">FALSE with: </v>
      </c>
    </row>
    <row r="151" spans="1:4" hidden="1" x14ac:dyDescent="0.4">
      <c r="A151" s="286" t="str">
        <f t="shared" si="10"/>
        <v>INVALID</v>
      </c>
      <c r="B151" s="468">
        <f>'@Other'!D12</f>
        <v>0</v>
      </c>
      <c r="C151" s="114">
        <f>'@Other'!E12</f>
        <v>0</v>
      </c>
      <c r="D151" s="114" t="str">
        <f>'@Other'!AE12</f>
        <v xml:space="preserve">FALSE with: </v>
      </c>
    </row>
    <row r="152" spans="1:4" hidden="1" x14ac:dyDescent="0.4">
      <c r="A152" s="286" t="str">
        <f t="shared" si="10"/>
        <v>INVALID</v>
      </c>
      <c r="B152" s="468">
        <f>'@Other'!D13</f>
        <v>0</v>
      </c>
      <c r="C152" s="114">
        <f>'@Other'!E13</f>
        <v>0</v>
      </c>
      <c r="D152" s="114" t="str">
        <f>'@Other'!AE13</f>
        <v xml:space="preserve">FALSE with: </v>
      </c>
    </row>
    <row r="153" spans="1:4" hidden="1" x14ac:dyDescent="0.4">
      <c r="A153" s="286" t="str">
        <f t="shared" si="10"/>
        <v>INVALID</v>
      </c>
      <c r="B153" s="468">
        <f>'@Other'!D14</f>
        <v>0</v>
      </c>
      <c r="C153" s="114">
        <f>'@Other'!E14</f>
        <v>0</v>
      </c>
      <c r="D153" s="114" t="str">
        <f>'@Other'!AE14</f>
        <v xml:space="preserve">FALSE with: </v>
      </c>
    </row>
    <row r="154" spans="1:4" hidden="1" x14ac:dyDescent="0.4">
      <c r="A154" s="286" t="str">
        <f t="shared" si="10"/>
        <v>INVALID</v>
      </c>
      <c r="B154" s="468">
        <f>'@Other'!D15</f>
        <v>0</v>
      </c>
      <c r="C154" s="114">
        <f>'@Other'!E15</f>
        <v>0</v>
      </c>
      <c r="D154" s="114" t="str">
        <f>'@Other'!AE15</f>
        <v xml:space="preserve">FALSE with: </v>
      </c>
    </row>
    <row r="155" spans="1:4" hidden="1" x14ac:dyDescent="0.4">
      <c r="A155" s="286" t="str">
        <f t="shared" si="10"/>
        <v>INVALID</v>
      </c>
      <c r="B155" s="468">
        <f>'@Other'!D16</f>
        <v>0</v>
      </c>
      <c r="C155" s="114">
        <f>'@Other'!E16</f>
        <v>0</v>
      </c>
      <c r="D155" s="114" t="str">
        <f>'@Other'!AE16</f>
        <v xml:space="preserve">FALSE with: </v>
      </c>
    </row>
    <row r="156" spans="1:4" hidden="1" x14ac:dyDescent="0.4">
      <c r="A156" s="286" t="str">
        <f t="shared" si="10"/>
        <v>INVALID</v>
      </c>
      <c r="B156" s="468">
        <f>'@Other'!D17</f>
        <v>0</v>
      </c>
      <c r="C156" s="114">
        <f>'@Other'!E17</f>
        <v>0</v>
      </c>
      <c r="D156" s="114" t="str">
        <f>'@Other'!AE17</f>
        <v xml:space="preserve">FALSE with: </v>
      </c>
    </row>
    <row r="157" spans="1:4" hidden="1" x14ac:dyDescent="0.4">
      <c r="A157" s="286" t="str">
        <f t="shared" si="10"/>
        <v>INVALID</v>
      </c>
      <c r="B157" s="468">
        <f>'@Other'!D18</f>
        <v>0</v>
      </c>
      <c r="C157" s="114">
        <f>'@Other'!E18</f>
        <v>0</v>
      </c>
      <c r="D157" s="114" t="str">
        <f>'@Other'!AE18</f>
        <v xml:space="preserve">FALSE with: </v>
      </c>
    </row>
    <row r="158" spans="1:4" hidden="1" x14ac:dyDescent="0.4">
      <c r="A158" s="286" t="str">
        <f t="shared" si="10"/>
        <v>INVALID</v>
      </c>
      <c r="B158" s="468">
        <f>'@Other'!D19</f>
        <v>0</v>
      </c>
      <c r="C158" s="114">
        <f>'@Other'!E19</f>
        <v>0</v>
      </c>
      <c r="D158" s="114" t="str">
        <f>'@Other'!AE19</f>
        <v xml:space="preserve">FALSE with: </v>
      </c>
    </row>
    <row r="159" spans="1:4" hidden="1" x14ac:dyDescent="0.4">
      <c r="A159" s="286" t="str">
        <f t="shared" si="10"/>
        <v>INVALID</v>
      </c>
      <c r="B159" s="468">
        <f>'@Other'!D20</f>
        <v>0</v>
      </c>
      <c r="C159" s="114">
        <f>'@Other'!E20</f>
        <v>0</v>
      </c>
      <c r="D159" s="114" t="str">
        <f>'@Other'!AE20</f>
        <v xml:space="preserve">FALSE with: </v>
      </c>
    </row>
    <row r="160" spans="1:4" hidden="1" x14ac:dyDescent="0.4">
      <c r="A160" s="286" t="str">
        <f t="shared" si="10"/>
        <v>INVALID</v>
      </c>
      <c r="B160" s="468">
        <f>'@Other'!D21</f>
        <v>0</v>
      </c>
      <c r="C160" s="114">
        <f>'@Other'!E21</f>
        <v>0</v>
      </c>
      <c r="D160" s="114" t="str">
        <f>'@Other'!AE21</f>
        <v xml:space="preserve">FALSE with: </v>
      </c>
    </row>
    <row r="161" spans="1:4" hidden="1" x14ac:dyDescent="0.4">
      <c r="A161" s="286" t="str">
        <f t="shared" si="10"/>
        <v>INVALID</v>
      </c>
      <c r="B161" s="468">
        <f>'@Other'!D22</f>
        <v>0</v>
      </c>
      <c r="C161" s="114">
        <f>'@Other'!E22</f>
        <v>0</v>
      </c>
      <c r="D161" s="114" t="str">
        <f>'@Other'!AE22</f>
        <v xml:space="preserve">FALSE with: </v>
      </c>
    </row>
    <row r="162" spans="1:4" hidden="1" x14ac:dyDescent="0.4">
      <c r="A162" s="286" t="str">
        <f t="shared" si="10"/>
        <v>INVALID</v>
      </c>
      <c r="B162" s="469">
        <f>SUM(B163:B165)</f>
        <v>0</v>
      </c>
      <c r="C162" s="471">
        <f>SUM(C163:C165)</f>
        <v>0</v>
      </c>
      <c r="D162" s="286" t="s">
        <v>1342</v>
      </c>
    </row>
    <row r="163" spans="1:4" hidden="1" x14ac:dyDescent="0.4">
      <c r="A163" s="286" t="str">
        <f t="shared" si="10"/>
        <v>INVALID</v>
      </c>
      <c r="B163" s="468">
        <f>'@Car Park'!C30</f>
        <v>0</v>
      </c>
      <c r="C163">
        <f>'@Car Park'!C1</f>
        <v>0</v>
      </c>
      <c r="D163" s="114" t="str">
        <f>'@Car Park'!B1</f>
        <v>CO Sensors</v>
      </c>
    </row>
    <row r="164" spans="1:4" hidden="1" x14ac:dyDescent="0.4">
      <c r="A164" s="286" t="str">
        <f t="shared" si="10"/>
        <v>INVALID</v>
      </c>
      <c r="B164" s="468">
        <f>'@Car Park'!C26-'@Car Park'!C30</f>
        <v>0</v>
      </c>
      <c r="C164" s="114">
        <f>'@Car Park'!C2</f>
        <v>0</v>
      </c>
      <c r="D164" s="114" t="str">
        <f>'@Car Park'!B2</f>
        <v>Carpark Fans</v>
      </c>
    </row>
    <row r="165" spans="1:4" hidden="1" x14ac:dyDescent="0.4">
      <c r="A165" s="286" t="str">
        <f t="shared" si="10"/>
        <v>INVALID</v>
      </c>
      <c r="B165" s="468">
        <f>'@Car Park'!C63</f>
        <v>0</v>
      </c>
      <c r="C165" s="114">
        <f>'@Car Park'!C4</f>
        <v>0</v>
      </c>
      <c r="D165" s="114" t="str">
        <f>'@Car Park'!B4</f>
        <v>Pump Fans</v>
      </c>
    </row>
  </sheetData>
  <autoFilter ref="A49:D165" xr:uid="{065AB3B1-2324-42B1-904B-5A76B116C723}">
    <filterColumn colId="0">
      <filters blank="1">
        <filter val="JOB TOTAL"/>
      </filters>
    </filterColumn>
  </autoFilter>
  <mergeCells count="3">
    <mergeCell ref="Q1:U1"/>
    <mergeCell ref="Q2:U14"/>
    <mergeCell ref="D4:I4"/>
  </mergeCells>
  <conditionalFormatting sqref="D6:O6">
    <cfRule type="expression" dxfId="512" priority="9">
      <formula>IF(ROW() = ROW(), TRUE, FALSE)</formula>
    </cfRule>
  </conditionalFormatting>
  <conditionalFormatting sqref="E16:G16">
    <cfRule type="expression" dxfId="511" priority="4">
      <formula>IF(ROW() = ROW(), TRUE, FALSE)</formula>
    </cfRule>
  </conditionalFormatting>
  <conditionalFormatting sqref="D17">
    <cfRule type="expression" dxfId="510" priority="3">
      <formula>IF(ROW() = ROW(), TRUE, FALSE)</formula>
    </cfRule>
  </conditionalFormatting>
  <conditionalFormatting sqref="G1:H1">
    <cfRule type="expression" dxfId="509" priority="2">
      <formula>IF(ROW() = ROW(), TRUE, FALSE)</formula>
    </cfRule>
  </conditionalFormatting>
  <conditionalFormatting sqref="F17">
    <cfRule type="expression" dxfId="508" priority="1">
      <formula>IF(ROW() = ROW(), TRUE, FALSE)</formula>
    </cfRule>
  </conditionalFormatting>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D1" workbookViewId="0">
      <pane ySplit="1" topLeftCell="A72" activePane="bottomLeft" state="frozen"/>
      <selection pane="bottomLeft" activeCell="I75" sqref="I75"/>
    </sheetView>
  </sheetViews>
  <sheetFormatPr defaultRowHeight="14.6" x14ac:dyDescent="0.4"/>
  <cols>
    <col min="1" max="1" width="18.3046875" customWidth="1"/>
    <col min="2" max="2" width="42.3046875" customWidth="1"/>
    <col min="3" max="3" width="16.84375" customWidth="1"/>
    <col min="6" max="6" width="22.152343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741</v>
      </c>
      <c r="J1" s="299" t="s">
        <v>742</v>
      </c>
      <c r="K1" s="299" t="s">
        <v>743</v>
      </c>
      <c r="L1" s="299" t="s">
        <v>791</v>
      </c>
      <c r="M1" s="299" t="s">
        <v>793</v>
      </c>
      <c r="N1" s="33" t="s">
        <v>751</v>
      </c>
      <c r="O1" s="295" t="s">
        <v>792</v>
      </c>
      <c r="P1" s="299" t="s">
        <v>750</v>
      </c>
      <c r="R1" s="299" t="s">
        <v>741</v>
      </c>
      <c r="S1" s="33" t="s">
        <v>751</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740</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744</v>
      </c>
      <c r="K48" s="297" t="s">
        <v>748</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756</v>
      </c>
      <c r="K49" s="297" t="s">
        <v>762</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745</v>
      </c>
      <c r="K50" s="297" t="s">
        <v>748</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746</v>
      </c>
      <c r="K54" s="297" t="s">
        <v>747</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759</v>
      </c>
      <c r="K56" s="297" t="s">
        <v>763</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770</v>
      </c>
      <c r="K57" s="297" t="s">
        <v>760</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758</v>
      </c>
      <c r="K58" s="297" t="s">
        <v>763</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757</v>
      </c>
      <c r="K59" s="297" t="s">
        <v>763</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778</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778</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771</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771</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771</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771</v>
      </c>
      <c r="R65" s="114">
        <f t="shared" si="2"/>
        <v>0</v>
      </c>
      <c r="S65" s="114">
        <f t="shared" si="3"/>
        <v>0</v>
      </c>
    </row>
    <row r="66" spans="2:19" x14ac:dyDescent="0.4">
      <c r="B66" s="43" t="s">
        <v>260</v>
      </c>
      <c r="C66" s="136">
        <f t="shared" si="4"/>
        <v>56.4</v>
      </c>
      <c r="D66" s="44"/>
      <c r="E66" s="43"/>
      <c r="F66" s="44"/>
      <c r="G66" s="32"/>
      <c r="I66" s="135" t="str">
        <f t="shared" si="5"/>
        <v>TF63-240-24</v>
      </c>
      <c r="J66" s="297" t="s">
        <v>752</v>
      </c>
      <c r="K66" s="297" t="s">
        <v>753</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778</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774</v>
      </c>
      <c r="G68" s="32"/>
      <c r="I68" s="135" t="s">
        <v>772</v>
      </c>
      <c r="L68" s="301"/>
      <c r="M68" s="300">
        <f t="shared" si="6"/>
        <v>282</v>
      </c>
      <c r="N68" s="136">
        <v>235</v>
      </c>
      <c r="O68" s="295">
        <f t="shared" si="7"/>
        <v>0</v>
      </c>
      <c r="P68" t="s">
        <v>773</v>
      </c>
      <c r="R68" s="114">
        <f t="shared" si="2"/>
        <v>0</v>
      </c>
      <c r="S68" s="114">
        <f t="shared" si="3"/>
        <v>0</v>
      </c>
    </row>
    <row r="69" spans="2:19" x14ac:dyDescent="0.4">
      <c r="B69" s="43" t="s">
        <v>262</v>
      </c>
      <c r="C69" s="136">
        <f t="shared" si="4"/>
        <v>530.64</v>
      </c>
      <c r="D69" s="44"/>
      <c r="E69" s="43"/>
      <c r="F69" s="44"/>
      <c r="G69" s="32"/>
      <c r="I69" s="135" t="str">
        <f t="shared" si="5"/>
        <v>VSD Car Park 1.5kW</v>
      </c>
      <c r="J69" s="297" t="s">
        <v>785</v>
      </c>
      <c r="L69" s="301">
        <v>442.2</v>
      </c>
      <c r="M69" s="300">
        <f t="shared" si="6"/>
        <v>530.64</v>
      </c>
      <c r="N69" s="136">
        <v>770</v>
      </c>
      <c r="O69" s="295">
        <f t="shared" si="7"/>
        <v>0.74129353233830853</v>
      </c>
      <c r="P69" s="114" t="s">
        <v>771</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786</v>
      </c>
      <c r="L70" s="301">
        <v>541.20000000000005</v>
      </c>
      <c r="M70" s="300">
        <f t="shared" si="6"/>
        <v>649.44000000000005</v>
      </c>
      <c r="N70" s="136">
        <v>550</v>
      </c>
      <c r="O70" s="295">
        <f t="shared" si="7"/>
        <v>1.6260162601625931E-2</v>
      </c>
      <c r="P70" s="114" t="s">
        <v>771</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788</v>
      </c>
      <c r="L71" s="301">
        <v>625.9</v>
      </c>
      <c r="M71" s="300">
        <f t="shared" si="6"/>
        <v>751.07999999999993</v>
      </c>
      <c r="N71" s="136">
        <v>750</v>
      </c>
      <c r="O71" s="295">
        <f t="shared" si="7"/>
        <v>0.1982744847419716</v>
      </c>
      <c r="P71" s="114" t="s">
        <v>771</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787</v>
      </c>
      <c r="L72" s="301">
        <v>809.6</v>
      </c>
      <c r="M72" s="300">
        <f t="shared" si="6"/>
        <v>971.52</v>
      </c>
      <c r="N72" s="136">
        <v>750</v>
      </c>
      <c r="O72" s="295">
        <f t="shared" si="7"/>
        <v>7.3616600790513853E-2</v>
      </c>
      <c r="P72" s="114" t="s">
        <v>771</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789</v>
      </c>
      <c r="K73" s="297"/>
      <c r="L73" s="301">
        <v>1021.9</v>
      </c>
      <c r="M73" s="300">
        <f t="shared" si="6"/>
        <v>1226.28</v>
      </c>
      <c r="N73" s="136">
        <v>1100</v>
      </c>
      <c r="O73" s="295">
        <f t="shared" si="7"/>
        <v>7.6426264800861163E-2</v>
      </c>
      <c r="P73" s="114" t="s">
        <v>771</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785</v>
      </c>
      <c r="K74" s="297"/>
      <c r="L74" s="301">
        <v>442.2</v>
      </c>
      <c r="M74" s="300">
        <f t="shared" si="6"/>
        <v>530.64</v>
      </c>
      <c r="N74" s="136">
        <v>770</v>
      </c>
      <c r="O74" s="295">
        <f t="shared" si="7"/>
        <v>0.74129353233830853</v>
      </c>
      <c r="P74" s="114" t="s">
        <v>771</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786</v>
      </c>
      <c r="K75" s="297"/>
      <c r="L75" s="301">
        <v>541.20000000000005</v>
      </c>
      <c r="M75" s="300">
        <f t="shared" si="6"/>
        <v>649.44000000000005</v>
      </c>
      <c r="N75" s="136">
        <v>750</v>
      </c>
      <c r="O75" s="295">
        <f t="shared" si="7"/>
        <v>0.38580931263858081</v>
      </c>
      <c r="P75" s="114" t="s">
        <v>771</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788</v>
      </c>
      <c r="K76" s="297"/>
      <c r="L76" s="301">
        <v>625.9</v>
      </c>
      <c r="M76" s="300">
        <f t="shared" si="6"/>
        <v>751.07999999999993</v>
      </c>
      <c r="N76" s="136">
        <v>750</v>
      </c>
      <c r="O76" s="295">
        <f t="shared" si="7"/>
        <v>0.1982744847419716</v>
      </c>
      <c r="P76" s="114" t="s">
        <v>771</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790</v>
      </c>
      <c r="K77" s="297"/>
      <c r="L77" s="301">
        <v>721.6</v>
      </c>
      <c r="M77" s="300">
        <f t="shared" si="6"/>
        <v>865.92</v>
      </c>
      <c r="N77" s="136">
        <v>750</v>
      </c>
      <c r="O77" s="295">
        <f t="shared" si="7"/>
        <v>3.9356984478935667E-2</v>
      </c>
      <c r="P77" s="114" t="s">
        <v>771</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787</v>
      </c>
      <c r="K78" s="297"/>
      <c r="L78" s="301">
        <v>809.6</v>
      </c>
      <c r="M78" s="300">
        <f t="shared" si="6"/>
        <v>971.52</v>
      </c>
      <c r="N78" s="136">
        <v>750</v>
      </c>
      <c r="O78" s="295">
        <f t="shared" si="7"/>
        <v>7.3616600790513853E-2</v>
      </c>
      <c r="P78" s="114" t="s">
        <v>771</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774</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774</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774</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774</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774</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774</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774</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774</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775</v>
      </c>
      <c r="R88" s="114">
        <f t="shared" si="8"/>
        <v>0</v>
      </c>
      <c r="S88" s="114">
        <f t="shared" si="9"/>
        <v>0</v>
      </c>
    </row>
    <row r="89" spans="2:19" x14ac:dyDescent="0.4">
      <c r="B89" s="43" t="s">
        <v>439</v>
      </c>
      <c r="C89" s="136">
        <f t="shared" si="4"/>
        <v>0.6</v>
      </c>
      <c r="D89" s="44"/>
      <c r="E89" s="43"/>
      <c r="F89" s="44"/>
      <c r="G89" s="32"/>
      <c r="H89" s="303" t="s">
        <v>778</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764</v>
      </c>
      <c r="L90" s="301"/>
      <c r="M90" s="300">
        <f t="shared" si="6"/>
        <v>307.2</v>
      </c>
      <c r="N90" s="151">
        <v>256</v>
      </c>
      <c r="O90" s="295"/>
      <c r="P90" s="114" t="s">
        <v>771</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764</v>
      </c>
      <c r="K91" s="297"/>
      <c r="L91" s="301"/>
      <c r="M91" s="300">
        <f t="shared" si="6"/>
        <v>960</v>
      </c>
      <c r="N91" s="151">
        <v>800</v>
      </c>
      <c r="O91" s="295"/>
      <c r="P91" s="114" t="s">
        <v>771</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778</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778</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766</v>
      </c>
      <c r="K95" s="297" t="s">
        <v>761</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778</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775</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775</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775</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775</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775</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775</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755</v>
      </c>
      <c r="K103" s="298" t="s">
        <v>754</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778</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778</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777</v>
      </c>
      <c r="K107" s="297" t="s">
        <v>776</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778</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769</v>
      </c>
      <c r="K110" s="297" t="s">
        <v>768</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778</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778</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752</v>
      </c>
      <c r="K113" s="297" t="s">
        <v>753</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778</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765</v>
      </c>
      <c r="K115" s="297" t="s">
        <v>767</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778</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778</v>
      </c>
      <c r="I117" s="135" t="str">
        <f t="shared" si="12"/>
        <v>SSR ( 1 phase)</v>
      </c>
      <c r="J117" s="297"/>
      <c r="K117" s="297"/>
      <c r="L117" s="300"/>
      <c r="M117" s="300">
        <f t="shared" si="13"/>
        <v>60</v>
      </c>
      <c r="N117" s="136">
        <v>50</v>
      </c>
      <c r="O117" s="295"/>
      <c r="P117" s="114" t="s">
        <v>749</v>
      </c>
      <c r="R117" s="114" t="str">
        <f t="shared" si="8"/>
        <v>SSR ( 1 phase)</v>
      </c>
      <c r="S117" s="114">
        <f t="shared" si="9"/>
        <v>50</v>
      </c>
    </row>
    <row r="118" spans="2:19" s="114" customFormat="1" x14ac:dyDescent="0.4">
      <c r="B118" s="135" t="s">
        <v>476</v>
      </c>
      <c r="C118" s="136">
        <f t="shared" si="11"/>
        <v>324</v>
      </c>
      <c r="D118" s="136"/>
      <c r="E118" s="135"/>
      <c r="F118" s="136"/>
      <c r="H118" s="303" t="s">
        <v>778</v>
      </c>
      <c r="I118" s="135" t="str">
        <f t="shared" si="12"/>
        <v>SSR (3 phase)</v>
      </c>
      <c r="J118" s="297"/>
      <c r="K118" s="297"/>
      <c r="L118" s="300"/>
      <c r="M118" s="300">
        <f t="shared" si="13"/>
        <v>324</v>
      </c>
      <c r="N118" s="136">
        <v>270</v>
      </c>
      <c r="O118" s="295"/>
      <c r="P118" s="114" t="s">
        <v>749</v>
      </c>
      <c r="R118" s="114" t="str">
        <f t="shared" si="8"/>
        <v>SSR (3 phase)</v>
      </c>
      <c r="S118" s="114">
        <f t="shared" si="9"/>
        <v>270</v>
      </c>
    </row>
    <row r="119" spans="2:19" s="114" customFormat="1" x14ac:dyDescent="0.4">
      <c r="B119" s="135" t="s">
        <v>588</v>
      </c>
      <c r="C119" s="136">
        <f t="shared" si="11"/>
        <v>96</v>
      </c>
      <c r="D119" s="136"/>
      <c r="E119" s="135"/>
      <c r="F119" s="136"/>
      <c r="H119" s="303" t="s">
        <v>778</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778</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778</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778</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778</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1341</v>
      </c>
      <c r="C124" s="136">
        <f>M124</f>
        <v>109.25999999999999</v>
      </c>
      <c r="D124" s="44"/>
      <c r="E124" s="43"/>
      <c r="F124" s="44"/>
      <c r="G124" s="32"/>
      <c r="H124" s="303" t="s">
        <v>778</v>
      </c>
      <c r="I124" s="135" t="str">
        <f t="shared" si="12"/>
        <v>Contactors &amp; Overloads</v>
      </c>
      <c r="J124" s="297" t="s">
        <v>779</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507"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CS2626"/>
  <sheetViews>
    <sheetView zoomScale="40" zoomScaleNormal="40" zoomScaleSheetLayoutView="30" workbookViewId="0">
      <pane ySplit="1" topLeftCell="A1982" activePane="bottomLeft" state="frozen"/>
      <selection pane="bottomLeft" activeCell="J1994" sqref="J1994"/>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152343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152343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15234375" style="32" customWidth="1"/>
    <col min="28" max="28" width="51.69140625" style="32" customWidth="1"/>
    <col min="29" max="30" width="21.152343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152343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2160</v>
      </c>
    </row>
    <row r="2" spans="1:97" customFormat="1" ht="30.9"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x14ac:dyDescent="0.75">
      <c r="A5" s="262">
        <f>ROW()</f>
        <v>5</v>
      </c>
      <c r="B5" s="114"/>
      <c r="C5" s="522" t="str">
        <f ca="1">C14</f>
        <v>MechElec WORDS.xlsx</v>
      </c>
      <c r="D5" s="522"/>
      <c r="E5" s="522"/>
      <c r="F5" s="522"/>
      <c r="G5" s="522"/>
      <c r="H5" s="522"/>
      <c r="I5" s="523"/>
      <c r="J5" s="522"/>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x14ac:dyDescent="0.75">
      <c r="A6" s="262">
        <f>ROW()</f>
        <v>6</v>
      </c>
      <c r="B6" s="114"/>
      <c r="C6" s="522"/>
      <c r="D6" s="522"/>
      <c r="E6" s="522"/>
      <c r="F6" s="522"/>
      <c r="G6" s="522"/>
      <c r="H6" s="522"/>
      <c r="I6" s="523"/>
      <c r="J6" s="522"/>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x14ac:dyDescent="0.75">
      <c r="A7" s="262">
        <f>ROW()</f>
        <v>7</v>
      </c>
      <c r="B7" s="114"/>
      <c r="C7" s="522"/>
      <c r="D7" s="522"/>
      <c r="E7" s="522"/>
      <c r="F7" s="522"/>
      <c r="G7" s="522"/>
      <c r="H7" s="522"/>
      <c r="I7" s="523"/>
      <c r="J7" s="522"/>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x14ac:dyDescent="0.9">
      <c r="A9" s="262">
        <f>ROW()</f>
        <v>9</v>
      </c>
      <c r="B9" s="170" t="s">
        <v>491</v>
      </c>
      <c r="C9" s="210">
        <f>AM13+I11</f>
        <v>6704.2079999999996</v>
      </c>
      <c r="D9" s="226">
        <v>0.25</v>
      </c>
      <c r="E9" s="210"/>
      <c r="F9" s="210"/>
      <c r="G9" s="210"/>
      <c r="H9" s="210"/>
      <c r="I9" s="294"/>
      <c r="J9" s="182">
        <f>C9+D9*C9</f>
        <v>8380.26</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x14ac:dyDescent="0.9">
      <c r="A11" s="262">
        <f>ROW()</f>
        <v>11</v>
      </c>
      <c r="B11" s="170" t="s">
        <v>491</v>
      </c>
      <c r="C11" s="208" t="s">
        <v>780</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x14ac:dyDescent="0.9">
      <c r="A12" s="262">
        <f>ROW()</f>
        <v>12</v>
      </c>
      <c r="B12" s="114"/>
      <c r="C12" s="208"/>
      <c r="D12" s="258"/>
      <c r="E12" s="208"/>
      <c r="F12" s="208"/>
      <c r="G12" s="208"/>
      <c r="H12" s="208"/>
      <c r="I12" s="224"/>
      <c r="J12" s="229">
        <f>J11+J9</f>
        <v>8380.26</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6704.2079999999996</v>
      </c>
      <c r="AN13" s="117"/>
      <c r="AO13" s="286"/>
      <c r="AP13" s="282"/>
      <c r="AQ13" s="277"/>
      <c r="AR13" s="282"/>
      <c r="AS13" s="277"/>
      <c r="AT13" s="282"/>
    </row>
    <row r="14" spans="1:97" ht="82.4" customHeight="1" x14ac:dyDescent="1.55">
      <c r="A14" s="262">
        <f>ROW()</f>
        <v>14</v>
      </c>
      <c r="B14" s="170" t="s">
        <v>491</v>
      </c>
      <c r="C14" s="524" t="str">
        <f ca="1">MID(CELL("filename",A1),FIND("[",CELL("filename",A1))+1,FIND("]", CELL("filename",A1))-FIND("[",CELL("filename",A1))-1)</f>
        <v>MechElec WORDS.xlsx</v>
      </c>
      <c r="D14" s="525"/>
      <c r="E14" s="526"/>
      <c r="F14" s="526"/>
      <c r="G14" s="526"/>
      <c r="H14" s="526"/>
      <c r="I14" s="527"/>
      <c r="J14" s="528"/>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43321.346308796295</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8380.26</v>
      </c>
      <c r="AO15" s="286"/>
      <c r="AP15" s="237">
        <f>SUM(AP17:AP80000)</f>
        <v>6704.2079999999996</v>
      </c>
      <c r="AQ15" s="237">
        <f t="shared" ref="AQ15:AS15" si="0">SUM(AQ17:AQ80000)</f>
        <v>2160</v>
      </c>
      <c r="AR15" s="237">
        <f t="shared" si="0"/>
        <v>4311.2280000000001</v>
      </c>
      <c r="AS15" s="237">
        <f t="shared" si="0"/>
        <v>214.98</v>
      </c>
      <c r="AT15" s="237">
        <f>(AP15-(AQ15+AR15+AS15+AV15))</f>
        <v>0</v>
      </c>
      <c r="AU15" s="237">
        <f>I11</f>
        <v>0</v>
      </c>
      <c r="AV15" s="237">
        <f>AP2118</f>
        <v>18</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customHeight="1" x14ac:dyDescent="0.8">
      <c r="A18" s="262">
        <f>ROW()</f>
        <v>18</v>
      </c>
      <c r="C18" s="211"/>
      <c r="D18" s="211"/>
      <c r="E18" s="211"/>
      <c r="F18" s="211"/>
      <c r="G18" s="211"/>
      <c r="H18" s="211"/>
      <c r="K18" s="116" t="s">
        <v>452</v>
      </c>
      <c r="M18" s="116" t="s">
        <v>107</v>
      </c>
      <c r="N18" s="116" t="s">
        <v>108</v>
      </c>
      <c r="O18" s="170" t="s">
        <v>386</v>
      </c>
      <c r="P18" s="519" t="s">
        <v>375</v>
      </c>
      <c r="Q18" s="519"/>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18" t="s">
        <v>366</v>
      </c>
      <c r="V41" s="518"/>
      <c r="W41" s="162" t="e">
        <f>W40/M19</f>
        <v>#DIV/0!</v>
      </c>
      <c r="X41" s="163"/>
      <c r="Y41" s="516" t="s">
        <v>365</v>
      </c>
      <c r="Z41" s="516"/>
      <c r="AA41" s="164" t="e">
        <f>AA40/M19</f>
        <v>#DIV/0!</v>
      </c>
      <c r="AB41" s="161"/>
      <c r="AC41" s="161"/>
      <c r="AD41" s="161"/>
      <c r="AE41" s="161"/>
      <c r="AF41" s="516" t="s">
        <v>365</v>
      </c>
      <c r="AG41" s="516"/>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customHeight="1" x14ac:dyDescent="0.8">
      <c r="A42" s="262">
        <f>ROW()</f>
        <v>42</v>
      </c>
      <c r="C42" s="211"/>
      <c r="D42" s="211"/>
      <c r="E42" s="211"/>
      <c r="F42" s="211"/>
      <c r="G42" s="211"/>
      <c r="H42" s="211"/>
      <c r="K42" s="116" t="s">
        <v>452</v>
      </c>
      <c r="M42" s="116" t="s">
        <v>107</v>
      </c>
      <c r="N42" s="116" t="s">
        <v>108</v>
      </c>
      <c r="O42" s="170" t="s">
        <v>386</v>
      </c>
      <c r="P42" s="517" t="s">
        <v>375</v>
      </c>
      <c r="Q42" s="517"/>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18" t="s">
        <v>366</v>
      </c>
      <c r="V65" s="518"/>
      <c r="W65" s="162" t="e">
        <f>W64/M43</f>
        <v>#DIV/0!</v>
      </c>
      <c r="X65" s="163"/>
      <c r="Y65" s="516" t="s">
        <v>365</v>
      </c>
      <c r="Z65" s="516"/>
      <c r="AA65" s="164" t="e">
        <f>AA64/M43</f>
        <v>#DIV/0!</v>
      </c>
      <c r="AB65" s="161"/>
      <c r="AC65" s="161"/>
      <c r="AD65" s="161"/>
      <c r="AE65" s="161"/>
      <c r="AF65" s="516" t="s">
        <v>365</v>
      </c>
      <c r="AG65" s="516"/>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customHeight="1" x14ac:dyDescent="0.8">
      <c r="A66" s="262">
        <f>ROW()</f>
        <v>66</v>
      </c>
      <c r="C66" s="211"/>
      <c r="D66" s="211"/>
      <c r="E66" s="211"/>
      <c r="F66" s="211"/>
      <c r="G66" s="211"/>
      <c r="H66" s="211"/>
      <c r="K66" s="116" t="s">
        <v>452</v>
      </c>
      <c r="M66" s="116" t="s">
        <v>107</v>
      </c>
      <c r="N66" s="116" t="s">
        <v>108</v>
      </c>
      <c r="O66" s="170" t="s">
        <v>386</v>
      </c>
      <c r="P66" s="517" t="s">
        <v>375</v>
      </c>
      <c r="Q66" s="517"/>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18" t="s">
        <v>366</v>
      </c>
      <c r="V89" s="518"/>
      <c r="W89" s="162" t="e">
        <f>W88/M67</f>
        <v>#DIV/0!</v>
      </c>
      <c r="X89" s="163"/>
      <c r="Y89" s="516" t="s">
        <v>365</v>
      </c>
      <c r="Z89" s="516"/>
      <c r="AA89" s="164" t="e">
        <f>AA88/M67</f>
        <v>#DIV/0!</v>
      </c>
      <c r="AB89" s="161"/>
      <c r="AC89" s="161"/>
      <c r="AD89" s="161"/>
      <c r="AE89" s="161"/>
      <c r="AF89" s="516" t="s">
        <v>365</v>
      </c>
      <c r="AG89" s="516"/>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customHeight="1" x14ac:dyDescent="0.8">
      <c r="A90" s="262">
        <f>ROW()</f>
        <v>90</v>
      </c>
      <c r="C90" s="211"/>
      <c r="D90" s="211"/>
      <c r="E90" s="211"/>
      <c r="F90" s="211"/>
      <c r="G90" s="211"/>
      <c r="H90" s="211"/>
      <c r="K90" s="116" t="s">
        <v>452</v>
      </c>
      <c r="M90" s="116" t="s">
        <v>107</v>
      </c>
      <c r="N90" s="116" t="s">
        <v>108</v>
      </c>
      <c r="O90" s="170" t="s">
        <v>386</v>
      </c>
      <c r="P90" s="517" t="s">
        <v>375</v>
      </c>
      <c r="Q90" s="517"/>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18" t="s">
        <v>366</v>
      </c>
      <c r="V113" s="518"/>
      <c r="W113" s="162" t="e">
        <f>W112/M91</f>
        <v>#DIV/0!</v>
      </c>
      <c r="X113" s="163"/>
      <c r="Y113" s="516" t="s">
        <v>365</v>
      </c>
      <c r="Z113" s="516"/>
      <c r="AA113" s="164" t="e">
        <f>AA112/M91</f>
        <v>#DIV/0!</v>
      </c>
      <c r="AB113" s="161"/>
      <c r="AC113" s="161"/>
      <c r="AD113" s="161"/>
      <c r="AE113" s="161"/>
      <c r="AF113" s="516" t="s">
        <v>365</v>
      </c>
      <c r="AG113" s="516"/>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customHeight="1" x14ac:dyDescent="0.8">
      <c r="A114" s="262">
        <f>ROW()</f>
        <v>114</v>
      </c>
      <c r="C114" s="211"/>
      <c r="D114" s="211"/>
      <c r="E114" s="211"/>
      <c r="F114" s="211"/>
      <c r="G114" s="211"/>
      <c r="H114" s="211"/>
      <c r="K114" s="116" t="s">
        <v>452</v>
      </c>
      <c r="M114" s="116" t="s">
        <v>107</v>
      </c>
      <c r="N114" s="116" t="s">
        <v>108</v>
      </c>
      <c r="O114" s="170" t="s">
        <v>386</v>
      </c>
      <c r="P114" s="517" t="s">
        <v>375</v>
      </c>
      <c r="Q114" s="517"/>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18" t="s">
        <v>366</v>
      </c>
      <c r="V137" s="518"/>
      <c r="W137" s="162" t="e">
        <f>W136/M115</f>
        <v>#DIV/0!</v>
      </c>
      <c r="X137" s="163"/>
      <c r="Y137" s="516" t="s">
        <v>365</v>
      </c>
      <c r="Z137" s="516"/>
      <c r="AA137" s="164" t="e">
        <f>AA136/M115</f>
        <v>#DIV/0!</v>
      </c>
      <c r="AB137" s="161"/>
      <c r="AC137" s="161"/>
      <c r="AD137" s="161"/>
      <c r="AE137" s="161"/>
      <c r="AF137" s="516" t="s">
        <v>365</v>
      </c>
      <c r="AG137" s="516"/>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customHeight="1" x14ac:dyDescent="0.8">
      <c r="A138" s="262">
        <f>ROW()</f>
        <v>138</v>
      </c>
      <c r="B138" s="116"/>
      <c r="C138" s="211"/>
      <c r="D138" s="211"/>
      <c r="E138" s="211"/>
      <c r="F138" s="211"/>
      <c r="G138" s="211"/>
      <c r="H138" s="211"/>
      <c r="I138" s="116"/>
      <c r="K138" s="2" t="s">
        <v>452</v>
      </c>
      <c r="M138" s="2" t="s">
        <v>107</v>
      </c>
      <c r="N138" s="2" t="s">
        <v>108</v>
      </c>
      <c r="O138" s="97" t="s">
        <v>386</v>
      </c>
      <c r="P138" s="519" t="s">
        <v>375</v>
      </c>
      <c r="Q138" s="519"/>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18" t="s">
        <v>366</v>
      </c>
      <c r="V161" s="518"/>
      <c r="W161" s="85" t="e">
        <f>W160/M139</f>
        <v>#DIV/0!</v>
      </c>
      <c r="X161" s="86"/>
      <c r="Y161" s="516" t="s">
        <v>365</v>
      </c>
      <c r="Z161" s="516"/>
      <c r="AA161" s="87" t="e">
        <f>AA160/M139</f>
        <v>#DIV/0!</v>
      </c>
      <c r="AB161" s="84"/>
      <c r="AC161" s="84"/>
      <c r="AD161" s="84"/>
      <c r="AE161" s="84"/>
      <c r="AF161" s="516" t="s">
        <v>365</v>
      </c>
      <c r="AG161" s="516"/>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customHeight="1" x14ac:dyDescent="0.8">
      <c r="A162" s="262">
        <f>ROW()</f>
        <v>162</v>
      </c>
      <c r="B162" s="116"/>
      <c r="C162" s="211"/>
      <c r="D162" s="211"/>
      <c r="E162" s="211"/>
      <c r="F162" s="211"/>
      <c r="G162" s="211"/>
      <c r="H162" s="211"/>
      <c r="I162" s="116"/>
      <c r="K162" s="2" t="s">
        <v>452</v>
      </c>
      <c r="M162" s="2" t="s">
        <v>107</v>
      </c>
      <c r="N162" s="2" t="s">
        <v>108</v>
      </c>
      <c r="O162" s="97" t="s">
        <v>386</v>
      </c>
      <c r="P162" s="517" t="s">
        <v>375</v>
      </c>
      <c r="Q162" s="517"/>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18" t="s">
        <v>366</v>
      </c>
      <c r="V185" s="518"/>
      <c r="W185" s="85" t="e">
        <f>W184/M163</f>
        <v>#DIV/0!</v>
      </c>
      <c r="X185" s="86"/>
      <c r="Y185" s="516" t="s">
        <v>365</v>
      </c>
      <c r="Z185" s="516"/>
      <c r="AA185" s="87" t="e">
        <f>AA184/M163</f>
        <v>#DIV/0!</v>
      </c>
      <c r="AB185" s="84"/>
      <c r="AC185" s="84"/>
      <c r="AD185" s="84"/>
      <c r="AE185" s="84"/>
      <c r="AF185" s="516" t="s">
        <v>365</v>
      </c>
      <c r="AG185" s="516"/>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customHeight="1" x14ac:dyDescent="0.8">
      <c r="A186" s="262">
        <f>ROW()</f>
        <v>186</v>
      </c>
      <c r="B186" s="116"/>
      <c r="C186" s="211"/>
      <c r="D186" s="211"/>
      <c r="E186" s="211"/>
      <c r="F186" s="211"/>
      <c r="G186" s="211"/>
      <c r="H186" s="211"/>
      <c r="I186" s="116"/>
      <c r="K186" s="2" t="s">
        <v>452</v>
      </c>
      <c r="M186" s="2" t="s">
        <v>107</v>
      </c>
      <c r="N186" s="2" t="s">
        <v>108</v>
      </c>
      <c r="O186" s="97" t="s">
        <v>386</v>
      </c>
      <c r="P186" s="517" t="s">
        <v>375</v>
      </c>
      <c r="Q186" s="517"/>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18" t="s">
        <v>366</v>
      </c>
      <c r="V209" s="518"/>
      <c r="W209" s="85" t="e">
        <f>W208/M187</f>
        <v>#DIV/0!</v>
      </c>
      <c r="X209" s="86"/>
      <c r="Y209" s="516" t="s">
        <v>365</v>
      </c>
      <c r="Z209" s="516"/>
      <c r="AA209" s="87" t="e">
        <f>AA208/M187</f>
        <v>#DIV/0!</v>
      </c>
      <c r="AB209" s="84"/>
      <c r="AC209" s="84"/>
      <c r="AD209" s="84"/>
      <c r="AE209" s="84"/>
      <c r="AF209" s="516" t="s">
        <v>365</v>
      </c>
      <c r="AG209" s="516"/>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x14ac:dyDescent="1.2">
      <c r="A210" s="262">
        <f>ROW()</f>
        <v>210</v>
      </c>
      <c r="B210" s="261" t="s">
        <v>491</v>
      </c>
      <c r="I210" s="269">
        <f>SUM(I234:I954)</f>
        <v>1</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customHeight="1" x14ac:dyDescent="0.8">
      <c r="A211" s="262">
        <f>ROW()</f>
        <v>211</v>
      </c>
      <c r="B211" s="116"/>
      <c r="C211" s="211"/>
      <c r="D211" s="211"/>
      <c r="E211" s="211"/>
      <c r="F211" s="211"/>
      <c r="G211" s="211"/>
      <c r="H211" s="211"/>
      <c r="I211" s="116"/>
      <c r="K211" s="2" t="s">
        <v>452</v>
      </c>
      <c r="M211" s="2" t="s">
        <v>107</v>
      </c>
      <c r="N211" s="2" t="s">
        <v>108</v>
      </c>
      <c r="O211" s="97" t="s">
        <v>386</v>
      </c>
      <c r="P211" s="519" t="s">
        <v>375</v>
      </c>
      <c r="Q211" s="519"/>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1341</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18" t="s">
        <v>366</v>
      </c>
      <c r="V234" s="518"/>
      <c r="W234" s="85" t="e">
        <f>W233/M212</f>
        <v>#DIV/0!</v>
      </c>
      <c r="X234" s="86"/>
      <c r="Y234" s="516" t="s">
        <v>365</v>
      </c>
      <c r="Z234" s="516"/>
      <c r="AA234" s="87" t="e">
        <f>AA233/M212</f>
        <v>#DIV/0!</v>
      </c>
      <c r="AB234" s="84"/>
      <c r="AC234" s="84"/>
      <c r="AD234" s="84"/>
      <c r="AE234" s="84"/>
      <c r="AF234" s="516" t="s">
        <v>365</v>
      </c>
      <c r="AG234" s="516"/>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customHeight="1" x14ac:dyDescent="0.8">
      <c r="A235" s="262">
        <f>ROW()</f>
        <v>235</v>
      </c>
      <c r="C235" s="211"/>
      <c r="D235" s="211"/>
      <c r="E235" s="211"/>
      <c r="F235" s="211"/>
      <c r="G235" s="211"/>
      <c r="H235" s="211"/>
      <c r="K235" s="116" t="s">
        <v>452</v>
      </c>
      <c r="M235" s="116" t="s">
        <v>107</v>
      </c>
      <c r="N235" s="116" t="s">
        <v>108</v>
      </c>
      <c r="O235" s="170" t="s">
        <v>386</v>
      </c>
      <c r="P235" s="517" t="s">
        <v>375</v>
      </c>
      <c r="Q235" s="517"/>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1341</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18" t="s">
        <v>366</v>
      </c>
      <c r="V258" s="518"/>
      <c r="W258" s="162" t="e">
        <f>W257/M236</f>
        <v>#DIV/0!</v>
      </c>
      <c r="X258" s="163"/>
      <c r="Y258" s="516" t="s">
        <v>365</v>
      </c>
      <c r="Z258" s="516"/>
      <c r="AA258" s="164" t="e">
        <f>AA257/M236</f>
        <v>#DIV/0!</v>
      </c>
      <c r="AB258" s="161"/>
      <c r="AC258" s="161"/>
      <c r="AD258" s="161"/>
      <c r="AE258" s="161"/>
      <c r="AF258" s="516" t="s">
        <v>365</v>
      </c>
      <c r="AG258" s="516"/>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customHeight="1" x14ac:dyDescent="0.8">
      <c r="A259" s="262">
        <f>ROW()</f>
        <v>259</v>
      </c>
      <c r="B259" s="116"/>
      <c r="C259" s="211"/>
      <c r="D259" s="211"/>
      <c r="E259" s="211"/>
      <c r="F259" s="211"/>
      <c r="G259" s="211"/>
      <c r="H259" s="211"/>
      <c r="I259" s="116"/>
      <c r="K259" s="2" t="s">
        <v>452</v>
      </c>
      <c r="M259" s="2" t="s">
        <v>107</v>
      </c>
      <c r="N259" s="2" t="s">
        <v>108</v>
      </c>
      <c r="O259" s="97" t="s">
        <v>386</v>
      </c>
      <c r="P259" s="517" t="s">
        <v>375</v>
      </c>
      <c r="Q259" s="517"/>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1341</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18" t="s">
        <v>366</v>
      </c>
      <c r="V282" s="518"/>
      <c r="W282" s="85" t="e">
        <f>W281/M260</f>
        <v>#DIV/0!</v>
      </c>
      <c r="X282" s="86"/>
      <c r="Y282" s="516" t="s">
        <v>365</v>
      </c>
      <c r="Z282" s="516"/>
      <c r="AA282" s="87" t="e">
        <f>AA281/M260</f>
        <v>#DIV/0!</v>
      </c>
      <c r="AB282" s="84"/>
      <c r="AC282" s="84"/>
      <c r="AD282" s="84"/>
      <c r="AE282" s="84"/>
      <c r="AF282" s="516" t="s">
        <v>365</v>
      </c>
      <c r="AG282" s="516"/>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customHeight="1" x14ac:dyDescent="0.8">
      <c r="A283" s="262">
        <f>ROW()</f>
        <v>283</v>
      </c>
      <c r="C283" s="211"/>
      <c r="D283" s="211"/>
      <c r="E283" s="211"/>
      <c r="F283" s="211"/>
      <c r="G283" s="211"/>
      <c r="H283" s="211"/>
      <c r="K283" s="116" t="s">
        <v>452</v>
      </c>
      <c r="M283" s="116" t="s">
        <v>107</v>
      </c>
      <c r="N283" s="116" t="s">
        <v>108</v>
      </c>
      <c r="O283" s="170" t="s">
        <v>386</v>
      </c>
      <c r="P283" s="517" t="s">
        <v>375</v>
      </c>
      <c r="Q283" s="517"/>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1341</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18" t="s">
        <v>366</v>
      </c>
      <c r="V306" s="518"/>
      <c r="W306" s="162" t="e">
        <f>W305/M284</f>
        <v>#DIV/0!</v>
      </c>
      <c r="X306" s="163"/>
      <c r="Y306" s="516" t="s">
        <v>365</v>
      </c>
      <c r="Z306" s="516"/>
      <c r="AA306" s="164" t="e">
        <f>AA305/M284</f>
        <v>#DIV/0!</v>
      </c>
      <c r="AB306" s="161"/>
      <c r="AC306" s="161"/>
      <c r="AD306" s="161"/>
      <c r="AE306" s="161"/>
      <c r="AF306" s="516" t="s">
        <v>365</v>
      </c>
      <c r="AG306" s="516"/>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customHeight="1" x14ac:dyDescent="0.8">
      <c r="A307" s="262">
        <f>ROW()</f>
        <v>307</v>
      </c>
      <c r="B307" s="116"/>
      <c r="C307" s="211"/>
      <c r="D307" s="211"/>
      <c r="E307" s="211"/>
      <c r="F307" s="211"/>
      <c r="G307" s="211"/>
      <c r="H307" s="211"/>
      <c r="I307" s="116"/>
      <c r="K307" s="2" t="s">
        <v>452</v>
      </c>
      <c r="M307" s="2" t="s">
        <v>107</v>
      </c>
      <c r="N307" s="2" t="s">
        <v>108</v>
      </c>
      <c r="O307" s="97" t="s">
        <v>386</v>
      </c>
      <c r="P307" s="517" t="s">
        <v>375</v>
      </c>
      <c r="Q307" s="517"/>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1341</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18" t="s">
        <v>366</v>
      </c>
      <c r="V330" s="518"/>
      <c r="W330" s="85" t="e">
        <f>W329/M308</f>
        <v>#DIV/0!</v>
      </c>
      <c r="X330" s="86"/>
      <c r="Y330" s="516" t="s">
        <v>365</v>
      </c>
      <c r="Z330" s="516"/>
      <c r="AA330" s="87" t="e">
        <f>AA329/M308</f>
        <v>#DIV/0!</v>
      </c>
      <c r="AB330" s="84"/>
      <c r="AC330" s="84"/>
      <c r="AD330" s="84"/>
      <c r="AE330" s="84"/>
      <c r="AF330" s="516" t="s">
        <v>365</v>
      </c>
      <c r="AG330" s="516"/>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customHeight="1" x14ac:dyDescent="0.8">
      <c r="A331" s="262">
        <f>ROW()</f>
        <v>331</v>
      </c>
      <c r="C331" s="211"/>
      <c r="D331" s="211"/>
      <c r="E331" s="211"/>
      <c r="F331" s="211"/>
      <c r="G331" s="211"/>
      <c r="H331" s="211"/>
      <c r="K331" s="116" t="s">
        <v>452</v>
      </c>
      <c r="M331" s="116" t="s">
        <v>107</v>
      </c>
      <c r="N331" s="116" t="s">
        <v>108</v>
      </c>
      <c r="O331" s="170" t="s">
        <v>386</v>
      </c>
      <c r="P331" s="517" t="s">
        <v>375</v>
      </c>
      <c r="Q331" s="517"/>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1341</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18" t="s">
        <v>366</v>
      </c>
      <c r="V354" s="518"/>
      <c r="W354" s="162" t="e">
        <f>W353/M332</f>
        <v>#DIV/0!</v>
      </c>
      <c r="X354" s="163"/>
      <c r="Y354" s="516" t="s">
        <v>365</v>
      </c>
      <c r="Z354" s="516"/>
      <c r="AA354" s="164" t="e">
        <f>AA353/M332</f>
        <v>#DIV/0!</v>
      </c>
      <c r="AB354" s="161"/>
      <c r="AC354" s="161"/>
      <c r="AD354" s="161"/>
      <c r="AE354" s="161"/>
      <c r="AF354" s="516" t="s">
        <v>365</v>
      </c>
      <c r="AG354" s="516"/>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customHeight="1" x14ac:dyDescent="0.8">
      <c r="A355" s="262">
        <f>ROW()</f>
        <v>355</v>
      </c>
      <c r="C355" s="211"/>
      <c r="D355" s="211"/>
      <c r="E355" s="211"/>
      <c r="F355" s="211"/>
      <c r="G355" s="211"/>
      <c r="H355" s="211"/>
      <c r="K355" s="116" t="s">
        <v>452</v>
      </c>
      <c r="M355" s="116" t="s">
        <v>107</v>
      </c>
      <c r="N355" s="116" t="s">
        <v>108</v>
      </c>
      <c r="O355" s="170" t="s">
        <v>386</v>
      </c>
      <c r="P355" s="517" t="s">
        <v>375</v>
      </c>
      <c r="Q355" s="517"/>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1341</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18" t="s">
        <v>366</v>
      </c>
      <c r="V378" s="518"/>
      <c r="W378" s="162" t="e">
        <f>W377/M356</f>
        <v>#DIV/0!</v>
      </c>
      <c r="X378" s="163"/>
      <c r="Y378" s="516" t="s">
        <v>365</v>
      </c>
      <c r="Z378" s="516"/>
      <c r="AA378" s="164" t="e">
        <f>AA377/M356</f>
        <v>#DIV/0!</v>
      </c>
      <c r="AB378" s="161"/>
      <c r="AC378" s="161"/>
      <c r="AD378" s="161"/>
      <c r="AE378" s="161"/>
      <c r="AF378" s="516" t="s">
        <v>365</v>
      </c>
      <c r="AG378" s="516"/>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customHeight="1" x14ac:dyDescent="0.8">
      <c r="A379" s="262">
        <f>ROW()</f>
        <v>379</v>
      </c>
      <c r="C379" s="211"/>
      <c r="D379" s="211"/>
      <c r="E379" s="211"/>
      <c r="F379" s="211"/>
      <c r="G379" s="211"/>
      <c r="H379" s="211"/>
      <c r="K379" s="116" t="s">
        <v>452</v>
      </c>
      <c r="M379" s="116" t="s">
        <v>107</v>
      </c>
      <c r="N379" s="116" t="s">
        <v>108</v>
      </c>
      <c r="O379" s="170" t="s">
        <v>386</v>
      </c>
      <c r="P379" s="517" t="s">
        <v>375</v>
      </c>
      <c r="Q379" s="517"/>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1341</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18" t="s">
        <v>366</v>
      </c>
      <c r="V402" s="518"/>
      <c r="W402" s="162" t="e">
        <f>W401/M380</f>
        <v>#DIV/0!</v>
      </c>
      <c r="X402" s="163"/>
      <c r="Y402" s="516" t="s">
        <v>365</v>
      </c>
      <c r="Z402" s="516"/>
      <c r="AA402" s="164" t="e">
        <f>AA401/M380</f>
        <v>#DIV/0!</v>
      </c>
      <c r="AB402" s="161"/>
      <c r="AC402" s="161"/>
      <c r="AD402" s="161"/>
      <c r="AE402" s="161"/>
      <c r="AF402" s="516" t="s">
        <v>365</v>
      </c>
      <c r="AG402" s="516"/>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customHeight="1" x14ac:dyDescent="0.8">
      <c r="A403" s="262">
        <f>ROW()</f>
        <v>403</v>
      </c>
      <c r="C403" s="211"/>
      <c r="D403" s="211"/>
      <c r="E403" s="211"/>
      <c r="F403" s="211"/>
      <c r="G403" s="211"/>
      <c r="H403" s="211"/>
      <c r="K403" s="116" t="s">
        <v>452</v>
      </c>
      <c r="M403" s="116" t="s">
        <v>107</v>
      </c>
      <c r="N403" s="116" t="s">
        <v>108</v>
      </c>
      <c r="O403" s="170" t="s">
        <v>386</v>
      </c>
      <c r="P403" s="517" t="s">
        <v>375</v>
      </c>
      <c r="Q403" s="517"/>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1341</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18" t="s">
        <v>366</v>
      </c>
      <c r="V426" s="518"/>
      <c r="W426" s="162" t="e">
        <f>W425/M404</f>
        <v>#DIV/0!</v>
      </c>
      <c r="X426" s="163"/>
      <c r="Y426" s="516" t="s">
        <v>365</v>
      </c>
      <c r="Z426" s="516"/>
      <c r="AA426" s="164" t="e">
        <f>AA425/M404</f>
        <v>#DIV/0!</v>
      </c>
      <c r="AB426" s="161"/>
      <c r="AC426" s="161"/>
      <c r="AD426" s="161"/>
      <c r="AE426" s="161"/>
      <c r="AF426" s="516" t="s">
        <v>365</v>
      </c>
      <c r="AG426" s="516"/>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customHeight="1" x14ac:dyDescent="0.8">
      <c r="A427" s="262">
        <f>ROW()</f>
        <v>427</v>
      </c>
      <c r="C427" s="211"/>
      <c r="D427" s="211"/>
      <c r="E427" s="211"/>
      <c r="F427" s="211"/>
      <c r="G427" s="211"/>
      <c r="H427" s="211"/>
      <c r="K427" s="116" t="s">
        <v>452</v>
      </c>
      <c r="M427" s="116" t="s">
        <v>107</v>
      </c>
      <c r="N427" s="116" t="s">
        <v>108</v>
      </c>
      <c r="O427" s="170" t="s">
        <v>386</v>
      </c>
      <c r="P427" s="517" t="s">
        <v>375</v>
      </c>
      <c r="Q427" s="517"/>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1341</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18" t="s">
        <v>366</v>
      </c>
      <c r="V450" s="518"/>
      <c r="W450" s="162" t="e">
        <f>W449/M428</f>
        <v>#DIV/0!</v>
      </c>
      <c r="X450" s="163"/>
      <c r="Y450" s="516" t="s">
        <v>365</v>
      </c>
      <c r="Z450" s="516"/>
      <c r="AA450" s="164" t="e">
        <f>AA449/M428</f>
        <v>#DIV/0!</v>
      </c>
      <c r="AB450" s="161"/>
      <c r="AC450" s="161"/>
      <c r="AD450" s="161"/>
      <c r="AE450" s="161"/>
      <c r="AF450" s="516" t="s">
        <v>365</v>
      </c>
      <c r="AG450" s="516"/>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customHeight="1" x14ac:dyDescent="0.8">
      <c r="A451" s="262">
        <f>ROW()</f>
        <v>451</v>
      </c>
      <c r="C451" s="211"/>
      <c r="D451" s="211"/>
      <c r="E451" s="211"/>
      <c r="F451" s="211"/>
      <c r="G451" s="211"/>
      <c r="H451" s="211"/>
      <c r="K451" s="116" t="s">
        <v>452</v>
      </c>
      <c r="M451" s="116" t="s">
        <v>107</v>
      </c>
      <c r="N451" s="116" t="s">
        <v>108</v>
      </c>
      <c r="O451" s="170" t="s">
        <v>386</v>
      </c>
      <c r="P451" s="517" t="s">
        <v>375</v>
      </c>
      <c r="Q451" s="517"/>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1341</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18" t="s">
        <v>366</v>
      </c>
      <c r="V474" s="518"/>
      <c r="W474" s="162" t="e">
        <f>W473/M452</f>
        <v>#DIV/0!</v>
      </c>
      <c r="X474" s="163"/>
      <c r="Y474" s="516" t="s">
        <v>365</v>
      </c>
      <c r="Z474" s="516"/>
      <c r="AA474" s="164" t="e">
        <f>AA473/M452</f>
        <v>#DIV/0!</v>
      </c>
      <c r="AB474" s="161"/>
      <c r="AC474" s="161"/>
      <c r="AD474" s="161"/>
      <c r="AE474" s="161"/>
      <c r="AF474" s="516" t="s">
        <v>365</v>
      </c>
      <c r="AG474" s="516"/>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customHeight="1" x14ac:dyDescent="0.8">
      <c r="A475" s="262">
        <f>ROW()</f>
        <v>475</v>
      </c>
      <c r="C475" s="211"/>
      <c r="D475" s="211"/>
      <c r="E475" s="211"/>
      <c r="F475" s="211"/>
      <c r="G475" s="211"/>
      <c r="H475" s="211"/>
      <c r="K475" s="116" t="s">
        <v>452</v>
      </c>
      <c r="M475" s="116" t="s">
        <v>107</v>
      </c>
      <c r="N475" s="116" t="s">
        <v>108</v>
      </c>
      <c r="O475" s="170" t="s">
        <v>386</v>
      </c>
      <c r="P475" s="517" t="s">
        <v>375</v>
      </c>
      <c r="Q475" s="517"/>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18" t="s">
        <v>366</v>
      </c>
      <c r="V498" s="518"/>
      <c r="W498" s="162" t="e">
        <f>W497/M476</f>
        <v>#DIV/0!</v>
      </c>
      <c r="X498" s="163"/>
      <c r="Y498" s="516" t="s">
        <v>365</v>
      </c>
      <c r="Z498" s="516"/>
      <c r="AA498" s="164" t="e">
        <f>AA497/M476</f>
        <v>#DIV/0!</v>
      </c>
      <c r="AB498" s="161"/>
      <c r="AC498" s="161"/>
      <c r="AD498" s="161"/>
      <c r="AE498" s="161"/>
      <c r="AF498" s="516" t="s">
        <v>365</v>
      </c>
      <c r="AG498" s="516"/>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customHeight="1" x14ac:dyDescent="0.8">
      <c r="A499" s="262">
        <f>ROW()</f>
        <v>499</v>
      </c>
      <c r="C499" s="211"/>
      <c r="D499" s="211"/>
      <c r="E499" s="211"/>
      <c r="F499" s="211"/>
      <c r="G499" s="211"/>
      <c r="H499" s="211"/>
      <c r="K499" s="116" t="s">
        <v>452</v>
      </c>
      <c r="M499" s="116" t="s">
        <v>107</v>
      </c>
      <c r="N499" s="116" t="s">
        <v>108</v>
      </c>
      <c r="O499" s="170" t="s">
        <v>386</v>
      </c>
      <c r="P499" s="517" t="s">
        <v>375</v>
      </c>
      <c r="Q499" s="517"/>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1341</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18" t="s">
        <v>366</v>
      </c>
      <c r="V522" s="518"/>
      <c r="W522" s="162" t="e">
        <f>W521/M500</f>
        <v>#DIV/0!</v>
      </c>
      <c r="X522" s="163"/>
      <c r="Y522" s="516" t="s">
        <v>365</v>
      </c>
      <c r="Z522" s="516"/>
      <c r="AA522" s="164" t="e">
        <f>AA521/M500</f>
        <v>#DIV/0!</v>
      </c>
      <c r="AB522" s="161"/>
      <c r="AC522" s="161"/>
      <c r="AD522" s="161"/>
      <c r="AE522" s="161"/>
      <c r="AF522" s="516" t="s">
        <v>365</v>
      </c>
      <c r="AG522" s="516"/>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customHeight="1" x14ac:dyDescent="0.8">
      <c r="A523" s="262">
        <f>ROW()</f>
        <v>523</v>
      </c>
      <c r="C523" s="211"/>
      <c r="D523" s="211"/>
      <c r="E523" s="211"/>
      <c r="F523" s="211"/>
      <c r="G523" s="211"/>
      <c r="H523" s="211"/>
      <c r="K523" s="116" t="s">
        <v>452</v>
      </c>
      <c r="M523" s="116" t="s">
        <v>107</v>
      </c>
      <c r="N523" s="116" t="s">
        <v>108</v>
      </c>
      <c r="O523" s="170" t="s">
        <v>386</v>
      </c>
      <c r="P523" s="517" t="s">
        <v>375</v>
      </c>
      <c r="Q523" s="517"/>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1341</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18" t="s">
        <v>366</v>
      </c>
      <c r="V546" s="518"/>
      <c r="W546" s="162" t="e">
        <f>W545/M524</f>
        <v>#DIV/0!</v>
      </c>
      <c r="X546" s="163"/>
      <c r="Y546" s="516" t="s">
        <v>365</v>
      </c>
      <c r="Z546" s="516"/>
      <c r="AA546" s="164" t="e">
        <f>AA545/M524</f>
        <v>#DIV/0!</v>
      </c>
      <c r="AB546" s="161"/>
      <c r="AC546" s="161"/>
      <c r="AD546" s="161"/>
      <c r="AE546" s="161"/>
      <c r="AF546" s="516" t="s">
        <v>365</v>
      </c>
      <c r="AG546" s="516"/>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customHeight="1" x14ac:dyDescent="0.8">
      <c r="A547" s="262">
        <f>ROW()</f>
        <v>547</v>
      </c>
      <c r="B547" s="116"/>
      <c r="C547" s="211"/>
      <c r="D547" s="211"/>
      <c r="E547" s="211"/>
      <c r="F547" s="211"/>
      <c r="G547" s="211"/>
      <c r="H547" s="211"/>
      <c r="I547" s="116"/>
      <c r="K547" s="2" t="s">
        <v>452</v>
      </c>
      <c r="M547" s="2" t="s">
        <v>107</v>
      </c>
      <c r="N547" s="2" t="s">
        <v>108</v>
      </c>
      <c r="O547" s="97" t="s">
        <v>386</v>
      </c>
      <c r="P547" s="517" t="s">
        <v>375</v>
      </c>
      <c r="Q547" s="517"/>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1341</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18" t="s">
        <v>366</v>
      </c>
      <c r="V570" s="518"/>
      <c r="W570" s="85" t="e">
        <f>W569/M548</f>
        <v>#DIV/0!</v>
      </c>
      <c r="X570" s="86"/>
      <c r="Y570" s="516" t="s">
        <v>365</v>
      </c>
      <c r="Z570" s="516"/>
      <c r="AA570" s="87" t="e">
        <f>AA569/M548</f>
        <v>#DIV/0!</v>
      </c>
      <c r="AB570" s="84"/>
      <c r="AC570" s="84"/>
      <c r="AD570" s="84"/>
      <c r="AE570" s="84"/>
      <c r="AF570" s="516" t="s">
        <v>365</v>
      </c>
      <c r="AG570" s="516"/>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customHeight="1" x14ac:dyDescent="0.8">
      <c r="A571" s="262">
        <f>ROW()</f>
        <v>571</v>
      </c>
      <c r="C571" s="211"/>
      <c r="D571" s="211"/>
      <c r="E571" s="211"/>
      <c r="F571" s="211"/>
      <c r="G571" s="211"/>
      <c r="H571" s="211"/>
      <c r="K571" s="116" t="s">
        <v>452</v>
      </c>
      <c r="M571" s="116" t="s">
        <v>107</v>
      </c>
      <c r="N571" s="116" t="s">
        <v>108</v>
      </c>
      <c r="O571" s="170" t="s">
        <v>386</v>
      </c>
      <c r="P571" s="517" t="s">
        <v>375</v>
      </c>
      <c r="Q571" s="517"/>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18" t="s">
        <v>366</v>
      </c>
      <c r="V594" s="518"/>
      <c r="W594" s="162" t="e">
        <f>W593/M572</f>
        <v>#DIV/0!</v>
      </c>
      <c r="X594" s="163"/>
      <c r="Y594" s="516" t="s">
        <v>365</v>
      </c>
      <c r="Z594" s="516"/>
      <c r="AA594" s="164" t="e">
        <f>AA593/M572</f>
        <v>#DIV/0!</v>
      </c>
      <c r="AB594" s="161"/>
      <c r="AC594" s="161"/>
      <c r="AD594" s="161"/>
      <c r="AE594" s="161"/>
      <c r="AF594" s="516" t="s">
        <v>365</v>
      </c>
      <c r="AG594" s="516"/>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customHeight="1" x14ac:dyDescent="0.8">
      <c r="A595" s="262">
        <f>ROW()</f>
        <v>595</v>
      </c>
      <c r="C595" s="211"/>
      <c r="D595" s="211"/>
      <c r="E595" s="211"/>
      <c r="F595" s="211"/>
      <c r="G595" s="211"/>
      <c r="H595" s="211"/>
      <c r="K595" s="116" t="s">
        <v>452</v>
      </c>
      <c r="M595" s="116" t="s">
        <v>107</v>
      </c>
      <c r="N595" s="116" t="s">
        <v>108</v>
      </c>
      <c r="O595" s="170" t="s">
        <v>386</v>
      </c>
      <c r="P595" s="517" t="s">
        <v>375</v>
      </c>
      <c r="Q595" s="517"/>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customHeight="1" x14ac:dyDescent="0.8">
      <c r="A596" s="262">
        <f>ROW()</f>
        <v>596</v>
      </c>
      <c r="C596" s="208"/>
      <c r="D596" s="208"/>
      <c r="E596" s="208"/>
      <c r="F596" s="208"/>
      <c r="G596" s="208"/>
      <c r="H596" s="208"/>
      <c r="L596" s="124" t="str">
        <f>VLOOKUP(M596,Sheet2!$D$2:$E$1024,2,FALSE)</f>
        <v>one</v>
      </c>
      <c r="M596" s="121">
        <f>I618</f>
        <v>1</v>
      </c>
      <c r="N596" s="132" t="s">
        <v>648</v>
      </c>
      <c r="O596" s="121" t="s">
        <v>133</v>
      </c>
      <c r="P596" s="169" t="s">
        <v>379</v>
      </c>
      <c r="Q596" s="169" t="s">
        <v>375</v>
      </c>
      <c r="R596" s="169"/>
      <c r="S596" s="133">
        <f>M596</f>
        <v>1</v>
      </c>
      <c r="T596" s="119"/>
      <c r="U596" s="121" t="s">
        <v>292</v>
      </c>
      <c r="V596" s="133">
        <f>S596</f>
        <v>1</v>
      </c>
      <c r="W596" s="133">
        <f>VLOOKUP(U596,Sheet1!$B$6:$C$45,2,FALSE)*V596</f>
        <v>0</v>
      </c>
      <c r="X596" s="141"/>
      <c r="Y596" s="121" t="s">
        <v>292</v>
      </c>
      <c r="Z596" s="146">
        <f>VLOOKUP(Takeoffs!Y596,Sheet1!$B$6:$C$124,2,FALSE)</f>
        <v>0</v>
      </c>
      <c r="AA596" s="146">
        <f>Z596*AB596</f>
        <v>0</v>
      </c>
      <c r="AB596" s="143">
        <f>AD596*AC596</f>
        <v>1</v>
      </c>
      <c r="AC596" s="133">
        <f>S596</f>
        <v>1</v>
      </c>
      <c r="AD596" s="142">
        <v>1</v>
      </c>
      <c r="AE596" s="141"/>
      <c r="AF596" s="121" t="s">
        <v>292</v>
      </c>
      <c r="AG596" s="146">
        <f>VLOOKUP(Takeoffs!AF596,Sheet1!$B$6:$C$124,2,FALSE)</f>
        <v>0</v>
      </c>
      <c r="AH596" s="146">
        <f>AG596*AI596</f>
        <v>0</v>
      </c>
      <c r="AI596" s="143">
        <f>AK596*AJ596</f>
        <v>0</v>
      </c>
      <c r="AJ596" s="133">
        <f>S596</f>
        <v>1</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1</v>
      </c>
      <c r="T597" s="120"/>
      <c r="U597" s="121" t="s">
        <v>292</v>
      </c>
      <c r="V597" s="133">
        <f t="shared" ref="V597:V616" si="273">S597</f>
        <v>1</v>
      </c>
      <c r="W597" s="133">
        <f>VLOOKUP(U597,Sheet1!$B$6:$C$45,2,FALSE)*V597</f>
        <v>0</v>
      </c>
      <c r="X597" s="141"/>
      <c r="Y597" s="121" t="s">
        <v>292</v>
      </c>
      <c r="Z597" s="146">
        <f>VLOOKUP(Takeoffs!Y597,Sheet1!$B$6:$C$124,2,FALSE)</f>
        <v>0</v>
      </c>
      <c r="AA597" s="146">
        <f t="shared" ref="AA597:AA616" si="274">Z597*AB597</f>
        <v>0</v>
      </c>
      <c r="AB597" s="143">
        <f t="shared" ref="AB597:AB616" si="275">AD597*AC597</f>
        <v>1</v>
      </c>
      <c r="AC597" s="133">
        <f t="shared" ref="AC597:AC616" si="276">S597</f>
        <v>1</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1</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1</v>
      </c>
      <c r="T598" s="120"/>
      <c r="U598" s="121" t="s">
        <v>292</v>
      </c>
      <c r="V598" s="133">
        <f t="shared" si="273"/>
        <v>1</v>
      </c>
      <c r="W598" s="133">
        <f>VLOOKUP(U598,Sheet1!$B$6:$C$45,2,FALSE)*V598</f>
        <v>0</v>
      </c>
      <c r="X598" s="141"/>
      <c r="Y598" s="121" t="s">
        <v>292</v>
      </c>
      <c r="Z598" s="146">
        <f>VLOOKUP(Takeoffs!Y598,Sheet1!$B$6:$C$124,2,FALSE)</f>
        <v>0</v>
      </c>
      <c r="AA598" s="146">
        <f t="shared" si="274"/>
        <v>0</v>
      </c>
      <c r="AB598" s="143">
        <f t="shared" si="275"/>
        <v>1</v>
      </c>
      <c r="AC598" s="133">
        <f t="shared" si="276"/>
        <v>1</v>
      </c>
      <c r="AD598" s="142">
        <v>1</v>
      </c>
      <c r="AE598" s="141"/>
      <c r="AF598" s="122" t="s">
        <v>268</v>
      </c>
      <c r="AG598" s="146">
        <f>VLOOKUP(Takeoffs!AF598,Sheet1!$B$6:$C$124,2,FALSE)</f>
        <v>1.02</v>
      </c>
      <c r="AH598" s="146">
        <f t="shared" si="277"/>
        <v>5.0999999999999996</v>
      </c>
      <c r="AI598" s="143">
        <f t="shared" si="278"/>
        <v>5</v>
      </c>
      <c r="AJ598" s="133">
        <f t="shared" si="279"/>
        <v>1</v>
      </c>
      <c r="AK598" s="142">
        <v>5</v>
      </c>
      <c r="AL598" s="141"/>
      <c r="AO598" s="286"/>
      <c r="AP598" s="284">
        <f t="shared" si="268"/>
        <v>0</v>
      </c>
      <c r="AQ598" s="281">
        <f t="shared" si="269"/>
        <v>0</v>
      </c>
      <c r="AR598" s="284">
        <f t="shared" si="270"/>
        <v>0</v>
      </c>
      <c r="AS598" s="281">
        <f t="shared" si="271"/>
        <v>0</v>
      </c>
      <c r="AT598" s="284">
        <f t="shared" si="272"/>
        <v>0</v>
      </c>
    </row>
    <row r="599" spans="1:97" s="114" customFormat="1" ht="30.9"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1</v>
      </c>
      <c r="T599" s="120"/>
      <c r="U599" s="121" t="s">
        <v>361</v>
      </c>
      <c r="V599" s="133">
        <f t="shared" si="273"/>
        <v>1</v>
      </c>
      <c r="W599" s="133">
        <f>VLOOKUP(U599,Sheet1!$B$6:$C$45,2,FALSE)*V599</f>
        <v>1</v>
      </c>
      <c r="X599" s="141"/>
      <c r="Y599" s="121" t="s">
        <v>292</v>
      </c>
      <c r="Z599" s="146">
        <f>VLOOKUP(Takeoffs!Y599,Sheet1!$B$6:$C$124,2,FALSE)</f>
        <v>0</v>
      </c>
      <c r="AA599" s="146">
        <f t="shared" si="274"/>
        <v>0</v>
      </c>
      <c r="AB599" s="143">
        <f t="shared" si="275"/>
        <v>1</v>
      </c>
      <c r="AC599" s="133">
        <f t="shared" si="276"/>
        <v>1</v>
      </c>
      <c r="AD599" s="142">
        <v>1</v>
      </c>
      <c r="AE599" s="141"/>
      <c r="AF599" s="121" t="s">
        <v>292</v>
      </c>
      <c r="AG599" s="146">
        <f>VLOOKUP(Takeoffs!AF599,Sheet1!$B$6:$C$124,2,FALSE)</f>
        <v>0</v>
      </c>
      <c r="AH599" s="146">
        <f t="shared" si="277"/>
        <v>0</v>
      </c>
      <c r="AI599" s="143">
        <f t="shared" si="278"/>
        <v>0</v>
      </c>
      <c r="AJ599" s="133">
        <f t="shared" si="279"/>
        <v>1</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1</v>
      </c>
      <c r="T600" s="120"/>
      <c r="U600" s="121" t="s">
        <v>292</v>
      </c>
      <c r="V600" s="133">
        <f t="shared" si="273"/>
        <v>1</v>
      </c>
      <c r="W600" s="133">
        <f>VLOOKUP(U600,Sheet1!$B$6:$C$45,2,FALSE)*V600</f>
        <v>0</v>
      </c>
      <c r="X600" s="141"/>
      <c r="Y600" s="122" t="s">
        <v>277</v>
      </c>
      <c r="Z600" s="146">
        <f>VLOOKUP(Takeoffs!Y600,Sheet1!$B$6:$C$124,2,FALSE)</f>
        <v>69.540000000000006</v>
      </c>
      <c r="AA600" s="146">
        <f t="shared" si="274"/>
        <v>69.540000000000006</v>
      </c>
      <c r="AB600" s="143">
        <f t="shared" si="275"/>
        <v>1</v>
      </c>
      <c r="AC600" s="133">
        <f t="shared" si="276"/>
        <v>1</v>
      </c>
      <c r="AD600" s="142">
        <v>1</v>
      </c>
      <c r="AE600" s="141"/>
      <c r="AF600" s="121" t="s">
        <v>292</v>
      </c>
      <c r="AG600" s="146">
        <f>VLOOKUP(Takeoffs!AF600,Sheet1!$B$6:$C$124,2,FALSE)</f>
        <v>0</v>
      </c>
      <c r="AH600" s="146">
        <f t="shared" si="277"/>
        <v>0</v>
      </c>
      <c r="AI600" s="143">
        <f t="shared" si="278"/>
        <v>0</v>
      </c>
      <c r="AJ600" s="133">
        <f t="shared" si="279"/>
        <v>1</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1</v>
      </c>
      <c r="T601" s="120"/>
      <c r="U601" s="121" t="s">
        <v>362</v>
      </c>
      <c r="V601" s="133">
        <f t="shared" si="273"/>
        <v>1</v>
      </c>
      <c r="W601" s="133">
        <f>VLOOKUP(U601,Sheet1!$B$6:$C$45,2,FALSE)*V601</f>
        <v>1</v>
      </c>
      <c r="X601" s="141"/>
      <c r="Y601" s="122" t="s">
        <v>280</v>
      </c>
      <c r="Z601" s="146">
        <f>VLOOKUP(Takeoffs!Y601,Sheet1!$B$6:$C$124,2,FALSE)</f>
        <v>19.2</v>
      </c>
      <c r="AA601" s="146">
        <f t="shared" si="274"/>
        <v>19.2</v>
      </c>
      <c r="AB601" s="143">
        <f t="shared" si="275"/>
        <v>1</v>
      </c>
      <c r="AC601" s="133">
        <f t="shared" si="276"/>
        <v>1</v>
      </c>
      <c r="AD601" s="142">
        <v>1</v>
      </c>
      <c r="AE601" s="141"/>
      <c r="AF601" s="135" t="s">
        <v>269</v>
      </c>
      <c r="AG601" s="146">
        <f>VLOOKUP(Takeoffs!AF601,Sheet1!$B$6:$C$124,2,FALSE)</f>
        <v>1.056</v>
      </c>
      <c r="AH601" s="146">
        <f t="shared" si="277"/>
        <v>10.56</v>
      </c>
      <c r="AI601" s="143">
        <f t="shared" si="278"/>
        <v>10</v>
      </c>
      <c r="AJ601" s="133">
        <f t="shared" si="279"/>
        <v>1</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1</v>
      </c>
      <c r="T602" s="120"/>
      <c r="U602" s="121" t="s">
        <v>292</v>
      </c>
      <c r="V602" s="133">
        <f t="shared" si="273"/>
        <v>1</v>
      </c>
      <c r="W602" s="133">
        <f>VLOOKUP(U602,Sheet1!$B$6:$C$45,2,FALSE)*V602</f>
        <v>0</v>
      </c>
      <c r="X602" s="141"/>
      <c r="Y602" s="135" t="s">
        <v>422</v>
      </c>
      <c r="Z602" s="146">
        <f>VLOOKUP(Takeoffs!Y602,Sheet1!$B$6:$C$124,2,FALSE)</f>
        <v>23.4</v>
      </c>
      <c r="AA602" s="146">
        <f t="shared" si="274"/>
        <v>23.4</v>
      </c>
      <c r="AB602" s="143">
        <f t="shared" si="275"/>
        <v>1</v>
      </c>
      <c r="AC602" s="133">
        <f t="shared" si="276"/>
        <v>1</v>
      </c>
      <c r="AD602" s="142">
        <v>1</v>
      </c>
      <c r="AE602" s="141"/>
      <c r="AF602" s="121" t="s">
        <v>292</v>
      </c>
      <c r="AG602" s="146">
        <f>VLOOKUP(Takeoffs!AF602,Sheet1!$B$6:$C$124,2,FALSE)</f>
        <v>0</v>
      </c>
      <c r="AH602" s="146">
        <f t="shared" si="277"/>
        <v>0</v>
      </c>
      <c r="AI602" s="143">
        <f t="shared" si="278"/>
        <v>0</v>
      </c>
      <c r="AJ602" s="133">
        <f t="shared" si="279"/>
        <v>1</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1</v>
      </c>
      <c r="T603" s="120"/>
      <c r="U603" s="121" t="s">
        <v>292</v>
      </c>
      <c r="V603" s="133">
        <f t="shared" si="273"/>
        <v>1</v>
      </c>
      <c r="W603" s="133">
        <f>VLOOKUP(U603,Sheet1!$B$6:$C$45,2,FALSE)*V603</f>
        <v>0</v>
      </c>
      <c r="X603" s="141"/>
      <c r="Y603" s="122" t="s">
        <v>333</v>
      </c>
      <c r="Z603" s="146">
        <f>VLOOKUP(Takeoffs!Y603,Sheet1!$B$6:$C$124,2,FALSE)</f>
        <v>60</v>
      </c>
      <c r="AA603" s="146">
        <f t="shared" si="274"/>
        <v>60</v>
      </c>
      <c r="AB603" s="143">
        <f t="shared" si="275"/>
        <v>1</v>
      </c>
      <c r="AC603" s="133">
        <f t="shared" si="276"/>
        <v>1</v>
      </c>
      <c r="AD603" s="142">
        <v>1</v>
      </c>
      <c r="AE603" s="141"/>
      <c r="AF603" s="121" t="s">
        <v>292</v>
      </c>
      <c r="AG603" s="146">
        <f>VLOOKUP(Takeoffs!AF603,Sheet1!$B$6:$C$124,2,FALSE)</f>
        <v>0</v>
      </c>
      <c r="AH603" s="146">
        <f t="shared" si="277"/>
        <v>0</v>
      </c>
      <c r="AI603" s="143">
        <f t="shared" si="278"/>
        <v>0</v>
      </c>
      <c r="AJ603" s="133">
        <f t="shared" si="279"/>
        <v>1</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1</v>
      </c>
      <c r="T604" s="120"/>
      <c r="U604" s="121" t="s">
        <v>292</v>
      </c>
      <c r="V604" s="133">
        <f t="shared" si="273"/>
        <v>1</v>
      </c>
      <c r="W604" s="133">
        <f>VLOOKUP(U604,Sheet1!$B$6:$C$45,2,FALSE)*V604</f>
        <v>0</v>
      </c>
      <c r="X604" s="141"/>
      <c r="Y604" s="121" t="s">
        <v>292</v>
      </c>
      <c r="Z604" s="146">
        <f>VLOOKUP(Takeoffs!Y604,Sheet1!$B$6:$C$124,2,FALSE)</f>
        <v>0</v>
      </c>
      <c r="AA604" s="146">
        <f t="shared" si="274"/>
        <v>0</v>
      </c>
      <c r="AB604" s="143">
        <f t="shared" si="275"/>
        <v>1</v>
      </c>
      <c r="AC604" s="133">
        <f t="shared" si="276"/>
        <v>1</v>
      </c>
      <c r="AD604" s="142">
        <v>1</v>
      </c>
      <c r="AE604" s="141"/>
      <c r="AF604" s="121" t="s">
        <v>292</v>
      </c>
      <c r="AG604" s="146">
        <f>VLOOKUP(Takeoffs!AF604,Sheet1!$B$6:$C$124,2,FALSE)</f>
        <v>0</v>
      </c>
      <c r="AH604" s="146">
        <f t="shared" si="277"/>
        <v>0</v>
      </c>
      <c r="AI604" s="143">
        <f t="shared" si="278"/>
        <v>0</v>
      </c>
      <c r="AJ604" s="133">
        <f t="shared" si="279"/>
        <v>1</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1</v>
      </c>
      <c r="T605" s="120"/>
      <c r="U605" s="121" t="s">
        <v>292</v>
      </c>
      <c r="V605" s="133">
        <f t="shared" si="273"/>
        <v>1</v>
      </c>
      <c r="W605" s="133">
        <f>VLOOKUP(U605,Sheet1!$B$6:$C$45,2,FALSE)*V605</f>
        <v>0</v>
      </c>
      <c r="X605" s="141"/>
      <c r="Y605" s="121" t="s">
        <v>292</v>
      </c>
      <c r="Z605" s="146">
        <f>VLOOKUP(Takeoffs!Y605,Sheet1!$B$6:$C$124,2,FALSE)</f>
        <v>0</v>
      </c>
      <c r="AA605" s="146">
        <f t="shared" si="274"/>
        <v>0</v>
      </c>
      <c r="AB605" s="143">
        <f t="shared" si="275"/>
        <v>1</v>
      </c>
      <c r="AC605" s="133">
        <f t="shared" si="276"/>
        <v>1</v>
      </c>
      <c r="AD605" s="142">
        <v>1</v>
      </c>
      <c r="AE605" s="141"/>
      <c r="AF605" s="121" t="s">
        <v>292</v>
      </c>
      <c r="AG605" s="146">
        <f>VLOOKUP(Takeoffs!AF605,Sheet1!$B$6:$C$124,2,FALSE)</f>
        <v>0</v>
      </c>
      <c r="AH605" s="146">
        <f t="shared" si="277"/>
        <v>0</v>
      </c>
      <c r="AI605" s="143">
        <f t="shared" si="278"/>
        <v>0</v>
      </c>
      <c r="AJ605" s="133">
        <f t="shared" si="279"/>
        <v>1</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1</v>
      </c>
      <c r="T606" s="120"/>
      <c r="U606" s="121" t="s">
        <v>292</v>
      </c>
      <c r="V606" s="133">
        <f t="shared" si="273"/>
        <v>1</v>
      </c>
      <c r="W606" s="133">
        <f>VLOOKUP(U606,Sheet1!$B$6:$C$45,2,FALSE)*V606</f>
        <v>0</v>
      </c>
      <c r="X606" s="141"/>
      <c r="Y606" s="121" t="s">
        <v>292</v>
      </c>
      <c r="Z606" s="146">
        <f>VLOOKUP(Takeoffs!Y606,Sheet1!$B$6:$C$124,2,FALSE)</f>
        <v>0</v>
      </c>
      <c r="AA606" s="146">
        <f t="shared" si="274"/>
        <v>0</v>
      </c>
      <c r="AB606" s="143">
        <f t="shared" si="275"/>
        <v>1</v>
      </c>
      <c r="AC606" s="133">
        <f t="shared" si="276"/>
        <v>1</v>
      </c>
      <c r="AD606" s="142">
        <v>1</v>
      </c>
      <c r="AE606" s="141"/>
      <c r="AF606" s="121" t="s">
        <v>292</v>
      </c>
      <c r="AG606" s="146">
        <f>VLOOKUP(Takeoffs!AF606,Sheet1!$B$6:$C$124,2,FALSE)</f>
        <v>0</v>
      </c>
      <c r="AH606" s="146">
        <f t="shared" si="277"/>
        <v>0</v>
      </c>
      <c r="AI606" s="143">
        <f t="shared" si="278"/>
        <v>0</v>
      </c>
      <c r="AJ606" s="133">
        <f t="shared" si="279"/>
        <v>1</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1</v>
      </c>
      <c r="T607" s="120"/>
      <c r="U607" s="121" t="s">
        <v>292</v>
      </c>
      <c r="V607" s="133">
        <f t="shared" si="273"/>
        <v>1</v>
      </c>
      <c r="W607" s="133">
        <f>VLOOKUP(U607,Sheet1!$B$6:$C$45,2,FALSE)*V607</f>
        <v>0</v>
      </c>
      <c r="X607" s="141"/>
      <c r="Y607" s="121" t="s">
        <v>292</v>
      </c>
      <c r="Z607" s="146">
        <f>VLOOKUP(Takeoffs!Y607,Sheet1!$B$6:$C$124,2,FALSE)</f>
        <v>0</v>
      </c>
      <c r="AA607" s="146">
        <f t="shared" si="274"/>
        <v>0</v>
      </c>
      <c r="AB607" s="143">
        <f t="shared" si="275"/>
        <v>1</v>
      </c>
      <c r="AC607" s="133">
        <f t="shared" si="276"/>
        <v>1</v>
      </c>
      <c r="AD607" s="142">
        <v>1</v>
      </c>
      <c r="AE607" s="141"/>
      <c r="AF607" s="121" t="s">
        <v>292</v>
      </c>
      <c r="AG607" s="146">
        <f>VLOOKUP(Takeoffs!AF607,Sheet1!$B$6:$C$124,2,FALSE)</f>
        <v>0</v>
      </c>
      <c r="AH607" s="146">
        <f t="shared" si="277"/>
        <v>0</v>
      </c>
      <c r="AI607" s="143">
        <f t="shared" si="278"/>
        <v>0</v>
      </c>
      <c r="AJ607" s="133">
        <f t="shared" si="279"/>
        <v>1</v>
      </c>
      <c r="AK607" s="142">
        <v>0</v>
      </c>
      <c r="AL607" s="141"/>
      <c r="AO607" s="286"/>
      <c r="AP607" s="284">
        <f t="shared" si="268"/>
        <v>0</v>
      </c>
      <c r="AQ607" s="281">
        <f t="shared" si="269"/>
        <v>0</v>
      </c>
      <c r="AR607" s="284">
        <f t="shared" si="270"/>
        <v>0</v>
      </c>
      <c r="AS607" s="281">
        <f t="shared" si="271"/>
        <v>0</v>
      </c>
      <c r="AT607" s="284">
        <f t="shared" si="272"/>
        <v>0</v>
      </c>
    </row>
    <row r="608" spans="1:97" s="114" customFormat="1" ht="30.9"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1</v>
      </c>
      <c r="T608" s="120"/>
      <c r="U608" s="121" t="s">
        <v>292</v>
      </c>
      <c r="V608" s="133">
        <f t="shared" si="273"/>
        <v>1</v>
      </c>
      <c r="W608" s="133">
        <f>VLOOKUP(U608,Sheet1!$B$6:$C$45,2,FALSE)*V608</f>
        <v>0</v>
      </c>
      <c r="X608" s="141"/>
      <c r="Y608" s="121" t="s">
        <v>292</v>
      </c>
      <c r="Z608" s="146">
        <f>VLOOKUP(Takeoffs!Y608,Sheet1!$B$6:$C$124,2,FALSE)</f>
        <v>0</v>
      </c>
      <c r="AA608" s="146">
        <f t="shared" si="274"/>
        <v>0</v>
      </c>
      <c r="AB608" s="143">
        <f t="shared" si="275"/>
        <v>1</v>
      </c>
      <c r="AC608" s="133">
        <f t="shared" si="276"/>
        <v>1</v>
      </c>
      <c r="AD608" s="142">
        <v>1</v>
      </c>
      <c r="AE608" s="141"/>
      <c r="AF608" s="121" t="s">
        <v>292</v>
      </c>
      <c r="AG608" s="146">
        <f>VLOOKUP(Takeoffs!AF608,Sheet1!$B$6:$C$124,2,FALSE)</f>
        <v>0</v>
      </c>
      <c r="AH608" s="146">
        <f t="shared" si="277"/>
        <v>0</v>
      </c>
      <c r="AI608" s="143">
        <f t="shared" si="278"/>
        <v>0</v>
      </c>
      <c r="AJ608" s="133">
        <f t="shared" si="279"/>
        <v>1</v>
      </c>
      <c r="AK608" s="142">
        <v>0</v>
      </c>
      <c r="AL608" s="141"/>
      <c r="AO608" s="286"/>
      <c r="AP608" s="284">
        <f t="shared" si="268"/>
        <v>0</v>
      </c>
      <c r="AQ608" s="281">
        <f t="shared" si="269"/>
        <v>0</v>
      </c>
      <c r="AR608" s="284">
        <f t="shared" si="270"/>
        <v>0</v>
      </c>
      <c r="AS608" s="281">
        <f t="shared" si="271"/>
        <v>0</v>
      </c>
      <c r="AT608" s="284">
        <f t="shared" si="272"/>
        <v>0</v>
      </c>
    </row>
    <row r="609" spans="1:97" s="114" customFormat="1" ht="30.9"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1</v>
      </c>
      <c r="T609" s="120"/>
      <c r="U609" s="121" t="s">
        <v>292</v>
      </c>
      <c r="V609" s="133">
        <f t="shared" si="273"/>
        <v>1</v>
      </c>
      <c r="W609" s="133">
        <f>VLOOKUP(U609,Sheet1!$B$6:$C$45,2,FALSE)*V609</f>
        <v>0</v>
      </c>
      <c r="X609" s="141"/>
      <c r="Y609" s="121" t="s">
        <v>292</v>
      </c>
      <c r="Z609" s="146">
        <f>VLOOKUP(Takeoffs!Y609,Sheet1!$B$6:$C$124,2,FALSE)</f>
        <v>0</v>
      </c>
      <c r="AA609" s="146">
        <f t="shared" si="274"/>
        <v>0</v>
      </c>
      <c r="AB609" s="143">
        <f t="shared" si="275"/>
        <v>1</v>
      </c>
      <c r="AC609" s="133">
        <f t="shared" si="276"/>
        <v>1</v>
      </c>
      <c r="AD609" s="142">
        <v>1</v>
      </c>
      <c r="AE609" s="141"/>
      <c r="AF609" s="121" t="s">
        <v>292</v>
      </c>
      <c r="AG609" s="146">
        <f>VLOOKUP(Takeoffs!AF609,Sheet1!$B$6:$C$124,2,FALSE)</f>
        <v>0</v>
      </c>
      <c r="AH609" s="146">
        <f t="shared" si="277"/>
        <v>0</v>
      </c>
      <c r="AI609" s="143">
        <f t="shared" si="278"/>
        <v>0</v>
      </c>
      <c r="AJ609" s="133">
        <f t="shared" si="279"/>
        <v>1</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1</v>
      </c>
      <c r="T610" s="120"/>
      <c r="U610" s="121" t="s">
        <v>292</v>
      </c>
      <c r="V610" s="133">
        <f t="shared" si="273"/>
        <v>1</v>
      </c>
      <c r="W610" s="133">
        <f>VLOOKUP(U610,Sheet1!$B$6:$C$45,2,FALSE)*V610</f>
        <v>0</v>
      </c>
      <c r="X610" s="141"/>
      <c r="Y610" s="121" t="s">
        <v>292</v>
      </c>
      <c r="Z610" s="146">
        <f>VLOOKUP(Takeoffs!Y610,Sheet1!$B$6:$C$124,2,FALSE)</f>
        <v>0</v>
      </c>
      <c r="AA610" s="146">
        <f t="shared" si="274"/>
        <v>0</v>
      </c>
      <c r="AB610" s="143">
        <f t="shared" si="275"/>
        <v>1</v>
      </c>
      <c r="AC610" s="133">
        <f t="shared" si="276"/>
        <v>1</v>
      </c>
      <c r="AD610" s="142">
        <v>1</v>
      </c>
      <c r="AE610" s="141"/>
      <c r="AF610" s="121" t="s">
        <v>292</v>
      </c>
      <c r="AG610" s="146">
        <f>VLOOKUP(Takeoffs!AF610,Sheet1!$B$6:$C$124,2,FALSE)</f>
        <v>0</v>
      </c>
      <c r="AH610" s="146">
        <f t="shared" si="277"/>
        <v>0</v>
      </c>
      <c r="AI610" s="143">
        <f t="shared" si="278"/>
        <v>0</v>
      </c>
      <c r="AJ610" s="133">
        <f t="shared" si="279"/>
        <v>1</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1</v>
      </c>
      <c r="T611" s="120"/>
      <c r="U611" s="121" t="s">
        <v>292</v>
      </c>
      <c r="V611" s="133">
        <f t="shared" si="273"/>
        <v>1</v>
      </c>
      <c r="W611" s="133">
        <f>VLOOKUP(U611,Sheet1!$B$6:$C$45,2,FALSE)*V611</f>
        <v>0</v>
      </c>
      <c r="X611" s="141"/>
      <c r="Y611" s="121" t="s">
        <v>292</v>
      </c>
      <c r="Z611" s="146">
        <f>VLOOKUP(Takeoffs!Y611,Sheet1!$B$6:$C$124,2,FALSE)</f>
        <v>0</v>
      </c>
      <c r="AA611" s="146">
        <f t="shared" si="274"/>
        <v>0</v>
      </c>
      <c r="AB611" s="143">
        <f t="shared" si="275"/>
        <v>2</v>
      </c>
      <c r="AC611" s="133">
        <f t="shared" si="276"/>
        <v>1</v>
      </c>
      <c r="AD611" s="142">
        <v>2</v>
      </c>
      <c r="AE611" s="141"/>
      <c r="AF611" s="121" t="s">
        <v>292</v>
      </c>
      <c r="AG611" s="146">
        <f>VLOOKUP(Takeoffs!AF611,Sheet1!$B$6:$C$124,2,FALSE)</f>
        <v>0</v>
      </c>
      <c r="AH611" s="146">
        <f t="shared" si="277"/>
        <v>0</v>
      </c>
      <c r="AI611" s="143">
        <f t="shared" si="278"/>
        <v>0</v>
      </c>
      <c r="AJ611" s="133">
        <f t="shared" si="279"/>
        <v>1</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1</v>
      </c>
      <c r="T612" s="120"/>
      <c r="U612" s="121" t="s">
        <v>292</v>
      </c>
      <c r="V612" s="133">
        <f t="shared" si="273"/>
        <v>1</v>
      </c>
      <c r="W612" s="133">
        <f>VLOOKUP(U612,Sheet1!$B$6:$C$45,2,FALSE)*V612</f>
        <v>0</v>
      </c>
      <c r="X612" s="141"/>
      <c r="Y612" s="121" t="s">
        <v>292</v>
      </c>
      <c r="Z612" s="146">
        <f>VLOOKUP(Takeoffs!Y612,Sheet1!$B$6:$C$124,2,FALSE)</f>
        <v>0</v>
      </c>
      <c r="AA612" s="146">
        <f t="shared" si="274"/>
        <v>0</v>
      </c>
      <c r="AB612" s="143">
        <f t="shared" si="275"/>
        <v>1</v>
      </c>
      <c r="AC612" s="133">
        <f t="shared" si="276"/>
        <v>1</v>
      </c>
      <c r="AD612" s="142">
        <v>1</v>
      </c>
      <c r="AE612" s="141"/>
      <c r="AF612" s="121" t="s">
        <v>292</v>
      </c>
      <c r="AG612" s="146">
        <f>VLOOKUP(Takeoffs!AF612,Sheet1!$B$6:$C$124,2,FALSE)</f>
        <v>0</v>
      </c>
      <c r="AH612" s="146">
        <f t="shared" si="277"/>
        <v>0</v>
      </c>
      <c r="AI612" s="143">
        <f t="shared" si="278"/>
        <v>0</v>
      </c>
      <c r="AJ612" s="133">
        <f t="shared" si="279"/>
        <v>1</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1</v>
      </c>
      <c r="T613" s="120"/>
      <c r="U613" s="121" t="s">
        <v>292</v>
      </c>
      <c r="V613" s="133">
        <f t="shared" si="273"/>
        <v>1</v>
      </c>
      <c r="W613" s="133">
        <f>VLOOKUP(U613,Sheet1!$B$6:$C$45,2,FALSE)*V613</f>
        <v>0</v>
      </c>
      <c r="X613" s="141"/>
      <c r="Y613" s="121" t="s">
        <v>292</v>
      </c>
      <c r="Z613" s="146">
        <f>VLOOKUP(Takeoffs!Y613,Sheet1!$B$6:$C$124,2,FALSE)</f>
        <v>0</v>
      </c>
      <c r="AA613" s="146">
        <f t="shared" si="274"/>
        <v>0</v>
      </c>
      <c r="AB613" s="143">
        <f t="shared" si="275"/>
        <v>1</v>
      </c>
      <c r="AC613" s="133">
        <f t="shared" si="276"/>
        <v>1</v>
      </c>
      <c r="AD613" s="142">
        <v>1</v>
      </c>
      <c r="AE613" s="141"/>
      <c r="AF613" s="121" t="s">
        <v>292</v>
      </c>
      <c r="AG613" s="146">
        <f>VLOOKUP(Takeoffs!AF613,Sheet1!$B$6:$C$124,2,FALSE)</f>
        <v>0</v>
      </c>
      <c r="AH613" s="146">
        <f t="shared" si="277"/>
        <v>0</v>
      </c>
      <c r="AI613" s="143">
        <f t="shared" si="278"/>
        <v>0</v>
      </c>
      <c r="AJ613" s="133">
        <f t="shared" si="279"/>
        <v>1</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1</v>
      </c>
      <c r="T614" s="120"/>
      <c r="U614" s="121" t="s">
        <v>292</v>
      </c>
      <c r="V614" s="133">
        <f t="shared" si="273"/>
        <v>1</v>
      </c>
      <c r="W614" s="133">
        <f>VLOOKUP(U614,Sheet1!$B$6:$C$45,2,FALSE)*V614</f>
        <v>0</v>
      </c>
      <c r="X614" s="141"/>
      <c r="Y614" s="121" t="s">
        <v>292</v>
      </c>
      <c r="Z614" s="146">
        <f>VLOOKUP(Takeoffs!Y614,Sheet1!$B$6:$C$124,2,FALSE)</f>
        <v>0</v>
      </c>
      <c r="AA614" s="146">
        <f t="shared" si="274"/>
        <v>0</v>
      </c>
      <c r="AB614" s="143">
        <f t="shared" si="275"/>
        <v>1</v>
      </c>
      <c r="AC614" s="133">
        <f t="shared" si="276"/>
        <v>1</v>
      </c>
      <c r="AD614" s="142">
        <v>1</v>
      </c>
      <c r="AE614" s="141"/>
      <c r="AF614" s="121" t="s">
        <v>292</v>
      </c>
      <c r="AG614" s="146">
        <f>VLOOKUP(Takeoffs!AF614,Sheet1!$B$6:$C$124,2,FALSE)</f>
        <v>0</v>
      </c>
      <c r="AH614" s="146">
        <f t="shared" si="277"/>
        <v>0</v>
      </c>
      <c r="AI614" s="143">
        <f t="shared" si="278"/>
        <v>0</v>
      </c>
      <c r="AJ614" s="133">
        <f t="shared" si="279"/>
        <v>1</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1</v>
      </c>
      <c r="T615" s="120"/>
      <c r="U615" s="121" t="s">
        <v>292</v>
      </c>
      <c r="V615" s="133">
        <f t="shared" si="273"/>
        <v>1</v>
      </c>
      <c r="W615" s="133">
        <f>VLOOKUP(U615,Sheet1!$B$6:$C$45,2,FALSE)*V615</f>
        <v>0</v>
      </c>
      <c r="X615" s="141"/>
      <c r="Y615" s="121" t="s">
        <v>292</v>
      </c>
      <c r="Z615" s="146">
        <f>VLOOKUP(Takeoffs!Y615,Sheet1!$B$6:$C$124,2,FALSE)</f>
        <v>0</v>
      </c>
      <c r="AA615" s="146">
        <f t="shared" si="274"/>
        <v>0</v>
      </c>
      <c r="AB615" s="143">
        <f t="shared" si="275"/>
        <v>1</v>
      </c>
      <c r="AC615" s="133">
        <f t="shared" si="276"/>
        <v>1</v>
      </c>
      <c r="AD615" s="142">
        <v>1</v>
      </c>
      <c r="AE615" s="141"/>
      <c r="AF615" s="121" t="s">
        <v>292</v>
      </c>
      <c r="AG615" s="146">
        <f>VLOOKUP(Takeoffs!AF615,Sheet1!$B$6:$C$124,2,FALSE)</f>
        <v>0</v>
      </c>
      <c r="AH615" s="146">
        <f t="shared" si="277"/>
        <v>0</v>
      </c>
      <c r="AI615" s="143">
        <f t="shared" si="278"/>
        <v>0</v>
      </c>
      <c r="AJ615" s="133">
        <f t="shared" si="279"/>
        <v>1</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1</v>
      </c>
      <c r="T616" s="120"/>
      <c r="U616" s="121" t="s">
        <v>292</v>
      </c>
      <c r="V616" s="133">
        <f t="shared" si="273"/>
        <v>1</v>
      </c>
      <c r="W616" s="133">
        <f>VLOOKUP(U616,Sheet1!$B$6:$C$45,2,FALSE)*V616</f>
        <v>0</v>
      </c>
      <c r="X616" s="141"/>
      <c r="Y616" s="121" t="s">
        <v>292</v>
      </c>
      <c r="Z616" s="146">
        <f>VLOOKUP(Takeoffs!Y616,Sheet1!$B$6:$C$124,2,FALSE)</f>
        <v>0</v>
      </c>
      <c r="AA616" s="146">
        <f t="shared" si="274"/>
        <v>0</v>
      </c>
      <c r="AB616" s="143">
        <f t="shared" si="275"/>
        <v>1</v>
      </c>
      <c r="AC616" s="133">
        <f t="shared" si="276"/>
        <v>1</v>
      </c>
      <c r="AD616" s="142">
        <v>1</v>
      </c>
      <c r="AE616" s="141"/>
      <c r="AF616" s="121" t="s">
        <v>292</v>
      </c>
      <c r="AG616" s="146">
        <f>VLOOKUP(Takeoffs!AF616,Sheet1!$B$6:$C$124,2,FALSE)</f>
        <v>0</v>
      </c>
      <c r="AH616" s="146">
        <f t="shared" si="277"/>
        <v>0</v>
      </c>
      <c r="AI616" s="143">
        <f t="shared" si="278"/>
        <v>0</v>
      </c>
      <c r="AJ616" s="133">
        <f t="shared" si="279"/>
        <v>1</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customHeight="1" thickBot="1" x14ac:dyDescent="0.85">
      <c r="A617" s="262">
        <f>ROW()</f>
        <v>617</v>
      </c>
      <c r="C617" s="212"/>
      <c r="D617" s="212"/>
      <c r="E617" s="212"/>
      <c r="F617" s="212"/>
      <c r="G617" s="212"/>
      <c r="H617" s="212"/>
      <c r="J617" s="128" t="s">
        <v>377</v>
      </c>
      <c r="L617" s="128" t="s">
        <v>378</v>
      </c>
      <c r="N617" s="129"/>
      <c r="O617" s="130" t="s">
        <v>357</v>
      </c>
      <c r="P617" s="155">
        <f>V617+AA617+AH617</f>
        <v>347.8</v>
      </c>
      <c r="Q617" s="155"/>
      <c r="R617" s="131"/>
      <c r="S617" s="130"/>
      <c r="T617" s="127"/>
      <c r="U617" s="126" t="s">
        <v>351</v>
      </c>
      <c r="V617" s="127">
        <f>W617*80</f>
        <v>160</v>
      </c>
      <c r="W617" s="147">
        <f>SUM(W596:W616)</f>
        <v>2</v>
      </c>
      <c r="X617" s="148"/>
      <c r="Y617" s="127" t="s">
        <v>352</v>
      </c>
      <c r="Z617" s="116"/>
      <c r="AA617" s="116">
        <f>SUM(AA596:AA616)</f>
        <v>172.14000000000001</v>
      </c>
      <c r="AB617" s="149"/>
      <c r="AC617" s="149"/>
      <c r="AD617" s="149"/>
      <c r="AE617" s="149"/>
      <c r="AF617" s="127" t="s">
        <v>356</v>
      </c>
      <c r="AG617" s="116"/>
      <c r="AH617" s="116">
        <f>SUM(AH596:AH616)</f>
        <v>15.66</v>
      </c>
      <c r="AI617" s="149"/>
      <c r="AJ617" s="149"/>
      <c r="AK617" s="149"/>
      <c r="AL617" s="149"/>
      <c r="AM617" s="150">
        <f>P617</f>
        <v>347.8</v>
      </c>
      <c r="AO617" s="286"/>
      <c r="AP617" s="284">
        <f t="shared" si="268"/>
        <v>0</v>
      </c>
      <c r="AQ617" s="281">
        <f t="shared" si="269"/>
        <v>0</v>
      </c>
      <c r="AR617" s="284">
        <f t="shared" si="270"/>
        <v>0</v>
      </c>
      <c r="AS617" s="281">
        <f t="shared" si="271"/>
        <v>0</v>
      </c>
      <c r="AT617" s="284">
        <f t="shared" si="272"/>
        <v>0</v>
      </c>
    </row>
    <row r="618" spans="1:97" s="234" customFormat="1" ht="158.15"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v>1</v>
      </c>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one (1)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347.8</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f>P617/M596</f>
        <v>347.8</v>
      </c>
      <c r="Q618" s="195"/>
      <c r="R618" s="188"/>
      <c r="S618" s="160"/>
      <c r="T618" s="161"/>
      <c r="U618" s="518" t="s">
        <v>366</v>
      </c>
      <c r="V618" s="518"/>
      <c r="W618" s="162">
        <f>W617/M596</f>
        <v>2</v>
      </c>
      <c r="X618" s="163"/>
      <c r="Y618" s="516" t="s">
        <v>365</v>
      </c>
      <c r="Z618" s="516"/>
      <c r="AA618" s="164">
        <f>AA617/M596</f>
        <v>172.14000000000001</v>
      </c>
      <c r="AB618" s="161"/>
      <c r="AC618" s="161"/>
      <c r="AD618" s="161"/>
      <c r="AE618" s="161"/>
      <c r="AF618" s="516" t="s">
        <v>365</v>
      </c>
      <c r="AG618" s="516"/>
      <c r="AH618" s="164">
        <f>AH617/M596</f>
        <v>15.66</v>
      </c>
      <c r="AI618" s="161"/>
      <c r="AJ618" s="161"/>
      <c r="AK618" s="161"/>
      <c r="AL618" s="247"/>
      <c r="AM618" s="257"/>
      <c r="AN618" s="236">
        <f>K618*$D$9</f>
        <v>86.95</v>
      </c>
      <c r="AO618" s="286"/>
      <c r="AP618" s="284">
        <f t="shared" si="268"/>
        <v>347.8</v>
      </c>
      <c r="AQ618" s="281">
        <f t="shared" si="269"/>
        <v>160</v>
      </c>
      <c r="AR618" s="284">
        <f t="shared" si="270"/>
        <v>172.14000000000001</v>
      </c>
      <c r="AS618" s="281">
        <f t="shared" si="271"/>
        <v>15.66</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customHeight="1" x14ac:dyDescent="0.8">
      <c r="A619" s="262">
        <f>ROW()</f>
        <v>619</v>
      </c>
      <c r="C619" s="211"/>
      <c r="D619" s="211"/>
      <c r="E619" s="211"/>
      <c r="F619" s="211"/>
      <c r="G619" s="211"/>
      <c r="H619" s="211"/>
      <c r="K619" s="116" t="s">
        <v>452</v>
      </c>
      <c r="M619" s="116" t="s">
        <v>107</v>
      </c>
      <c r="N619" s="116" t="s">
        <v>108</v>
      </c>
      <c r="O619" s="170" t="s">
        <v>386</v>
      </c>
      <c r="P619" s="517" t="s">
        <v>375</v>
      </c>
      <c r="Q619" s="517"/>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18" t="s">
        <v>366</v>
      </c>
      <c r="V642" s="518"/>
      <c r="W642" s="162" t="e">
        <f>W641/M620</f>
        <v>#DIV/0!</v>
      </c>
      <c r="X642" s="163"/>
      <c r="Y642" s="516" t="s">
        <v>365</v>
      </c>
      <c r="Z642" s="516"/>
      <c r="AA642" s="164" t="e">
        <f>AA641/M620</f>
        <v>#DIV/0!</v>
      </c>
      <c r="AB642" s="161"/>
      <c r="AC642" s="161"/>
      <c r="AD642" s="161"/>
      <c r="AE642" s="161"/>
      <c r="AF642" s="516" t="s">
        <v>365</v>
      </c>
      <c r="AG642" s="516"/>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customHeight="1" x14ac:dyDescent="0.8">
      <c r="A643" s="262">
        <f>ROW()</f>
        <v>643</v>
      </c>
      <c r="C643" s="211"/>
      <c r="D643" s="211"/>
      <c r="E643" s="211"/>
      <c r="F643" s="211"/>
      <c r="G643" s="211"/>
      <c r="H643" s="211"/>
      <c r="K643" s="116" t="s">
        <v>452</v>
      </c>
      <c r="M643" s="116" t="s">
        <v>107</v>
      </c>
      <c r="N643" s="116" t="s">
        <v>108</v>
      </c>
      <c r="O643" s="170" t="s">
        <v>386</v>
      </c>
      <c r="P643" s="517" t="s">
        <v>375</v>
      </c>
      <c r="Q643" s="517"/>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customHeight="1" x14ac:dyDescent="0.8">
      <c r="A644" s="262">
        <f>ROW()</f>
        <v>644</v>
      </c>
      <c r="C644" s="208"/>
      <c r="D644" s="208"/>
      <c r="E644" s="208"/>
      <c r="F644" s="208"/>
      <c r="G644" s="208"/>
      <c r="H644" s="208"/>
      <c r="L644" s="124" t="str">
        <f>VLOOKUP(M644,Sheet2!$D$2:$E$1024,2,FALSE)</f>
        <v>Zero</v>
      </c>
      <c r="M644" s="121">
        <f>I666</f>
        <v>0</v>
      </c>
      <c r="N644" s="132" t="s">
        <v>781</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1341</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18" t="s">
        <v>366</v>
      </c>
      <c r="V666" s="518"/>
      <c r="W666" s="162" t="e">
        <f>W665/M644</f>
        <v>#DIV/0!</v>
      </c>
      <c r="X666" s="163"/>
      <c r="Y666" s="516" t="s">
        <v>365</v>
      </c>
      <c r="Z666" s="516"/>
      <c r="AA666" s="164" t="e">
        <f>AA665/M644</f>
        <v>#DIV/0!</v>
      </c>
      <c r="AB666" s="161"/>
      <c r="AC666" s="161"/>
      <c r="AD666" s="161"/>
      <c r="AE666" s="161"/>
      <c r="AF666" s="516" t="s">
        <v>365</v>
      </c>
      <c r="AG666" s="516"/>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customHeight="1" x14ac:dyDescent="0.8">
      <c r="A667" s="262">
        <f>ROW()</f>
        <v>667</v>
      </c>
      <c r="C667" s="211"/>
      <c r="D667" s="211"/>
      <c r="E667" s="211"/>
      <c r="F667" s="211"/>
      <c r="G667" s="211"/>
      <c r="H667" s="211"/>
      <c r="K667" s="116" t="s">
        <v>452</v>
      </c>
      <c r="M667" s="116" t="s">
        <v>107</v>
      </c>
      <c r="N667" s="116" t="s">
        <v>108</v>
      </c>
      <c r="O667" s="170" t="s">
        <v>386</v>
      </c>
      <c r="P667" s="517" t="s">
        <v>375</v>
      </c>
      <c r="Q667" s="517"/>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1341</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18" t="s">
        <v>366</v>
      </c>
      <c r="V690" s="518"/>
      <c r="W690" s="162" t="e">
        <f>W689/M668</f>
        <v>#DIV/0!</v>
      </c>
      <c r="X690" s="163"/>
      <c r="Y690" s="516" t="s">
        <v>365</v>
      </c>
      <c r="Z690" s="516"/>
      <c r="AA690" s="164" t="e">
        <f>AA689/M668</f>
        <v>#DIV/0!</v>
      </c>
      <c r="AB690" s="161"/>
      <c r="AC690" s="161"/>
      <c r="AD690" s="161"/>
      <c r="AE690" s="161"/>
      <c r="AF690" s="516" t="s">
        <v>365</v>
      </c>
      <c r="AG690" s="516"/>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customHeight="1" x14ac:dyDescent="0.8">
      <c r="A691" s="262">
        <f>ROW()</f>
        <v>691</v>
      </c>
      <c r="C691" s="211"/>
      <c r="D691" s="211"/>
      <c r="E691" s="211"/>
      <c r="F691" s="211"/>
      <c r="G691" s="211"/>
      <c r="H691" s="211"/>
      <c r="K691" s="116" t="s">
        <v>452</v>
      </c>
      <c r="M691" s="116" t="s">
        <v>107</v>
      </c>
      <c r="N691" s="116" t="s">
        <v>108</v>
      </c>
      <c r="O691" s="170" t="s">
        <v>386</v>
      </c>
      <c r="P691" s="517" t="s">
        <v>375</v>
      </c>
      <c r="Q691" s="517"/>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1341</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18" t="s">
        <v>366</v>
      </c>
      <c r="V714" s="518"/>
      <c r="W714" s="162" t="e">
        <f>W713/M692</f>
        <v>#DIV/0!</v>
      </c>
      <c r="X714" s="163"/>
      <c r="Y714" s="516" t="s">
        <v>365</v>
      </c>
      <c r="Z714" s="516"/>
      <c r="AA714" s="164" t="e">
        <f>AA713/M692</f>
        <v>#DIV/0!</v>
      </c>
      <c r="AB714" s="161"/>
      <c r="AC714" s="161"/>
      <c r="AD714" s="161"/>
      <c r="AE714" s="161"/>
      <c r="AF714" s="516" t="s">
        <v>365</v>
      </c>
      <c r="AG714" s="516"/>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customHeight="1" x14ac:dyDescent="0.8">
      <c r="A715" s="262">
        <f>ROW()</f>
        <v>715</v>
      </c>
      <c r="C715" s="211"/>
      <c r="D715" s="211"/>
      <c r="E715" s="211"/>
      <c r="F715" s="211"/>
      <c r="G715" s="211"/>
      <c r="H715" s="211"/>
      <c r="K715" s="116" t="s">
        <v>452</v>
      </c>
      <c r="M715" s="116" t="s">
        <v>107</v>
      </c>
      <c r="N715" s="116" t="s">
        <v>108</v>
      </c>
      <c r="O715" s="170" t="s">
        <v>386</v>
      </c>
      <c r="P715" s="517" t="s">
        <v>375</v>
      </c>
      <c r="Q715" s="517"/>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1341</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18" t="s">
        <v>366</v>
      </c>
      <c r="V738" s="518"/>
      <c r="W738" s="162" t="e">
        <f>W737/M716</f>
        <v>#DIV/0!</v>
      </c>
      <c r="X738" s="163"/>
      <c r="Y738" s="516" t="s">
        <v>365</v>
      </c>
      <c r="Z738" s="516"/>
      <c r="AA738" s="164" t="e">
        <f>AA737/M716</f>
        <v>#DIV/0!</v>
      </c>
      <c r="AB738" s="161"/>
      <c r="AC738" s="161"/>
      <c r="AD738" s="161"/>
      <c r="AE738" s="161"/>
      <c r="AF738" s="516" t="s">
        <v>365</v>
      </c>
      <c r="AG738" s="516"/>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customHeight="1" x14ac:dyDescent="0.8">
      <c r="A739" s="262">
        <f>ROW()</f>
        <v>739</v>
      </c>
      <c r="C739" s="211"/>
      <c r="D739" s="211"/>
      <c r="E739" s="211"/>
      <c r="F739" s="211"/>
      <c r="G739" s="211"/>
      <c r="H739" s="211"/>
      <c r="K739" s="116" t="s">
        <v>452</v>
      </c>
      <c r="M739" s="116" t="s">
        <v>107</v>
      </c>
      <c r="N739" s="116" t="s">
        <v>108</v>
      </c>
      <c r="O739" s="170" t="s">
        <v>386</v>
      </c>
      <c r="P739" s="517" t="s">
        <v>375</v>
      </c>
      <c r="Q739" s="517"/>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1341</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18" t="s">
        <v>366</v>
      </c>
      <c r="V762" s="518"/>
      <c r="W762" s="162" t="e">
        <f>W761/M740</f>
        <v>#DIV/0!</v>
      </c>
      <c r="X762" s="163"/>
      <c r="Y762" s="516" t="s">
        <v>365</v>
      </c>
      <c r="Z762" s="516"/>
      <c r="AA762" s="164" t="e">
        <f>AA761/M740</f>
        <v>#DIV/0!</v>
      </c>
      <c r="AB762" s="161"/>
      <c r="AC762" s="161"/>
      <c r="AD762" s="161"/>
      <c r="AE762" s="161"/>
      <c r="AF762" s="516" t="s">
        <v>365</v>
      </c>
      <c r="AG762" s="516"/>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customHeight="1" x14ac:dyDescent="0.8">
      <c r="A763" s="262">
        <f>ROW()</f>
        <v>763</v>
      </c>
      <c r="C763" s="211"/>
      <c r="D763" s="211"/>
      <c r="E763" s="211"/>
      <c r="F763" s="211"/>
      <c r="G763" s="211"/>
      <c r="H763" s="211"/>
      <c r="K763" s="116" t="s">
        <v>452</v>
      </c>
      <c r="M763" s="116" t="s">
        <v>107</v>
      </c>
      <c r="N763" s="116" t="s">
        <v>108</v>
      </c>
      <c r="O763" s="170" t="s">
        <v>386</v>
      </c>
      <c r="P763" s="517" t="s">
        <v>375</v>
      </c>
      <c r="Q763" s="517"/>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1341</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18" t="s">
        <v>366</v>
      </c>
      <c r="V786" s="518"/>
      <c r="W786" s="162" t="e">
        <f>W785/M764</f>
        <v>#DIV/0!</v>
      </c>
      <c r="X786" s="163"/>
      <c r="Y786" s="516" t="s">
        <v>365</v>
      </c>
      <c r="Z786" s="516"/>
      <c r="AA786" s="164" t="e">
        <f>AA785/M764</f>
        <v>#DIV/0!</v>
      </c>
      <c r="AB786" s="161"/>
      <c r="AC786" s="161"/>
      <c r="AD786" s="161"/>
      <c r="AE786" s="161"/>
      <c r="AF786" s="516" t="s">
        <v>365</v>
      </c>
      <c r="AG786" s="516"/>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customHeight="1" x14ac:dyDescent="0.8">
      <c r="A787" s="262">
        <f>ROW()</f>
        <v>787</v>
      </c>
      <c r="C787" s="211"/>
      <c r="D787" s="211"/>
      <c r="E787" s="211"/>
      <c r="F787" s="211"/>
      <c r="G787" s="211"/>
      <c r="H787" s="211"/>
      <c r="K787" s="116" t="s">
        <v>452</v>
      </c>
      <c r="M787" s="116" t="s">
        <v>107</v>
      </c>
      <c r="N787" s="116" t="s">
        <v>108</v>
      </c>
      <c r="O787" s="170" t="s">
        <v>386</v>
      </c>
      <c r="P787" s="519" t="s">
        <v>375</v>
      </c>
      <c r="Q787" s="519"/>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1341</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18" t="s">
        <v>366</v>
      </c>
      <c r="V810" s="518"/>
      <c r="W810" s="162" t="e">
        <f>W809/M788</f>
        <v>#DIV/0!</v>
      </c>
      <c r="X810" s="163"/>
      <c r="Y810" s="516" t="s">
        <v>365</v>
      </c>
      <c r="Z810" s="516"/>
      <c r="AA810" s="164" t="e">
        <f>AA809/M788</f>
        <v>#DIV/0!</v>
      </c>
      <c r="AB810" s="161"/>
      <c r="AC810" s="161"/>
      <c r="AD810" s="161"/>
      <c r="AE810" s="161"/>
      <c r="AF810" s="516" t="s">
        <v>365</v>
      </c>
      <c r="AG810" s="516"/>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customHeight="1" x14ac:dyDescent="0.8">
      <c r="A811" s="262">
        <f>ROW()</f>
        <v>811</v>
      </c>
      <c r="C811" s="211"/>
      <c r="D811" s="211"/>
      <c r="E811" s="211"/>
      <c r="F811" s="211"/>
      <c r="G811" s="211"/>
      <c r="H811" s="211"/>
      <c r="K811" s="116" t="s">
        <v>452</v>
      </c>
      <c r="M811" s="116" t="s">
        <v>107</v>
      </c>
      <c r="N811" s="116" t="s">
        <v>108</v>
      </c>
      <c r="O811" s="170" t="s">
        <v>386</v>
      </c>
      <c r="P811" s="519" t="s">
        <v>375</v>
      </c>
      <c r="Q811" s="519"/>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1341</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18" t="s">
        <v>366</v>
      </c>
      <c r="V834" s="518"/>
      <c r="W834" s="162" t="e">
        <f>W833/M812</f>
        <v>#DIV/0!</v>
      </c>
      <c r="X834" s="163"/>
      <c r="Y834" s="516" t="s">
        <v>365</v>
      </c>
      <c r="Z834" s="516"/>
      <c r="AA834" s="164" t="e">
        <f>AA833/M812</f>
        <v>#DIV/0!</v>
      </c>
      <c r="AB834" s="161"/>
      <c r="AC834" s="161"/>
      <c r="AD834" s="161"/>
      <c r="AE834" s="161"/>
      <c r="AF834" s="516" t="s">
        <v>365</v>
      </c>
      <c r="AG834" s="516"/>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customHeight="1" x14ac:dyDescent="0.8">
      <c r="A835" s="262">
        <f>ROW()</f>
        <v>835</v>
      </c>
      <c r="C835" s="211"/>
      <c r="D835" s="211"/>
      <c r="E835" s="211"/>
      <c r="F835" s="211"/>
      <c r="G835" s="211"/>
      <c r="H835" s="211"/>
      <c r="K835" s="116" t="s">
        <v>452</v>
      </c>
      <c r="M835" s="116" t="s">
        <v>107</v>
      </c>
      <c r="N835" s="116" t="s">
        <v>108</v>
      </c>
      <c r="O835" s="170" t="s">
        <v>386</v>
      </c>
      <c r="P835" s="519" t="s">
        <v>375</v>
      </c>
      <c r="Q835" s="519"/>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1341</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216"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18" t="s">
        <v>366</v>
      </c>
      <c r="V858" s="518"/>
      <c r="W858" s="162" t="e">
        <f>W857/M836</f>
        <v>#DIV/0!</v>
      </c>
      <c r="X858" s="163"/>
      <c r="Y858" s="516" t="s">
        <v>365</v>
      </c>
      <c r="Z858" s="516"/>
      <c r="AA858" s="164" t="e">
        <f>AA857/M836</f>
        <v>#DIV/0!</v>
      </c>
      <c r="AB858" s="161"/>
      <c r="AC858" s="161"/>
      <c r="AD858" s="161"/>
      <c r="AE858" s="161"/>
      <c r="AF858" s="516" t="s">
        <v>365</v>
      </c>
      <c r="AG858" s="516"/>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customHeight="1" x14ac:dyDescent="0.8">
      <c r="A859" s="262">
        <f>ROW()</f>
        <v>859</v>
      </c>
      <c r="C859" s="211"/>
      <c r="D859" s="211"/>
      <c r="E859" s="211"/>
      <c r="F859" s="211"/>
      <c r="G859" s="211"/>
      <c r="H859" s="211"/>
      <c r="K859" s="116" t="s">
        <v>452</v>
      </c>
      <c r="M859" s="116" t="s">
        <v>107</v>
      </c>
      <c r="N859" s="116" t="s">
        <v>108</v>
      </c>
      <c r="O859" s="170" t="s">
        <v>386</v>
      </c>
      <c r="P859" s="519" t="s">
        <v>375</v>
      </c>
      <c r="Q859" s="519"/>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1341</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18" t="s">
        <v>366</v>
      </c>
      <c r="V882" s="518"/>
      <c r="W882" s="162" t="e">
        <f>W881/M860</f>
        <v>#DIV/0!</v>
      </c>
      <c r="X882" s="163"/>
      <c r="Y882" s="516" t="s">
        <v>365</v>
      </c>
      <c r="Z882" s="516"/>
      <c r="AA882" s="164" t="e">
        <f>AA881/M860</f>
        <v>#DIV/0!</v>
      </c>
      <c r="AB882" s="161"/>
      <c r="AC882" s="161"/>
      <c r="AD882" s="161"/>
      <c r="AE882" s="161"/>
      <c r="AF882" s="516" t="s">
        <v>365</v>
      </c>
      <c r="AG882" s="516"/>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customHeight="1" x14ac:dyDescent="0.8">
      <c r="A883" s="262">
        <f>ROW()</f>
        <v>883</v>
      </c>
      <c r="C883" s="211"/>
      <c r="D883" s="211"/>
      <c r="E883" s="211"/>
      <c r="F883" s="211"/>
      <c r="G883" s="211"/>
      <c r="H883" s="211"/>
      <c r="K883" s="116" t="s">
        <v>452</v>
      </c>
      <c r="M883" s="116" t="s">
        <v>107</v>
      </c>
      <c r="N883" s="116" t="s">
        <v>108</v>
      </c>
      <c r="O883" s="170" t="s">
        <v>386</v>
      </c>
      <c r="P883" s="519" t="s">
        <v>375</v>
      </c>
      <c r="Q883" s="519"/>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1341</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18" t="s">
        <v>366</v>
      </c>
      <c r="V906" s="518"/>
      <c r="W906" s="162" t="e">
        <f>W905/M884</f>
        <v>#DIV/0!</v>
      </c>
      <c r="X906" s="163"/>
      <c r="Y906" s="516" t="s">
        <v>365</v>
      </c>
      <c r="Z906" s="516"/>
      <c r="AA906" s="164" t="e">
        <f>AA905/M884</f>
        <v>#DIV/0!</v>
      </c>
      <c r="AB906" s="161"/>
      <c r="AC906" s="161"/>
      <c r="AD906" s="161"/>
      <c r="AE906" s="161"/>
      <c r="AF906" s="516" t="s">
        <v>365</v>
      </c>
      <c r="AG906" s="516"/>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customHeight="1" x14ac:dyDescent="0.8">
      <c r="A907" s="262">
        <f>ROW()</f>
        <v>907</v>
      </c>
      <c r="C907" s="211"/>
      <c r="D907" s="211"/>
      <c r="E907" s="211"/>
      <c r="F907" s="211"/>
      <c r="G907" s="211"/>
      <c r="H907" s="211"/>
      <c r="K907" s="116" t="s">
        <v>452</v>
      </c>
      <c r="M907" s="116" t="s">
        <v>107</v>
      </c>
      <c r="N907" s="116" t="s">
        <v>108</v>
      </c>
      <c r="O907" s="170" t="s">
        <v>386</v>
      </c>
      <c r="P907" s="519" t="s">
        <v>375</v>
      </c>
      <c r="Q907" s="519"/>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1341</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18" t="s">
        <v>366</v>
      </c>
      <c r="V930" s="518"/>
      <c r="W930" s="162" t="e">
        <f>W929/M908</f>
        <v>#DIV/0!</v>
      </c>
      <c r="X930" s="163"/>
      <c r="Y930" s="516" t="s">
        <v>365</v>
      </c>
      <c r="Z930" s="516"/>
      <c r="AA930" s="164" t="e">
        <f>AA929/M908</f>
        <v>#DIV/0!</v>
      </c>
      <c r="AB930" s="161"/>
      <c r="AC930" s="161"/>
      <c r="AD930" s="161"/>
      <c r="AE930" s="161"/>
      <c r="AF930" s="516" t="s">
        <v>365</v>
      </c>
      <c r="AG930" s="516"/>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customHeight="1" x14ac:dyDescent="0.8">
      <c r="A931" s="262">
        <f>ROW()</f>
        <v>931</v>
      </c>
      <c r="C931" s="211"/>
      <c r="D931" s="211"/>
      <c r="E931" s="211"/>
      <c r="F931" s="211"/>
      <c r="G931" s="211"/>
      <c r="H931" s="211"/>
      <c r="K931" s="116" t="s">
        <v>452</v>
      </c>
      <c r="M931" s="116" t="s">
        <v>107</v>
      </c>
      <c r="N931" s="116" t="s">
        <v>108</v>
      </c>
      <c r="O931" s="170" t="s">
        <v>386</v>
      </c>
      <c r="P931" s="519" t="s">
        <v>375</v>
      </c>
      <c r="Q931" s="519"/>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1341</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18" t="s">
        <v>366</v>
      </c>
      <c r="V954" s="518"/>
      <c r="W954" s="162" t="e">
        <f>W953/M932</f>
        <v>#DIV/0!</v>
      </c>
      <c r="X954" s="163"/>
      <c r="Y954" s="516" t="s">
        <v>365</v>
      </c>
      <c r="Z954" s="516"/>
      <c r="AA954" s="164" t="e">
        <f>AA953/M932</f>
        <v>#DIV/0!</v>
      </c>
      <c r="AB954" s="161"/>
      <c r="AC954" s="161"/>
      <c r="AD954" s="161"/>
      <c r="AE954" s="161"/>
      <c r="AF954" s="516" t="s">
        <v>365</v>
      </c>
      <c r="AG954" s="516"/>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customHeight="1" x14ac:dyDescent="0.8">
      <c r="A956" s="262">
        <f>ROW()</f>
        <v>956</v>
      </c>
      <c r="C956" s="211"/>
      <c r="D956" s="211"/>
      <c r="E956" s="211"/>
      <c r="F956" s="211"/>
      <c r="G956" s="211"/>
      <c r="H956" s="211"/>
      <c r="K956" s="116" t="s">
        <v>452</v>
      </c>
      <c r="M956" s="116" t="s">
        <v>107</v>
      </c>
      <c r="N956" s="116" t="s">
        <v>108</v>
      </c>
      <c r="O956" s="170" t="s">
        <v>386</v>
      </c>
      <c r="P956" s="519" t="s">
        <v>375</v>
      </c>
      <c r="Q956" s="519"/>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1341</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18" t="s">
        <v>366</v>
      </c>
      <c r="V979" s="518"/>
      <c r="W979" s="162" t="e">
        <f>W978/M957</f>
        <v>#DIV/0!</v>
      </c>
      <c r="X979" s="163"/>
      <c r="Y979" s="516" t="s">
        <v>365</v>
      </c>
      <c r="Z979" s="516"/>
      <c r="AA979" s="164" t="e">
        <f>AA978/M957</f>
        <v>#DIV/0!</v>
      </c>
      <c r="AB979" s="161"/>
      <c r="AC979" s="161"/>
      <c r="AD979" s="161"/>
      <c r="AE979" s="161"/>
      <c r="AF979" s="516" t="s">
        <v>365</v>
      </c>
      <c r="AG979" s="516"/>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customHeight="1" x14ac:dyDescent="0.8">
      <c r="A980" s="262">
        <f>ROW()</f>
        <v>980</v>
      </c>
      <c r="C980" s="211"/>
      <c r="D980" s="211"/>
      <c r="E980" s="211"/>
      <c r="F980" s="211"/>
      <c r="G980" s="211"/>
      <c r="H980" s="211"/>
      <c r="K980" s="116" t="s">
        <v>452</v>
      </c>
      <c r="M980" s="116" t="s">
        <v>107</v>
      </c>
      <c r="N980" s="116" t="s">
        <v>108</v>
      </c>
      <c r="O980" s="170" t="s">
        <v>386</v>
      </c>
      <c r="P980" s="519" t="s">
        <v>375</v>
      </c>
      <c r="Q980" s="519"/>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1341</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18" t="s">
        <v>366</v>
      </c>
      <c r="V1003" s="518"/>
      <c r="W1003" s="162" t="e">
        <f>W1002/M981</f>
        <v>#DIV/0!</v>
      </c>
      <c r="X1003" s="163"/>
      <c r="Y1003" s="516" t="s">
        <v>365</v>
      </c>
      <c r="Z1003" s="516"/>
      <c r="AA1003" s="164" t="e">
        <f>AA1002/M981</f>
        <v>#DIV/0!</v>
      </c>
      <c r="AB1003" s="161"/>
      <c r="AC1003" s="161"/>
      <c r="AD1003" s="161"/>
      <c r="AE1003" s="161"/>
      <c r="AF1003" s="516" t="s">
        <v>365</v>
      </c>
      <c r="AG1003" s="516"/>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customHeight="1" x14ac:dyDescent="0.8">
      <c r="A1004" s="262">
        <f>ROW()</f>
        <v>1004</v>
      </c>
      <c r="C1004" s="211"/>
      <c r="D1004" s="211"/>
      <c r="E1004" s="211"/>
      <c r="F1004" s="211"/>
      <c r="G1004" s="211"/>
      <c r="H1004" s="211"/>
      <c r="K1004" s="116" t="s">
        <v>452</v>
      </c>
      <c r="M1004" s="116" t="s">
        <v>107</v>
      </c>
      <c r="N1004" s="116" t="s">
        <v>108</v>
      </c>
      <c r="O1004" s="170" t="s">
        <v>386</v>
      </c>
      <c r="P1004" s="519" t="s">
        <v>375</v>
      </c>
      <c r="Q1004" s="519"/>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1341</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18" t="s">
        <v>366</v>
      </c>
      <c r="V1027" s="518"/>
      <c r="W1027" s="162" t="e">
        <f>W1026/M1005</f>
        <v>#DIV/0!</v>
      </c>
      <c r="X1027" s="163"/>
      <c r="Y1027" s="516" t="s">
        <v>365</v>
      </c>
      <c r="Z1027" s="516"/>
      <c r="AA1027" s="164" t="e">
        <f>AA1026/M1005</f>
        <v>#DIV/0!</v>
      </c>
      <c r="AB1027" s="161"/>
      <c r="AC1027" s="161"/>
      <c r="AD1027" s="161"/>
      <c r="AE1027" s="161"/>
      <c r="AF1027" s="516" t="s">
        <v>365</v>
      </c>
      <c r="AG1027" s="516"/>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customHeight="1" x14ac:dyDescent="0.8">
      <c r="A1028" s="262">
        <f>ROW()</f>
        <v>1028</v>
      </c>
      <c r="C1028" s="211"/>
      <c r="D1028" s="211"/>
      <c r="E1028" s="211"/>
      <c r="F1028" s="211"/>
      <c r="G1028" s="211"/>
      <c r="H1028" s="211"/>
      <c r="K1028" s="116" t="s">
        <v>452</v>
      </c>
      <c r="M1028" s="116" t="s">
        <v>107</v>
      </c>
      <c r="N1028" s="116" t="s">
        <v>108</v>
      </c>
      <c r="O1028" s="170" t="s">
        <v>386</v>
      </c>
      <c r="P1028" s="519" t="s">
        <v>375</v>
      </c>
      <c r="Q1028" s="519"/>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1341</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18" t="s">
        <v>366</v>
      </c>
      <c r="V1051" s="518"/>
      <c r="W1051" s="162" t="e">
        <f>W1050/M1029</f>
        <v>#DIV/0!</v>
      </c>
      <c r="X1051" s="163"/>
      <c r="Y1051" s="516" t="s">
        <v>365</v>
      </c>
      <c r="Z1051" s="516"/>
      <c r="AA1051" s="164" t="e">
        <f>AA1050/M1029</f>
        <v>#DIV/0!</v>
      </c>
      <c r="AB1051" s="161"/>
      <c r="AC1051" s="161"/>
      <c r="AD1051" s="161"/>
      <c r="AE1051" s="161"/>
      <c r="AF1051" s="516" t="s">
        <v>365</v>
      </c>
      <c r="AG1051" s="516"/>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customHeight="1" x14ac:dyDescent="0.8">
      <c r="A1052" s="262">
        <f>ROW()</f>
        <v>1052</v>
      </c>
      <c r="C1052" s="211"/>
      <c r="D1052" s="211"/>
      <c r="E1052" s="211"/>
      <c r="F1052" s="211"/>
      <c r="G1052" s="211"/>
      <c r="H1052" s="211"/>
      <c r="K1052" s="116" t="s">
        <v>452</v>
      </c>
      <c r="M1052" s="116" t="s">
        <v>107</v>
      </c>
      <c r="N1052" s="116" t="s">
        <v>108</v>
      </c>
      <c r="O1052" s="170" t="s">
        <v>386</v>
      </c>
      <c r="P1052" s="519" t="s">
        <v>375</v>
      </c>
      <c r="Q1052" s="519"/>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1341</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18" t="s">
        <v>366</v>
      </c>
      <c r="V1075" s="518"/>
      <c r="W1075" s="162" t="e">
        <f>W1074/M1053</f>
        <v>#DIV/0!</v>
      </c>
      <c r="X1075" s="163"/>
      <c r="Y1075" s="516" t="s">
        <v>365</v>
      </c>
      <c r="Z1075" s="516"/>
      <c r="AA1075" s="164" t="e">
        <f>AA1074/M1053</f>
        <v>#DIV/0!</v>
      </c>
      <c r="AB1075" s="161"/>
      <c r="AC1075" s="161"/>
      <c r="AD1075" s="161"/>
      <c r="AE1075" s="161"/>
      <c r="AF1075" s="516" t="s">
        <v>365</v>
      </c>
      <c r="AG1075" s="516"/>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customHeight="1" x14ac:dyDescent="0.8">
      <c r="A1076" s="262">
        <f>ROW()</f>
        <v>1076</v>
      </c>
      <c r="C1076" s="211"/>
      <c r="D1076" s="211"/>
      <c r="E1076" s="211"/>
      <c r="F1076" s="211"/>
      <c r="G1076" s="211"/>
      <c r="H1076" s="211"/>
      <c r="K1076" s="116" t="s">
        <v>452</v>
      </c>
      <c r="M1076" s="116" t="s">
        <v>107</v>
      </c>
      <c r="N1076" s="116" t="s">
        <v>108</v>
      </c>
      <c r="O1076" s="170" t="s">
        <v>386</v>
      </c>
      <c r="P1076" s="519" t="s">
        <v>375</v>
      </c>
      <c r="Q1076" s="519"/>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1341</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18" t="s">
        <v>366</v>
      </c>
      <c r="V1099" s="518"/>
      <c r="W1099" s="162" t="e">
        <f>W1098/M1077</f>
        <v>#DIV/0!</v>
      </c>
      <c r="X1099" s="163"/>
      <c r="Y1099" s="516" t="s">
        <v>365</v>
      </c>
      <c r="Z1099" s="516"/>
      <c r="AA1099" s="164" t="e">
        <f>AA1098/M1077</f>
        <v>#DIV/0!</v>
      </c>
      <c r="AB1099" s="161"/>
      <c r="AC1099" s="161"/>
      <c r="AD1099" s="161"/>
      <c r="AE1099" s="161"/>
      <c r="AF1099" s="516" t="s">
        <v>365</v>
      </c>
      <c r="AG1099" s="516"/>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customHeight="1" x14ac:dyDescent="0.8">
      <c r="A1100" s="262">
        <f>ROW()</f>
        <v>1100</v>
      </c>
      <c r="C1100" s="211"/>
      <c r="D1100" s="211"/>
      <c r="E1100" s="211"/>
      <c r="F1100" s="211"/>
      <c r="G1100" s="211"/>
      <c r="H1100" s="211"/>
      <c r="K1100" s="116" t="s">
        <v>452</v>
      </c>
      <c r="M1100" s="116" t="s">
        <v>107</v>
      </c>
      <c r="N1100" s="116" t="s">
        <v>108</v>
      </c>
      <c r="O1100" s="170" t="s">
        <v>386</v>
      </c>
      <c r="P1100" s="517" t="s">
        <v>375</v>
      </c>
      <c r="Q1100" s="517"/>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1341</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18" t="s">
        <v>366</v>
      </c>
      <c r="V1123" s="518"/>
      <c r="W1123" s="162" t="e">
        <f>W1122/M1101</f>
        <v>#DIV/0!</v>
      </c>
      <c r="X1123" s="163"/>
      <c r="Y1123" s="516" t="s">
        <v>365</v>
      </c>
      <c r="Z1123" s="516"/>
      <c r="AA1123" s="164" t="e">
        <f>AA1122/M1101</f>
        <v>#DIV/0!</v>
      </c>
      <c r="AB1123" s="161"/>
      <c r="AC1123" s="161"/>
      <c r="AD1123" s="161"/>
      <c r="AE1123" s="161"/>
      <c r="AF1123" s="516" t="s">
        <v>365</v>
      </c>
      <c r="AG1123" s="516"/>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customHeight="1" x14ac:dyDescent="0.8">
      <c r="A1124" s="262">
        <f>ROW()</f>
        <v>1124</v>
      </c>
      <c r="C1124" s="211"/>
      <c r="D1124" s="211"/>
      <c r="E1124" s="211"/>
      <c r="F1124" s="211"/>
      <c r="G1124" s="211"/>
      <c r="H1124" s="211"/>
      <c r="K1124" s="116" t="s">
        <v>452</v>
      </c>
      <c r="M1124" s="116" t="s">
        <v>107</v>
      </c>
      <c r="N1124" s="116" t="s">
        <v>108</v>
      </c>
      <c r="O1124" s="170" t="s">
        <v>386</v>
      </c>
      <c r="P1124" s="517" t="s">
        <v>375</v>
      </c>
      <c r="Q1124" s="517"/>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1341</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18" t="s">
        <v>366</v>
      </c>
      <c r="V1147" s="518"/>
      <c r="W1147" s="162" t="e">
        <f>W1146/M1125</f>
        <v>#DIV/0!</v>
      </c>
      <c r="X1147" s="163"/>
      <c r="Y1147" s="516" t="s">
        <v>365</v>
      </c>
      <c r="Z1147" s="516"/>
      <c r="AA1147" s="164" t="e">
        <f>AA1146/M1125</f>
        <v>#DIV/0!</v>
      </c>
      <c r="AB1147" s="161"/>
      <c r="AC1147" s="161"/>
      <c r="AD1147" s="161"/>
      <c r="AE1147" s="161"/>
      <c r="AF1147" s="516" t="s">
        <v>365</v>
      </c>
      <c r="AG1147" s="516"/>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customHeight="1" x14ac:dyDescent="0.8">
      <c r="A1148" s="262">
        <f>ROW()</f>
        <v>1148</v>
      </c>
      <c r="C1148" s="211"/>
      <c r="D1148" s="211"/>
      <c r="E1148" s="211"/>
      <c r="F1148" s="211"/>
      <c r="G1148" s="211"/>
      <c r="H1148" s="211"/>
      <c r="K1148" s="116" t="s">
        <v>452</v>
      </c>
      <c r="M1148" s="116" t="s">
        <v>107</v>
      </c>
      <c r="N1148" s="116" t="s">
        <v>108</v>
      </c>
      <c r="O1148" s="170" t="s">
        <v>386</v>
      </c>
      <c r="P1148" s="517" t="s">
        <v>375</v>
      </c>
      <c r="Q1148" s="517"/>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1341</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18" t="s">
        <v>366</v>
      </c>
      <c r="V1171" s="518"/>
      <c r="W1171" s="162" t="e">
        <f>W1170/M1149</f>
        <v>#DIV/0!</v>
      </c>
      <c r="X1171" s="163"/>
      <c r="Y1171" s="516" t="s">
        <v>365</v>
      </c>
      <c r="Z1171" s="516"/>
      <c r="AA1171" s="164" t="e">
        <f>AA1170/M1149</f>
        <v>#DIV/0!</v>
      </c>
      <c r="AB1171" s="161"/>
      <c r="AC1171" s="161"/>
      <c r="AD1171" s="161"/>
      <c r="AE1171" s="161"/>
      <c r="AF1171" s="516" t="s">
        <v>365</v>
      </c>
      <c r="AG1171" s="516"/>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17" t="s">
        <v>375</v>
      </c>
      <c r="Q1173" s="517"/>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18" t="s">
        <v>366</v>
      </c>
      <c r="V1196" s="518"/>
      <c r="W1196" s="162" t="e">
        <f>W1195/M1174</f>
        <v>#DIV/0!</v>
      </c>
      <c r="X1196" s="163"/>
      <c r="Y1196" s="516" t="s">
        <v>365</v>
      </c>
      <c r="Z1196" s="516"/>
      <c r="AA1196" s="164" t="e">
        <f>AA1195/M1174</f>
        <v>#DIV/0!</v>
      </c>
      <c r="AB1196" s="161"/>
      <c r="AC1196" s="161"/>
      <c r="AD1196" s="161"/>
      <c r="AE1196" s="161"/>
      <c r="AF1196" s="516" t="s">
        <v>365</v>
      </c>
      <c r="AG1196" s="516"/>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customHeight="1" x14ac:dyDescent="0.8">
      <c r="A1197" s="262">
        <f>ROW()</f>
        <v>1197</v>
      </c>
      <c r="C1197" s="211"/>
      <c r="D1197" s="211"/>
      <c r="E1197" s="211"/>
      <c r="F1197" s="211"/>
      <c r="G1197" s="211"/>
      <c r="H1197" s="211"/>
      <c r="K1197" s="116" t="s">
        <v>452</v>
      </c>
      <c r="M1197" s="116" t="s">
        <v>107</v>
      </c>
      <c r="N1197" s="116" t="s">
        <v>108</v>
      </c>
      <c r="O1197" s="170" t="s">
        <v>386</v>
      </c>
      <c r="P1197" s="517" t="s">
        <v>375</v>
      </c>
      <c r="Q1197" s="517"/>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18" t="s">
        <v>366</v>
      </c>
      <c r="V1220" s="518"/>
      <c r="W1220" s="162" t="e">
        <f>W1219/M1198</f>
        <v>#DIV/0!</v>
      </c>
      <c r="X1220" s="163"/>
      <c r="Y1220" s="516" t="s">
        <v>365</v>
      </c>
      <c r="Z1220" s="516"/>
      <c r="AA1220" s="164" t="e">
        <f>AA1219/M1198</f>
        <v>#DIV/0!</v>
      </c>
      <c r="AB1220" s="161"/>
      <c r="AC1220" s="161"/>
      <c r="AD1220" s="161"/>
      <c r="AE1220" s="161"/>
      <c r="AF1220" s="516" t="s">
        <v>365</v>
      </c>
      <c r="AG1220" s="516"/>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customHeight="1" x14ac:dyDescent="0.8">
      <c r="A1221" s="262">
        <f>ROW()</f>
        <v>1221</v>
      </c>
      <c r="B1221" s="116"/>
      <c r="C1221" s="211"/>
      <c r="D1221" s="211"/>
      <c r="E1221" s="211"/>
      <c r="F1221" s="211"/>
      <c r="G1221" s="211"/>
      <c r="H1221" s="211"/>
      <c r="I1221" s="116"/>
      <c r="K1221" s="2" t="s">
        <v>452</v>
      </c>
      <c r="M1221" s="2" t="s">
        <v>107</v>
      </c>
      <c r="N1221" s="2" t="s">
        <v>108</v>
      </c>
      <c r="O1221" s="97" t="s">
        <v>386</v>
      </c>
      <c r="P1221" s="517" t="s">
        <v>375</v>
      </c>
      <c r="Q1221" s="517"/>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18" t="s">
        <v>366</v>
      </c>
      <c r="V1244" s="518"/>
      <c r="W1244" s="85" t="e">
        <f>W1243/M1222</f>
        <v>#DIV/0!</v>
      </c>
      <c r="X1244" s="86"/>
      <c r="Y1244" s="516" t="s">
        <v>365</v>
      </c>
      <c r="Z1244" s="516"/>
      <c r="AA1244" s="87" t="e">
        <f>AA1243/M1222</f>
        <v>#DIV/0!</v>
      </c>
      <c r="AB1244" s="84"/>
      <c r="AC1244" s="84"/>
      <c r="AD1244" s="84"/>
      <c r="AE1244" s="84"/>
      <c r="AF1244" s="516" t="s">
        <v>365</v>
      </c>
      <c r="AG1244" s="516"/>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customHeight="1" x14ac:dyDescent="0.8">
      <c r="A1245" s="262">
        <f>ROW()</f>
        <v>1245</v>
      </c>
      <c r="C1245" s="211"/>
      <c r="D1245" s="211"/>
      <c r="E1245" s="211"/>
      <c r="F1245" s="211"/>
      <c r="G1245" s="211"/>
      <c r="H1245" s="211"/>
      <c r="K1245" s="116" t="s">
        <v>452</v>
      </c>
      <c r="M1245" s="116" t="s">
        <v>298</v>
      </c>
      <c r="N1245" s="116" t="s">
        <v>108</v>
      </c>
      <c r="O1245" s="170" t="s">
        <v>386</v>
      </c>
      <c r="P1245" s="517" t="s">
        <v>375</v>
      </c>
      <c r="Q1245" s="517"/>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18" t="s">
        <v>366</v>
      </c>
      <c r="V1268" s="518"/>
      <c r="W1268" s="162" t="e">
        <f>W1267/M1246</f>
        <v>#DIV/0!</v>
      </c>
      <c r="X1268" s="163"/>
      <c r="Y1268" s="516" t="s">
        <v>365</v>
      </c>
      <c r="Z1268" s="516"/>
      <c r="AA1268" s="164" t="e">
        <f>AA1267/M1246</f>
        <v>#DIV/0!</v>
      </c>
      <c r="AB1268" s="161"/>
      <c r="AC1268" s="161"/>
      <c r="AD1268" s="161"/>
      <c r="AE1268" s="161"/>
      <c r="AF1268" s="516" t="s">
        <v>365</v>
      </c>
      <c r="AG1268" s="516"/>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customHeight="1" x14ac:dyDescent="0.8">
      <c r="A1269" s="262">
        <f>ROW()</f>
        <v>1269</v>
      </c>
      <c r="C1269" s="211"/>
      <c r="D1269" s="211"/>
      <c r="E1269" s="211"/>
      <c r="F1269" s="211"/>
      <c r="G1269" s="211"/>
      <c r="H1269" s="211"/>
      <c r="K1269" s="116" t="s">
        <v>452</v>
      </c>
      <c r="M1269" s="116" t="s">
        <v>298</v>
      </c>
      <c r="N1269" s="116" t="s">
        <v>108</v>
      </c>
      <c r="O1269" s="170" t="s">
        <v>386</v>
      </c>
      <c r="P1269" s="517" t="s">
        <v>375</v>
      </c>
      <c r="Q1269" s="517"/>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18" t="s">
        <v>366</v>
      </c>
      <c r="V1292" s="518"/>
      <c r="W1292" s="162" t="e">
        <f>W1291/M1270</f>
        <v>#DIV/0!</v>
      </c>
      <c r="X1292" s="163"/>
      <c r="Y1292" s="516" t="s">
        <v>365</v>
      </c>
      <c r="Z1292" s="516"/>
      <c r="AA1292" s="164" t="e">
        <f>AA1291/M1270</f>
        <v>#DIV/0!</v>
      </c>
      <c r="AB1292" s="161"/>
      <c r="AC1292" s="161"/>
      <c r="AD1292" s="161"/>
      <c r="AE1292" s="161"/>
      <c r="AF1292" s="516" t="s">
        <v>365</v>
      </c>
      <c r="AG1292" s="516"/>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customHeight="1" x14ac:dyDescent="0.8">
      <c r="A1293" s="262">
        <f>ROW()</f>
        <v>1293</v>
      </c>
      <c r="C1293" s="211"/>
      <c r="D1293" s="211"/>
      <c r="E1293" s="211"/>
      <c r="F1293" s="211"/>
      <c r="G1293" s="211"/>
      <c r="H1293" s="211"/>
      <c r="K1293" s="116" t="s">
        <v>452</v>
      </c>
      <c r="M1293" s="116" t="s">
        <v>298</v>
      </c>
      <c r="N1293" s="116" t="s">
        <v>108</v>
      </c>
      <c r="O1293" s="170" t="s">
        <v>386</v>
      </c>
      <c r="P1293" s="517" t="s">
        <v>375</v>
      </c>
      <c r="Q1293" s="517"/>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18" t="s">
        <v>366</v>
      </c>
      <c r="V1316" s="518"/>
      <c r="W1316" s="162" t="e">
        <f>W1315/M1294</f>
        <v>#DIV/0!</v>
      </c>
      <c r="X1316" s="163"/>
      <c r="Y1316" s="516" t="s">
        <v>365</v>
      </c>
      <c r="Z1316" s="516"/>
      <c r="AA1316" s="164" t="e">
        <f>AA1315/M1294</f>
        <v>#DIV/0!</v>
      </c>
      <c r="AB1316" s="161"/>
      <c r="AC1316" s="161"/>
      <c r="AD1316" s="161"/>
      <c r="AE1316" s="161"/>
      <c r="AF1316" s="516" t="s">
        <v>365</v>
      </c>
      <c r="AG1316" s="516"/>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customHeight="1" x14ac:dyDescent="0.8">
      <c r="A1317" s="262">
        <f>ROW()</f>
        <v>1317</v>
      </c>
      <c r="C1317" s="211"/>
      <c r="D1317" s="211"/>
      <c r="E1317" s="211"/>
      <c r="F1317" s="211"/>
      <c r="G1317" s="211"/>
      <c r="H1317" s="211"/>
      <c r="K1317" s="116" t="s">
        <v>452</v>
      </c>
      <c r="M1317" s="116" t="s">
        <v>298</v>
      </c>
      <c r="N1317" s="116" t="s">
        <v>108</v>
      </c>
      <c r="O1317" s="170" t="s">
        <v>386</v>
      </c>
      <c r="P1317" s="517" t="s">
        <v>375</v>
      </c>
      <c r="Q1317" s="517"/>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18" t="s">
        <v>366</v>
      </c>
      <c r="V1340" s="518"/>
      <c r="W1340" s="162" t="e">
        <f>W1339/M1318</f>
        <v>#DIV/0!</v>
      </c>
      <c r="X1340" s="163"/>
      <c r="Y1340" s="516" t="s">
        <v>365</v>
      </c>
      <c r="Z1340" s="516"/>
      <c r="AA1340" s="164" t="e">
        <f>AA1339/M1318</f>
        <v>#DIV/0!</v>
      </c>
      <c r="AB1340" s="161"/>
      <c r="AC1340" s="161"/>
      <c r="AD1340" s="161"/>
      <c r="AE1340" s="161"/>
      <c r="AF1340" s="516" t="s">
        <v>365</v>
      </c>
      <c r="AG1340" s="516"/>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customHeight="1" x14ac:dyDescent="0.8">
      <c r="A1341" s="262">
        <f>ROW()</f>
        <v>1341</v>
      </c>
      <c r="C1341" s="211"/>
      <c r="D1341" s="211"/>
      <c r="E1341" s="211"/>
      <c r="F1341" s="211"/>
      <c r="G1341" s="211"/>
      <c r="H1341" s="211"/>
      <c r="K1341" s="116" t="s">
        <v>452</v>
      </c>
      <c r="M1341" s="116" t="s">
        <v>298</v>
      </c>
      <c r="N1341" s="116" t="s">
        <v>108</v>
      </c>
      <c r="O1341" s="170" t="s">
        <v>386</v>
      </c>
      <c r="P1341" s="517" t="s">
        <v>375</v>
      </c>
      <c r="Q1341" s="517"/>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18" t="s">
        <v>366</v>
      </c>
      <c r="V1364" s="518"/>
      <c r="W1364" s="162" t="e">
        <f>W1363/M1342</f>
        <v>#DIV/0!</v>
      </c>
      <c r="X1364" s="163"/>
      <c r="Y1364" s="516" t="s">
        <v>365</v>
      </c>
      <c r="Z1364" s="516"/>
      <c r="AA1364" s="164" t="e">
        <f>AA1363/M1342</f>
        <v>#DIV/0!</v>
      </c>
      <c r="AB1364" s="161"/>
      <c r="AC1364" s="161"/>
      <c r="AD1364" s="161"/>
      <c r="AE1364" s="161"/>
      <c r="AF1364" s="516" t="s">
        <v>365</v>
      </c>
      <c r="AG1364" s="516"/>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customHeight="1" x14ac:dyDescent="0.8">
      <c r="A1365" s="262">
        <f>ROW()</f>
        <v>1365</v>
      </c>
      <c r="C1365" s="211"/>
      <c r="D1365" s="211"/>
      <c r="E1365" s="211"/>
      <c r="F1365" s="211"/>
      <c r="G1365" s="211"/>
      <c r="H1365" s="211"/>
      <c r="K1365" s="116" t="s">
        <v>452</v>
      </c>
      <c r="M1365" s="116" t="s">
        <v>298</v>
      </c>
      <c r="N1365" s="116" t="s">
        <v>108</v>
      </c>
      <c r="O1365" s="170" t="s">
        <v>386</v>
      </c>
      <c r="P1365" s="517" t="s">
        <v>375</v>
      </c>
      <c r="Q1365" s="517"/>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18" t="s">
        <v>366</v>
      </c>
      <c r="V1388" s="518"/>
      <c r="W1388" s="162" t="e">
        <f>W1387/M1366</f>
        <v>#DIV/0!</v>
      </c>
      <c r="X1388" s="163"/>
      <c r="Y1388" s="516" t="s">
        <v>365</v>
      </c>
      <c r="Z1388" s="516"/>
      <c r="AA1388" s="164" t="e">
        <f>AA1387/M1366</f>
        <v>#DIV/0!</v>
      </c>
      <c r="AB1388" s="161"/>
      <c r="AC1388" s="161"/>
      <c r="AD1388" s="161"/>
      <c r="AE1388" s="161"/>
      <c r="AF1388" s="516" t="s">
        <v>365</v>
      </c>
      <c r="AG1388" s="516"/>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customHeight="1" x14ac:dyDescent="0.8">
      <c r="A1389" s="262">
        <f>ROW()</f>
        <v>1389</v>
      </c>
      <c r="C1389" s="211"/>
      <c r="D1389" s="211"/>
      <c r="E1389" s="211"/>
      <c r="F1389" s="211"/>
      <c r="G1389" s="211"/>
      <c r="H1389" s="211"/>
      <c r="K1389" s="116" t="s">
        <v>452</v>
      </c>
      <c r="M1389" s="116" t="s">
        <v>298</v>
      </c>
      <c r="N1389" s="116" t="s">
        <v>108</v>
      </c>
      <c r="O1389" s="170" t="s">
        <v>386</v>
      </c>
      <c r="P1389" s="517" t="s">
        <v>375</v>
      </c>
      <c r="Q1389" s="517"/>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18" t="s">
        <v>366</v>
      </c>
      <c r="V1412" s="518"/>
      <c r="W1412" s="162" t="e">
        <f>W1411/M1390</f>
        <v>#DIV/0!</v>
      </c>
      <c r="X1412" s="163"/>
      <c r="Y1412" s="516" t="s">
        <v>365</v>
      </c>
      <c r="Z1412" s="516"/>
      <c r="AA1412" s="164" t="e">
        <f>AA1411/M1390</f>
        <v>#DIV/0!</v>
      </c>
      <c r="AB1412" s="161"/>
      <c r="AC1412" s="161"/>
      <c r="AD1412" s="161"/>
      <c r="AE1412" s="161"/>
      <c r="AF1412" s="516" t="s">
        <v>365</v>
      </c>
      <c r="AG1412" s="516"/>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customHeight="1" x14ac:dyDescent="0.8">
      <c r="A1413" s="262">
        <f>ROW()</f>
        <v>1413</v>
      </c>
      <c r="C1413" s="211"/>
      <c r="D1413" s="211"/>
      <c r="E1413" s="211"/>
      <c r="F1413" s="211"/>
      <c r="G1413" s="211"/>
      <c r="H1413" s="211"/>
      <c r="K1413" s="116" t="s">
        <v>452</v>
      </c>
      <c r="M1413" s="116" t="s">
        <v>298</v>
      </c>
      <c r="N1413" s="116" t="s">
        <v>108</v>
      </c>
      <c r="O1413" s="170" t="s">
        <v>386</v>
      </c>
      <c r="P1413" s="517" t="s">
        <v>375</v>
      </c>
      <c r="Q1413" s="517"/>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18" t="s">
        <v>366</v>
      </c>
      <c r="V1436" s="518"/>
      <c r="W1436" s="162" t="e">
        <f>W1435/M1414</f>
        <v>#DIV/0!</v>
      </c>
      <c r="X1436" s="163"/>
      <c r="Y1436" s="516" t="s">
        <v>365</v>
      </c>
      <c r="Z1436" s="516"/>
      <c r="AA1436" s="164" t="e">
        <f>AA1435/M1414</f>
        <v>#DIV/0!</v>
      </c>
      <c r="AB1436" s="161"/>
      <c r="AC1436" s="161"/>
      <c r="AD1436" s="161"/>
      <c r="AE1436" s="161"/>
      <c r="AF1436" s="516" t="s">
        <v>365</v>
      </c>
      <c r="AG1436" s="516"/>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customHeight="1" x14ac:dyDescent="0.8">
      <c r="A1437" s="262">
        <f>ROW()</f>
        <v>1437</v>
      </c>
      <c r="B1437" s="116"/>
      <c r="C1437" s="211"/>
      <c r="D1437" s="211"/>
      <c r="E1437" s="211"/>
      <c r="F1437" s="211"/>
      <c r="G1437" s="211"/>
      <c r="H1437" s="211"/>
      <c r="I1437" s="116"/>
      <c r="K1437" s="2" t="s">
        <v>452</v>
      </c>
      <c r="M1437" s="2" t="s">
        <v>298</v>
      </c>
      <c r="N1437" s="2" t="s">
        <v>108</v>
      </c>
      <c r="O1437" s="97" t="s">
        <v>386</v>
      </c>
      <c r="P1437" s="517" t="s">
        <v>375</v>
      </c>
      <c r="Q1437" s="517"/>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18" t="s">
        <v>366</v>
      </c>
      <c r="V1460" s="518"/>
      <c r="W1460" s="85" t="e">
        <f>W1459/M1438</f>
        <v>#DIV/0!</v>
      </c>
      <c r="X1460" s="86"/>
      <c r="Y1460" s="516" t="s">
        <v>365</v>
      </c>
      <c r="Z1460" s="516"/>
      <c r="AA1460" s="87" t="e">
        <f>AA1459/M1438</f>
        <v>#DIV/0!</v>
      </c>
      <c r="AB1460" s="84"/>
      <c r="AC1460" s="84"/>
      <c r="AD1460" s="84"/>
      <c r="AE1460" s="84"/>
      <c r="AF1460" s="516" t="s">
        <v>365</v>
      </c>
      <c r="AG1460" s="516"/>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customHeight="1" x14ac:dyDescent="0.8">
      <c r="A1461" s="262">
        <f>ROW()</f>
        <v>1461</v>
      </c>
      <c r="C1461" s="211"/>
      <c r="D1461" s="211"/>
      <c r="E1461" s="211"/>
      <c r="F1461" s="211"/>
      <c r="G1461" s="211"/>
      <c r="H1461" s="211"/>
      <c r="K1461" s="116" t="s">
        <v>452</v>
      </c>
      <c r="M1461" s="116" t="s">
        <v>298</v>
      </c>
      <c r="N1461" s="116" t="s">
        <v>108</v>
      </c>
      <c r="O1461" s="170" t="s">
        <v>386</v>
      </c>
      <c r="P1461" s="517" t="s">
        <v>375</v>
      </c>
      <c r="Q1461" s="517"/>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18" t="s">
        <v>366</v>
      </c>
      <c r="V1484" s="518"/>
      <c r="W1484" s="162" t="e">
        <f>W1483/M1462</f>
        <v>#DIV/0!</v>
      </c>
      <c r="X1484" s="163"/>
      <c r="Y1484" s="516" t="s">
        <v>365</v>
      </c>
      <c r="Z1484" s="516"/>
      <c r="AA1484" s="164" t="e">
        <f>AA1483/M1462</f>
        <v>#DIV/0!</v>
      </c>
      <c r="AB1484" s="161"/>
      <c r="AC1484" s="161"/>
      <c r="AD1484" s="161"/>
      <c r="AE1484" s="161"/>
      <c r="AF1484" s="516" t="s">
        <v>365</v>
      </c>
      <c r="AG1484" s="516"/>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customHeight="1" x14ac:dyDescent="0.8">
      <c r="A1485" s="262">
        <f>ROW()</f>
        <v>1485</v>
      </c>
      <c r="C1485" s="211"/>
      <c r="D1485" s="211"/>
      <c r="E1485" s="211"/>
      <c r="F1485" s="211"/>
      <c r="G1485" s="211"/>
      <c r="H1485" s="211"/>
      <c r="K1485" s="116" t="s">
        <v>452</v>
      </c>
      <c r="M1485" s="116" t="s">
        <v>298</v>
      </c>
      <c r="N1485" s="116" t="s">
        <v>108</v>
      </c>
      <c r="O1485" s="170" t="s">
        <v>386</v>
      </c>
      <c r="P1485" s="517" t="s">
        <v>375</v>
      </c>
      <c r="Q1485" s="517"/>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18" t="s">
        <v>366</v>
      </c>
      <c r="V1508" s="518"/>
      <c r="W1508" s="162" t="e">
        <f>W1507/M1486</f>
        <v>#DIV/0!</v>
      </c>
      <c r="X1508" s="163"/>
      <c r="Y1508" s="516" t="s">
        <v>365</v>
      </c>
      <c r="Z1508" s="516"/>
      <c r="AA1508" s="164" t="e">
        <f>AA1507/M1486</f>
        <v>#DIV/0!</v>
      </c>
      <c r="AB1508" s="161"/>
      <c r="AC1508" s="161"/>
      <c r="AD1508" s="161"/>
      <c r="AE1508" s="161"/>
      <c r="AF1508" s="516" t="s">
        <v>365</v>
      </c>
      <c r="AG1508" s="516"/>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customHeight="1" x14ac:dyDescent="0.8">
      <c r="A1509" s="262">
        <f>ROW()</f>
        <v>1509</v>
      </c>
      <c r="B1509" s="116"/>
      <c r="C1509" s="211"/>
      <c r="D1509" s="211"/>
      <c r="E1509" s="211"/>
      <c r="F1509" s="211"/>
      <c r="G1509" s="211"/>
      <c r="H1509" s="211"/>
      <c r="I1509" s="116"/>
      <c r="K1509" s="2" t="s">
        <v>452</v>
      </c>
      <c r="M1509" s="2" t="s">
        <v>298</v>
      </c>
      <c r="N1509" s="2" t="s">
        <v>108</v>
      </c>
      <c r="O1509" s="97" t="s">
        <v>386</v>
      </c>
      <c r="P1509" s="517" t="s">
        <v>375</v>
      </c>
      <c r="Q1509" s="517"/>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18" t="s">
        <v>366</v>
      </c>
      <c r="V1532" s="518"/>
      <c r="W1532" s="85" t="e">
        <f>W1531/M1510</f>
        <v>#DIV/0!</v>
      </c>
      <c r="X1532" s="86"/>
      <c r="Y1532" s="516" t="s">
        <v>365</v>
      </c>
      <c r="Z1532" s="516"/>
      <c r="AA1532" s="87" t="e">
        <f>AA1531/M1510</f>
        <v>#DIV/0!</v>
      </c>
      <c r="AB1532" s="84"/>
      <c r="AC1532" s="84"/>
      <c r="AD1532" s="84"/>
      <c r="AE1532" s="84"/>
      <c r="AF1532" s="516" t="s">
        <v>365</v>
      </c>
      <c r="AG1532" s="516"/>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customHeight="1" x14ac:dyDescent="0.8">
      <c r="A1533" s="262">
        <f>ROW()</f>
        <v>1533</v>
      </c>
      <c r="B1533" s="116"/>
      <c r="C1533" s="211"/>
      <c r="D1533" s="211"/>
      <c r="E1533" s="211"/>
      <c r="F1533" s="211"/>
      <c r="G1533" s="211"/>
      <c r="H1533" s="211"/>
      <c r="I1533" s="116"/>
      <c r="K1533" s="2" t="s">
        <v>452</v>
      </c>
      <c r="M1533" s="2" t="s">
        <v>298</v>
      </c>
      <c r="N1533" s="2" t="s">
        <v>108</v>
      </c>
      <c r="O1533" s="97" t="s">
        <v>386</v>
      </c>
      <c r="P1533" s="517" t="s">
        <v>375</v>
      </c>
      <c r="Q1533" s="517"/>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18" t="s">
        <v>366</v>
      </c>
      <c r="V1556" s="518"/>
      <c r="W1556" s="85" t="e">
        <f>W1555/M1534</f>
        <v>#DIV/0!</v>
      </c>
      <c r="X1556" s="86"/>
      <c r="Y1556" s="516" t="s">
        <v>365</v>
      </c>
      <c r="Z1556" s="516"/>
      <c r="AA1556" s="87" t="e">
        <f>AA1555/M1534</f>
        <v>#DIV/0!</v>
      </c>
      <c r="AB1556" s="84"/>
      <c r="AC1556" s="84"/>
      <c r="AD1556" s="84"/>
      <c r="AE1556" s="84"/>
      <c r="AF1556" s="516" t="s">
        <v>365</v>
      </c>
      <c r="AG1556" s="516"/>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customHeight="1" x14ac:dyDescent="0.8">
      <c r="A1559" s="262">
        <f>ROW()</f>
        <v>1559</v>
      </c>
      <c r="C1559" s="211"/>
      <c r="D1559" s="211"/>
      <c r="E1559" s="211"/>
      <c r="F1559" s="211"/>
      <c r="G1559" s="211"/>
      <c r="H1559" s="211"/>
      <c r="K1559" s="116" t="s">
        <v>452</v>
      </c>
      <c r="M1559" s="116" t="s">
        <v>107</v>
      </c>
      <c r="N1559" s="116" t="s">
        <v>108</v>
      </c>
      <c r="O1559" s="170" t="s">
        <v>386</v>
      </c>
      <c r="P1559" s="517" t="s">
        <v>375</v>
      </c>
      <c r="Q1559" s="517"/>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18" t="s">
        <v>366</v>
      </c>
      <c r="V1582" s="518"/>
      <c r="W1582" s="162" t="e">
        <f>W1581/M1560</f>
        <v>#DIV/0!</v>
      </c>
      <c r="X1582" s="163"/>
      <c r="Y1582" s="516" t="s">
        <v>365</v>
      </c>
      <c r="Z1582" s="516"/>
      <c r="AA1582" s="164" t="e">
        <f>AA1581/M1560</f>
        <v>#DIV/0!</v>
      </c>
      <c r="AB1582" s="161"/>
      <c r="AC1582" s="161"/>
      <c r="AD1582" s="161"/>
      <c r="AE1582" s="161"/>
      <c r="AF1582" s="516" t="s">
        <v>365</v>
      </c>
      <c r="AG1582" s="516"/>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customHeight="1" x14ac:dyDescent="0.8">
      <c r="A1583" s="262">
        <f>ROW()</f>
        <v>1583</v>
      </c>
      <c r="C1583" s="211"/>
      <c r="D1583" s="211"/>
      <c r="E1583" s="211"/>
      <c r="F1583" s="211"/>
      <c r="G1583" s="211"/>
      <c r="H1583" s="211"/>
      <c r="K1583" s="116" t="s">
        <v>452</v>
      </c>
      <c r="M1583" s="116" t="s">
        <v>107</v>
      </c>
      <c r="N1583" s="116" t="s">
        <v>108</v>
      </c>
      <c r="O1583" s="170" t="s">
        <v>386</v>
      </c>
      <c r="P1583" s="517" t="s">
        <v>375</v>
      </c>
      <c r="Q1583" s="517"/>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18" t="s">
        <v>366</v>
      </c>
      <c r="V1606" s="518"/>
      <c r="W1606" s="162" t="e">
        <f>W1605/M1584</f>
        <v>#DIV/0!</v>
      </c>
      <c r="X1606" s="163"/>
      <c r="Y1606" s="516" t="s">
        <v>365</v>
      </c>
      <c r="Z1606" s="516"/>
      <c r="AA1606" s="164" t="e">
        <f>AA1605/M1584</f>
        <v>#DIV/0!</v>
      </c>
      <c r="AB1606" s="161"/>
      <c r="AC1606" s="161"/>
      <c r="AD1606" s="161"/>
      <c r="AE1606" s="161"/>
      <c r="AF1606" s="516" t="s">
        <v>365</v>
      </c>
      <c r="AG1606" s="516"/>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customHeight="1" x14ac:dyDescent="0.8">
      <c r="A1607" s="262">
        <f>ROW()</f>
        <v>1607</v>
      </c>
      <c r="B1607" s="116"/>
      <c r="C1607" s="211"/>
      <c r="D1607" s="211"/>
      <c r="E1607" s="211"/>
      <c r="F1607" s="211"/>
      <c r="G1607" s="211"/>
      <c r="H1607" s="211"/>
      <c r="I1607" s="116"/>
      <c r="K1607" s="2" t="s">
        <v>452</v>
      </c>
      <c r="M1607" s="2" t="s">
        <v>107</v>
      </c>
      <c r="N1607" s="2" t="s">
        <v>108</v>
      </c>
      <c r="O1607" s="97" t="s">
        <v>386</v>
      </c>
      <c r="P1607" s="517" t="s">
        <v>375</v>
      </c>
      <c r="Q1607" s="517"/>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18" t="s">
        <v>366</v>
      </c>
      <c r="V1630" s="518"/>
      <c r="W1630" s="85" t="e">
        <f>W1629/M1608</f>
        <v>#DIV/0!</v>
      </c>
      <c r="X1630" s="86"/>
      <c r="Y1630" s="516" t="s">
        <v>365</v>
      </c>
      <c r="Z1630" s="516"/>
      <c r="AA1630" s="87" t="e">
        <f>AA1629/M1608</f>
        <v>#DIV/0!</v>
      </c>
      <c r="AB1630" s="84"/>
      <c r="AC1630" s="84"/>
      <c r="AD1630" s="84"/>
      <c r="AE1630" s="84"/>
      <c r="AF1630" s="516" t="s">
        <v>365</v>
      </c>
      <c r="AG1630" s="516"/>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customHeight="1" x14ac:dyDescent="0.8">
      <c r="A1632" s="262">
        <f>ROW()</f>
        <v>1632</v>
      </c>
      <c r="C1632" s="211"/>
      <c r="D1632" s="211"/>
      <c r="E1632" s="211"/>
      <c r="F1632" s="211"/>
      <c r="G1632" s="211"/>
      <c r="H1632" s="211"/>
      <c r="K1632" s="116" t="s">
        <v>452</v>
      </c>
      <c r="M1632" s="116" t="s">
        <v>107</v>
      </c>
      <c r="N1632" s="116" t="s">
        <v>108</v>
      </c>
      <c r="O1632" s="170" t="s">
        <v>386</v>
      </c>
      <c r="P1632" s="517" t="s">
        <v>375</v>
      </c>
      <c r="Q1632" s="517"/>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123.45"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20" t="s">
        <v>366</v>
      </c>
      <c r="V1655" s="520"/>
      <c r="W1655" s="177" t="e">
        <f>W1654/M1633</f>
        <v>#DIV/0!</v>
      </c>
      <c r="X1655" s="178"/>
      <c r="Y1655" s="521" t="s">
        <v>365</v>
      </c>
      <c r="Z1655" s="521"/>
      <c r="AA1655" s="181" t="e">
        <f>AA1654/M1633</f>
        <v>#DIV/0!</v>
      </c>
      <c r="AB1655" s="172"/>
      <c r="AC1655" s="172"/>
      <c r="AD1655" s="172"/>
      <c r="AE1655" s="172"/>
      <c r="AF1655" s="521" t="s">
        <v>365</v>
      </c>
      <c r="AG1655" s="521"/>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customHeight="1" x14ac:dyDescent="0.8">
      <c r="A1656" s="262">
        <f>ROW()</f>
        <v>1656</v>
      </c>
      <c r="C1656" s="211"/>
      <c r="D1656" s="211"/>
      <c r="E1656" s="211"/>
      <c r="F1656" s="211"/>
      <c r="G1656" s="211"/>
      <c r="H1656" s="211"/>
      <c r="K1656" s="116" t="s">
        <v>452</v>
      </c>
      <c r="M1656" s="116" t="s">
        <v>107</v>
      </c>
      <c r="N1656" s="116" t="s">
        <v>108</v>
      </c>
      <c r="O1656" s="170" t="s">
        <v>386</v>
      </c>
      <c r="P1656" s="517" t="s">
        <v>375</v>
      </c>
      <c r="Q1656" s="517"/>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20" t="s">
        <v>366</v>
      </c>
      <c r="V1679" s="520"/>
      <c r="W1679" s="177" t="e">
        <f>W1678/M1657</f>
        <v>#DIV/0!</v>
      </c>
      <c r="X1679" s="178"/>
      <c r="Y1679" s="521" t="s">
        <v>365</v>
      </c>
      <c r="Z1679" s="521"/>
      <c r="AA1679" s="181" t="e">
        <f>AA1678/M1657</f>
        <v>#DIV/0!</v>
      </c>
      <c r="AB1679" s="172"/>
      <c r="AC1679" s="172"/>
      <c r="AD1679" s="172"/>
      <c r="AE1679" s="172"/>
      <c r="AF1679" s="521" t="s">
        <v>365</v>
      </c>
      <c r="AG1679" s="521"/>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customHeight="1" x14ac:dyDescent="0.8">
      <c r="A1680" s="262">
        <f>ROW()</f>
        <v>1680</v>
      </c>
      <c r="C1680" s="211"/>
      <c r="D1680" s="211"/>
      <c r="E1680" s="211"/>
      <c r="F1680" s="211"/>
      <c r="G1680" s="211"/>
      <c r="H1680" s="211"/>
      <c r="K1680" s="116" t="s">
        <v>452</v>
      </c>
      <c r="M1680" s="116" t="s">
        <v>107</v>
      </c>
      <c r="N1680" s="116" t="s">
        <v>108</v>
      </c>
      <c r="O1680" s="170" t="s">
        <v>386</v>
      </c>
      <c r="P1680" s="517" t="s">
        <v>375</v>
      </c>
      <c r="Q1680" s="517"/>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20" t="s">
        <v>366</v>
      </c>
      <c r="V1703" s="520"/>
      <c r="W1703" s="177" t="e">
        <f>W1702/M1681</f>
        <v>#DIV/0!</v>
      </c>
      <c r="X1703" s="178"/>
      <c r="Y1703" s="521" t="s">
        <v>365</v>
      </c>
      <c r="Z1703" s="521"/>
      <c r="AA1703" s="181" t="e">
        <f>AA1702/M1681</f>
        <v>#DIV/0!</v>
      </c>
      <c r="AB1703" s="172"/>
      <c r="AC1703" s="172"/>
      <c r="AD1703" s="172"/>
      <c r="AE1703" s="172"/>
      <c r="AF1703" s="521" t="s">
        <v>365</v>
      </c>
      <c r="AG1703" s="521"/>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customHeight="1" x14ac:dyDescent="0.8">
      <c r="A1704" s="262">
        <f>ROW()</f>
        <v>1704</v>
      </c>
      <c r="C1704" s="211"/>
      <c r="D1704" s="211"/>
      <c r="E1704" s="211"/>
      <c r="F1704" s="211"/>
      <c r="G1704" s="211"/>
      <c r="H1704" s="211"/>
      <c r="K1704" s="116" t="s">
        <v>452</v>
      </c>
      <c r="M1704" s="116" t="s">
        <v>107</v>
      </c>
      <c r="N1704" s="116" t="s">
        <v>108</v>
      </c>
      <c r="O1704" s="170" t="s">
        <v>386</v>
      </c>
      <c r="P1704" s="517" t="s">
        <v>375</v>
      </c>
      <c r="Q1704" s="517"/>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1341</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18" t="s">
        <v>366</v>
      </c>
      <c r="V1727" s="518"/>
      <c r="W1727" s="162" t="e">
        <f>W1726/M1705</f>
        <v>#DIV/0!</v>
      </c>
      <c r="X1727" s="163"/>
      <c r="Y1727" s="516" t="s">
        <v>365</v>
      </c>
      <c r="Z1727" s="516"/>
      <c r="AA1727" s="164" t="e">
        <f>AA1726/M1705</f>
        <v>#DIV/0!</v>
      </c>
      <c r="AB1727" s="161"/>
      <c r="AC1727" s="161"/>
      <c r="AD1727" s="161"/>
      <c r="AE1727" s="161"/>
      <c r="AF1727" s="516" t="s">
        <v>365</v>
      </c>
      <c r="AG1727" s="516"/>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customHeight="1" x14ac:dyDescent="0.8">
      <c r="A1728" s="262">
        <f>ROW()</f>
        <v>1728</v>
      </c>
      <c r="C1728" s="211"/>
      <c r="D1728" s="211"/>
      <c r="E1728" s="211"/>
      <c r="F1728" s="211"/>
      <c r="G1728" s="211"/>
      <c r="H1728" s="211"/>
      <c r="K1728" s="116" t="s">
        <v>452</v>
      </c>
      <c r="M1728" s="116" t="s">
        <v>107</v>
      </c>
      <c r="N1728" s="116" t="s">
        <v>108</v>
      </c>
      <c r="O1728" s="170" t="s">
        <v>386</v>
      </c>
      <c r="P1728" s="517" t="s">
        <v>375</v>
      </c>
      <c r="Q1728" s="517"/>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1341</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18" t="s">
        <v>366</v>
      </c>
      <c r="V1751" s="518"/>
      <c r="W1751" s="162" t="e">
        <f>W1750/M1729</f>
        <v>#DIV/0!</v>
      </c>
      <c r="X1751" s="163"/>
      <c r="Y1751" s="516" t="s">
        <v>365</v>
      </c>
      <c r="Z1751" s="516"/>
      <c r="AA1751" s="164" t="e">
        <f>AA1750/M1729</f>
        <v>#DIV/0!</v>
      </c>
      <c r="AB1751" s="161"/>
      <c r="AC1751" s="161"/>
      <c r="AD1751" s="161"/>
      <c r="AE1751" s="161"/>
      <c r="AF1751" s="516" t="s">
        <v>365</v>
      </c>
      <c r="AG1751" s="516"/>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customHeight="1" x14ac:dyDescent="0.8">
      <c r="A1752" s="262">
        <f>ROW()</f>
        <v>1752</v>
      </c>
      <c r="C1752" s="211"/>
      <c r="D1752" s="211"/>
      <c r="E1752" s="211"/>
      <c r="F1752" s="211"/>
      <c r="G1752" s="211"/>
      <c r="H1752" s="211"/>
      <c r="K1752" s="116" t="s">
        <v>452</v>
      </c>
      <c r="M1752" s="116" t="s">
        <v>107</v>
      </c>
      <c r="N1752" s="116" t="s">
        <v>108</v>
      </c>
      <c r="O1752" s="170" t="s">
        <v>386</v>
      </c>
      <c r="P1752" s="517" t="s">
        <v>375</v>
      </c>
      <c r="Q1752" s="517"/>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1341</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18" t="s">
        <v>366</v>
      </c>
      <c r="V1775" s="518"/>
      <c r="W1775" s="162" t="e">
        <f>W1774/M1753</f>
        <v>#DIV/0!</v>
      </c>
      <c r="X1775" s="163"/>
      <c r="Y1775" s="516" t="s">
        <v>365</v>
      </c>
      <c r="Z1775" s="516"/>
      <c r="AA1775" s="164" t="e">
        <f>AA1774/M1753</f>
        <v>#DIV/0!</v>
      </c>
      <c r="AB1775" s="161"/>
      <c r="AC1775" s="161"/>
      <c r="AD1775" s="161"/>
      <c r="AE1775" s="161"/>
      <c r="AF1775" s="516" t="s">
        <v>365</v>
      </c>
      <c r="AG1775" s="516"/>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customHeight="1" x14ac:dyDescent="0.8">
      <c r="A1777" s="262">
        <f>ROW()</f>
        <v>1777</v>
      </c>
      <c r="C1777" s="211"/>
      <c r="D1777" s="211"/>
      <c r="E1777" s="211"/>
      <c r="F1777" s="211"/>
      <c r="G1777" s="211"/>
      <c r="H1777" s="211"/>
      <c r="K1777" s="116" t="s">
        <v>452</v>
      </c>
      <c r="M1777" s="116" t="s">
        <v>107</v>
      </c>
      <c r="N1777" s="116" t="s">
        <v>108</v>
      </c>
      <c r="O1777" s="170" t="s">
        <v>386</v>
      </c>
      <c r="P1777" s="517" t="s">
        <v>375</v>
      </c>
      <c r="Q1777" s="517"/>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1341</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18" t="s">
        <v>366</v>
      </c>
      <c r="V1800" s="518"/>
      <c r="W1800" s="162" t="e">
        <f>W1799/M1778</f>
        <v>#DIV/0!</v>
      </c>
      <c r="X1800" s="163"/>
      <c r="Y1800" s="516" t="s">
        <v>365</v>
      </c>
      <c r="Z1800" s="516"/>
      <c r="AA1800" s="164" t="e">
        <f>AA1799/M1778</f>
        <v>#DIV/0!</v>
      </c>
      <c r="AB1800" s="161"/>
      <c r="AC1800" s="161"/>
      <c r="AD1800" s="161"/>
      <c r="AE1800" s="161"/>
      <c r="AF1800" s="516" t="s">
        <v>365</v>
      </c>
      <c r="AG1800" s="516"/>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customHeight="1" x14ac:dyDescent="0.8">
      <c r="A1801" s="262">
        <f>ROW()</f>
        <v>1801</v>
      </c>
      <c r="B1801" s="116"/>
      <c r="C1801" s="211"/>
      <c r="D1801" s="211"/>
      <c r="E1801" s="211"/>
      <c r="F1801" s="211"/>
      <c r="G1801" s="211"/>
      <c r="H1801" s="211"/>
      <c r="I1801" s="116"/>
      <c r="K1801" s="2" t="s">
        <v>452</v>
      </c>
      <c r="M1801" s="2" t="s">
        <v>107</v>
      </c>
      <c r="N1801" s="2" t="s">
        <v>108</v>
      </c>
      <c r="O1801" s="97" t="s">
        <v>386</v>
      </c>
      <c r="P1801" s="517" t="s">
        <v>375</v>
      </c>
      <c r="Q1801" s="517"/>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929</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927</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928</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1341</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18" t="s">
        <v>366</v>
      </c>
      <c r="V1824" s="518"/>
      <c r="W1824" s="85" t="e">
        <f>W1823/M1802</f>
        <v>#DIV/0!</v>
      </c>
      <c r="X1824" s="86"/>
      <c r="Y1824" s="516" t="s">
        <v>365</v>
      </c>
      <c r="Z1824" s="516"/>
      <c r="AA1824" s="87" t="e">
        <f>AA1823/M1802</f>
        <v>#DIV/0!</v>
      </c>
      <c r="AB1824" s="84"/>
      <c r="AC1824" s="84"/>
      <c r="AD1824" s="84"/>
      <c r="AE1824" s="84"/>
      <c r="AF1824" s="516" t="s">
        <v>365</v>
      </c>
      <c r="AG1824" s="516"/>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customHeight="1" x14ac:dyDescent="0.8">
      <c r="A1825" s="262">
        <f>ROW()</f>
        <v>1825</v>
      </c>
      <c r="B1825" s="116"/>
      <c r="C1825" s="211"/>
      <c r="D1825" s="211"/>
      <c r="E1825" s="211"/>
      <c r="F1825" s="211"/>
      <c r="G1825" s="211"/>
      <c r="H1825" s="211"/>
      <c r="I1825" s="116"/>
      <c r="K1825" s="2" t="s">
        <v>452</v>
      </c>
      <c r="M1825" s="2" t="s">
        <v>107</v>
      </c>
      <c r="N1825" s="2" t="s">
        <v>108</v>
      </c>
      <c r="O1825" s="97" t="s">
        <v>386</v>
      </c>
      <c r="P1825" s="517" t="s">
        <v>375</v>
      </c>
      <c r="Q1825" s="517"/>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1341</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18" t="s">
        <v>366</v>
      </c>
      <c r="V1848" s="518"/>
      <c r="W1848" s="85" t="e">
        <f>W1847/M1826</f>
        <v>#DIV/0!</v>
      </c>
      <c r="X1848" s="86"/>
      <c r="Y1848" s="516" t="s">
        <v>365</v>
      </c>
      <c r="Z1848" s="516"/>
      <c r="AA1848" s="87" t="e">
        <f>AA1847/M1826</f>
        <v>#DIV/0!</v>
      </c>
      <c r="AB1848" s="84"/>
      <c r="AC1848" s="84"/>
      <c r="AD1848" s="84"/>
      <c r="AE1848" s="84"/>
      <c r="AF1848" s="516" t="s">
        <v>365</v>
      </c>
      <c r="AG1848" s="516"/>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customHeight="1" x14ac:dyDescent="0.8">
      <c r="A1849" s="262">
        <f>ROW()</f>
        <v>1849</v>
      </c>
      <c r="C1849" s="211"/>
      <c r="D1849" s="211"/>
      <c r="E1849" s="211"/>
      <c r="F1849" s="211"/>
      <c r="G1849" s="211"/>
      <c r="H1849" s="211"/>
      <c r="K1849" s="116" t="s">
        <v>452</v>
      </c>
      <c r="M1849" s="116" t="s">
        <v>107</v>
      </c>
      <c r="N1849" s="116" t="s">
        <v>108</v>
      </c>
      <c r="O1849" s="170" t="s">
        <v>386</v>
      </c>
      <c r="P1849" s="517" t="s">
        <v>375</v>
      </c>
      <c r="Q1849" s="517"/>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18" t="s">
        <v>366</v>
      </c>
      <c r="V1872" s="518"/>
      <c r="W1872" s="162" t="e">
        <f>W1871/M1850</f>
        <v>#DIV/0!</v>
      </c>
      <c r="X1872" s="163"/>
      <c r="Y1872" s="516" t="s">
        <v>365</v>
      </c>
      <c r="Z1872" s="516"/>
      <c r="AA1872" s="164" t="e">
        <f>AA1871/M1850</f>
        <v>#DIV/0!</v>
      </c>
      <c r="AB1872" s="161"/>
      <c r="AC1872" s="161"/>
      <c r="AD1872" s="161"/>
      <c r="AE1872" s="161"/>
      <c r="AF1872" s="516" t="s">
        <v>365</v>
      </c>
      <c r="AG1872" s="516"/>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customHeight="1" x14ac:dyDescent="0.8">
      <c r="A1873" s="262">
        <f>ROW()</f>
        <v>1873</v>
      </c>
      <c r="C1873" s="211"/>
      <c r="D1873" s="211"/>
      <c r="E1873" s="211"/>
      <c r="F1873" s="211"/>
      <c r="G1873" s="211"/>
      <c r="H1873" s="211"/>
      <c r="K1873" s="116" t="s">
        <v>452</v>
      </c>
      <c r="M1873" s="116" t="s">
        <v>107</v>
      </c>
      <c r="N1873" s="116" t="s">
        <v>108</v>
      </c>
      <c r="O1873" s="170" t="s">
        <v>386</v>
      </c>
      <c r="P1873" s="517" t="s">
        <v>375</v>
      </c>
      <c r="Q1873" s="517"/>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1341</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18" t="s">
        <v>366</v>
      </c>
      <c r="V1896" s="518"/>
      <c r="W1896" s="162" t="e">
        <f>W1895/M1874</f>
        <v>#DIV/0!</v>
      </c>
      <c r="X1896" s="163"/>
      <c r="Y1896" s="516" t="s">
        <v>365</v>
      </c>
      <c r="Z1896" s="516"/>
      <c r="AA1896" s="164" t="e">
        <f>AA1895/M1874</f>
        <v>#DIV/0!</v>
      </c>
      <c r="AB1896" s="161"/>
      <c r="AC1896" s="161"/>
      <c r="AD1896" s="161"/>
      <c r="AE1896" s="161"/>
      <c r="AF1896" s="516" t="s">
        <v>365</v>
      </c>
      <c r="AG1896" s="516"/>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x14ac:dyDescent="1.2">
      <c r="A1897" s="262">
        <f>ROW()</f>
        <v>1897</v>
      </c>
      <c r="B1897" s="261" t="s">
        <v>491</v>
      </c>
      <c r="D1897" s="261" t="str">
        <f>IF(B1897="Shopping List",IF(ISNUMBER(SEARCH("MSSB",C1897)),"MSSB",IF(ISNUMBER(SEARCH("local",C1897)),"LOCAL","")))</f>
        <v/>
      </c>
      <c r="I1897" s="269">
        <f>SUM(I1946:I1994)</f>
        <v>2</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customHeight="1" x14ac:dyDescent="0.8">
      <c r="A1899" s="262">
        <f>ROW()</f>
        <v>1899</v>
      </c>
      <c r="C1899" s="211"/>
      <c r="D1899" s="211"/>
      <c r="E1899" s="211"/>
      <c r="F1899" s="211"/>
      <c r="G1899" s="211"/>
      <c r="H1899" s="211"/>
      <c r="K1899" s="116" t="s">
        <v>452</v>
      </c>
      <c r="M1899" s="116" t="s">
        <v>107</v>
      </c>
      <c r="N1899" s="116" t="s">
        <v>108</v>
      </c>
      <c r="O1899" s="170" t="s">
        <v>386</v>
      </c>
      <c r="P1899" s="517" t="s">
        <v>375</v>
      </c>
      <c r="Q1899" s="517"/>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1341</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18" t="s">
        <v>366</v>
      </c>
      <c r="V1922" s="518"/>
      <c r="W1922" s="162" t="e">
        <f>W1921/M1900</f>
        <v>#DIV/0!</v>
      </c>
      <c r="X1922" s="163"/>
      <c r="Y1922" s="516" t="s">
        <v>365</v>
      </c>
      <c r="Z1922" s="516"/>
      <c r="AA1922" s="164" t="e">
        <f>AA1921/M1900</f>
        <v>#DIV/0!</v>
      </c>
      <c r="AB1922" s="161"/>
      <c r="AC1922" s="161"/>
      <c r="AD1922" s="161"/>
      <c r="AE1922" s="161"/>
      <c r="AF1922" s="516" t="s">
        <v>365</v>
      </c>
      <c r="AG1922" s="516"/>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customHeight="1" x14ac:dyDescent="0.8">
      <c r="A1923" s="262">
        <f>ROW()</f>
        <v>1923</v>
      </c>
      <c r="C1923" s="211"/>
      <c r="D1923" s="211"/>
      <c r="E1923" s="211"/>
      <c r="F1923" s="211"/>
      <c r="G1923" s="211"/>
      <c r="H1923" s="211"/>
      <c r="K1923" s="116" t="s">
        <v>452</v>
      </c>
      <c r="M1923" s="116" t="s">
        <v>107</v>
      </c>
      <c r="N1923" s="116" t="s">
        <v>108</v>
      </c>
      <c r="O1923" s="170" t="s">
        <v>386</v>
      </c>
      <c r="P1923" s="517" t="s">
        <v>375</v>
      </c>
      <c r="Q1923" s="517"/>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1341</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18" t="s">
        <v>366</v>
      </c>
      <c r="V1946" s="518"/>
      <c r="W1946" s="162" t="e">
        <f>W1945/M1924</f>
        <v>#DIV/0!</v>
      </c>
      <c r="X1946" s="163"/>
      <c r="Y1946" s="516" t="s">
        <v>365</v>
      </c>
      <c r="Z1946" s="516"/>
      <c r="AA1946" s="164" t="e">
        <f>AA1945/M1924</f>
        <v>#DIV/0!</v>
      </c>
      <c r="AB1946" s="161"/>
      <c r="AC1946" s="161"/>
      <c r="AD1946" s="161"/>
      <c r="AE1946" s="161"/>
      <c r="AF1946" s="516" t="s">
        <v>365</v>
      </c>
      <c r="AG1946" s="516"/>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customHeight="1" x14ac:dyDescent="0.8">
      <c r="A1947" s="262">
        <f>ROW()</f>
        <v>1947</v>
      </c>
      <c r="C1947" s="211"/>
      <c r="D1947" s="211"/>
      <c r="E1947" s="211"/>
      <c r="F1947" s="211"/>
      <c r="G1947" s="211"/>
      <c r="H1947" s="211"/>
      <c r="K1947" s="116" t="s">
        <v>452</v>
      </c>
      <c r="M1947" s="116" t="s">
        <v>107</v>
      </c>
      <c r="N1947" s="116" t="s">
        <v>108</v>
      </c>
      <c r="O1947" s="170" t="s">
        <v>386</v>
      </c>
      <c r="P1947" s="517" t="s">
        <v>375</v>
      </c>
      <c r="Q1947" s="517"/>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1341</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18" t="s">
        <v>366</v>
      </c>
      <c r="V1970" s="518"/>
      <c r="W1970" s="162" t="e">
        <f>W1969/M1948</f>
        <v>#DIV/0!</v>
      </c>
      <c r="X1970" s="163"/>
      <c r="Y1970" s="516" t="s">
        <v>365</v>
      </c>
      <c r="Z1970" s="516"/>
      <c r="AA1970" s="164" t="e">
        <f>AA1969/M1948</f>
        <v>#DIV/0!</v>
      </c>
      <c r="AB1970" s="161"/>
      <c r="AC1970" s="161"/>
      <c r="AD1970" s="161"/>
      <c r="AE1970" s="161"/>
      <c r="AF1970" s="516" t="s">
        <v>365</v>
      </c>
      <c r="AG1970" s="516"/>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customHeight="1" x14ac:dyDescent="0.8">
      <c r="A1971" s="262">
        <f>ROW()</f>
        <v>1971</v>
      </c>
      <c r="B1971" s="116"/>
      <c r="C1971" s="211"/>
      <c r="D1971" s="211"/>
      <c r="E1971" s="211"/>
      <c r="F1971" s="211"/>
      <c r="G1971" s="211"/>
      <c r="H1971" s="211"/>
      <c r="I1971" s="116"/>
      <c r="K1971" s="2" t="s">
        <v>452</v>
      </c>
      <c r="M1971" s="2" t="s">
        <v>107</v>
      </c>
      <c r="N1971" s="2" t="s">
        <v>108</v>
      </c>
      <c r="O1971" s="97" t="s">
        <v>386</v>
      </c>
      <c r="P1971" s="517" t="s">
        <v>375</v>
      </c>
      <c r="Q1971" s="517"/>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customHeight="1" x14ac:dyDescent="0.8">
      <c r="A1972" s="262">
        <f>ROW()</f>
        <v>1972</v>
      </c>
      <c r="B1972" s="114"/>
      <c r="C1972" s="208"/>
      <c r="D1972" s="208"/>
      <c r="E1972" s="208"/>
      <c r="F1972" s="208"/>
      <c r="G1972" s="208"/>
      <c r="H1972" s="208"/>
      <c r="I1972" s="114"/>
      <c r="L1972" s="16" t="str">
        <f>VLOOKUP(M1972,Sheet2!$D$2:$E$1024,2,FALSE)</f>
        <v>two</v>
      </c>
      <c r="M1972" s="121">
        <f>I1994</f>
        <v>2</v>
      </c>
      <c r="N1972" s="27" t="s">
        <v>713</v>
      </c>
      <c r="O1972" s="12" t="s">
        <v>347</v>
      </c>
      <c r="P1972" s="96" t="s">
        <v>379</v>
      </c>
      <c r="Q1972" s="96" t="s">
        <v>375</v>
      </c>
      <c r="R1972" s="96"/>
      <c r="S1972" s="28">
        <f>M1972</f>
        <v>2</v>
      </c>
      <c r="T1972" s="10"/>
      <c r="U1972" s="12" t="s">
        <v>292</v>
      </c>
      <c r="V1972" s="28">
        <f>S1972</f>
        <v>2</v>
      </c>
      <c r="W1972" s="28">
        <f>VLOOKUP(U1972,Sheet1!$B$6:$C$45,2,FALSE)*V1972</f>
        <v>0</v>
      </c>
      <c r="X1972" s="59"/>
      <c r="Y1972" s="108" t="s">
        <v>292</v>
      </c>
      <c r="Z1972" s="68">
        <f>VLOOKUP(Takeoffs!Y1972,Sheet1!$B$6:$C$124,2,FALSE)</f>
        <v>0</v>
      </c>
      <c r="AA1972" s="68">
        <f>Z1972*AB1972</f>
        <v>0</v>
      </c>
      <c r="AB1972" s="63">
        <f>AD1972*AC1972</f>
        <v>2</v>
      </c>
      <c r="AC1972" s="28">
        <f>S1972</f>
        <v>2</v>
      </c>
      <c r="AD1972" s="61">
        <v>1</v>
      </c>
      <c r="AE1972" s="59"/>
      <c r="AF1972" s="111" t="s">
        <v>292</v>
      </c>
      <c r="AG1972" s="68">
        <f>VLOOKUP(Takeoffs!AF1972,Sheet1!$B$6:$C$124,2,FALSE)</f>
        <v>0</v>
      </c>
      <c r="AH1972" s="68">
        <f>AG1972*AI1972</f>
        <v>0</v>
      </c>
      <c r="AI1972" s="63">
        <f>AK1972*AJ1972</f>
        <v>0</v>
      </c>
      <c r="AJ1972" s="28">
        <f>S1972</f>
        <v>2</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2</v>
      </c>
      <c r="T1973" s="11"/>
      <c r="U1973" s="12" t="s">
        <v>235</v>
      </c>
      <c r="V1973" s="28">
        <f t="shared" ref="V1973:V1992" si="903">S1973</f>
        <v>2</v>
      </c>
      <c r="W1973" s="28">
        <f>VLOOKUP(U1973,Sheet1!$B$6:$C$45,2,FALSE)*V1973</f>
        <v>3</v>
      </c>
      <c r="X1973" s="59"/>
      <c r="Y1973" s="108" t="s">
        <v>292</v>
      </c>
      <c r="Z1973" s="68">
        <f>VLOOKUP(Takeoffs!Y1973,Sheet1!$B$6:$C$124,2,FALSE)</f>
        <v>0</v>
      </c>
      <c r="AA1973" s="68">
        <f t="shared" ref="AA1973:AA1992" si="904">Z1973*AB1973</f>
        <v>0</v>
      </c>
      <c r="AB1973" s="63">
        <f t="shared" ref="AB1973:AB1992" si="905">AD1973*AC1973</f>
        <v>2</v>
      </c>
      <c r="AC1973" s="28">
        <f>S1973</f>
        <v>2</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2</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2</v>
      </c>
      <c r="T1974" s="11"/>
      <c r="U1974" s="12" t="s">
        <v>292</v>
      </c>
      <c r="V1974" s="28">
        <f t="shared" si="903"/>
        <v>2</v>
      </c>
      <c r="W1974" s="28">
        <f>VLOOKUP(U1974,Sheet1!$B$6:$C$45,2,FALSE)*V1974</f>
        <v>0</v>
      </c>
      <c r="X1974" s="59"/>
      <c r="Y1974" s="109" t="s">
        <v>252</v>
      </c>
      <c r="Z1974" s="68">
        <f>VLOOKUP(Takeoffs!Y1974,Sheet1!$B$6:$C$124,2,FALSE)</f>
        <v>43.440000000000005</v>
      </c>
      <c r="AA1974" s="68">
        <f t="shared" si="904"/>
        <v>86.88000000000001</v>
      </c>
      <c r="AB1974" s="63">
        <f t="shared" si="905"/>
        <v>2</v>
      </c>
      <c r="AC1974" s="28">
        <f>S1974</f>
        <v>2</v>
      </c>
      <c r="AD1974" s="61">
        <v>1</v>
      </c>
      <c r="AE1974" s="59"/>
      <c r="AF1974" s="111" t="s">
        <v>292</v>
      </c>
      <c r="AG1974" s="68">
        <f>VLOOKUP(Takeoffs!AF1974,Sheet1!$B$6:$C$124,2,FALSE)</f>
        <v>0</v>
      </c>
      <c r="AH1974" s="68">
        <f t="shared" si="906"/>
        <v>0</v>
      </c>
      <c r="AI1974" s="63">
        <f t="shared" si="907"/>
        <v>0</v>
      </c>
      <c r="AJ1974" s="28">
        <f t="shared" si="908"/>
        <v>2</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2</v>
      </c>
      <c r="T1975" s="11"/>
      <c r="U1975" s="117" t="s">
        <v>478</v>
      </c>
      <c r="V1975" s="28">
        <f t="shared" si="903"/>
        <v>2</v>
      </c>
      <c r="W1975" s="28">
        <f>VLOOKUP(U1975,Sheet1!$B$6:$C$45,2,FALSE)*V1975</f>
        <v>4</v>
      </c>
      <c r="X1975" s="59"/>
      <c r="Y1975" s="108" t="s">
        <v>292</v>
      </c>
      <c r="Z1975" s="68">
        <f>VLOOKUP(Takeoffs!Y1975,Sheet1!$B$6:$C$124,2,FALSE)</f>
        <v>0</v>
      </c>
      <c r="AA1975" s="68">
        <f t="shared" si="904"/>
        <v>0</v>
      </c>
      <c r="AB1975" s="63">
        <f t="shared" si="905"/>
        <v>2</v>
      </c>
      <c r="AC1975" s="28">
        <f t="shared" ref="AC1975:AC1992" si="910">S1975</f>
        <v>2</v>
      </c>
      <c r="AD1975" s="61">
        <v>1</v>
      </c>
      <c r="AE1975" s="59"/>
      <c r="AF1975" s="112" t="s">
        <v>267</v>
      </c>
      <c r="AG1975" s="68">
        <f>VLOOKUP(Takeoffs!AF1975,Sheet1!$B$6:$C$124,2,FALSE)</f>
        <v>3.48</v>
      </c>
      <c r="AH1975" s="68">
        <f t="shared" si="906"/>
        <v>10.44</v>
      </c>
      <c r="AI1975" s="63">
        <f t="shared" si="907"/>
        <v>3</v>
      </c>
      <c r="AJ1975" s="28">
        <f t="shared" si="908"/>
        <v>2</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2</v>
      </c>
      <c r="T1976" s="11"/>
      <c r="U1976" s="12" t="s">
        <v>292</v>
      </c>
      <c r="V1976" s="28">
        <f t="shared" si="903"/>
        <v>2</v>
      </c>
      <c r="W1976" s="28">
        <f>VLOOKUP(U1976,Sheet1!$B$6:$C$45,2,FALSE)*V1976</f>
        <v>0</v>
      </c>
      <c r="X1976" s="59"/>
      <c r="Y1976" s="110" t="s">
        <v>264</v>
      </c>
      <c r="Z1976" s="68">
        <f>VLOOKUP(Takeoffs!Y1976,Sheet1!$B$6:$C$124,2,FALSE)</f>
        <v>751.07999999999993</v>
      </c>
      <c r="AA1976" s="68">
        <f t="shared" si="904"/>
        <v>1502.1599999999999</v>
      </c>
      <c r="AB1976" s="63">
        <f t="shared" si="905"/>
        <v>2</v>
      </c>
      <c r="AC1976" s="28">
        <f t="shared" si="910"/>
        <v>2</v>
      </c>
      <c r="AD1976" s="61">
        <v>1</v>
      </c>
      <c r="AE1976" s="59"/>
      <c r="AF1976" s="111" t="s">
        <v>292</v>
      </c>
      <c r="AG1976" s="68">
        <f>VLOOKUP(Takeoffs!AF1976,Sheet1!$B$6:$C$124,2,FALSE)</f>
        <v>0</v>
      </c>
      <c r="AH1976" s="68">
        <f t="shared" si="906"/>
        <v>0</v>
      </c>
      <c r="AI1976" s="63">
        <f t="shared" si="907"/>
        <v>0</v>
      </c>
      <c r="AJ1976" s="28">
        <f t="shared" si="908"/>
        <v>2</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2</v>
      </c>
      <c r="T1977" s="11"/>
      <c r="U1977" s="12" t="s">
        <v>292</v>
      </c>
      <c r="V1977" s="28">
        <f t="shared" si="903"/>
        <v>2</v>
      </c>
      <c r="W1977" s="28">
        <f>VLOOKUP(U1977,Sheet1!$B$6:$C$45,2,FALSE)*V1977</f>
        <v>0</v>
      </c>
      <c r="X1977" s="59"/>
      <c r="Y1977" s="108" t="s">
        <v>292</v>
      </c>
      <c r="Z1977" s="68">
        <f>VLOOKUP(Takeoffs!Y1977,Sheet1!$B$6:$C$124,2,FALSE)</f>
        <v>0</v>
      </c>
      <c r="AA1977" s="68">
        <f t="shared" si="904"/>
        <v>0</v>
      </c>
      <c r="AB1977" s="63">
        <f t="shared" si="905"/>
        <v>2</v>
      </c>
      <c r="AC1977" s="28">
        <f t="shared" si="910"/>
        <v>2</v>
      </c>
      <c r="AD1977" s="61">
        <v>1</v>
      </c>
      <c r="AE1977" s="59"/>
      <c r="AF1977" s="112" t="s">
        <v>267</v>
      </c>
      <c r="AG1977" s="68">
        <f>VLOOKUP(Takeoffs!AF1977,Sheet1!$B$6:$C$124,2,FALSE)</f>
        <v>3.48</v>
      </c>
      <c r="AH1977" s="68">
        <f t="shared" si="906"/>
        <v>104.4</v>
      </c>
      <c r="AI1977" s="63">
        <f t="shared" si="907"/>
        <v>30</v>
      </c>
      <c r="AJ1977" s="28">
        <f t="shared" si="908"/>
        <v>2</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2</v>
      </c>
      <c r="T1978" s="11"/>
      <c r="U1978" s="12" t="s">
        <v>292</v>
      </c>
      <c r="V1978" s="28">
        <f t="shared" si="903"/>
        <v>2</v>
      </c>
      <c r="W1978" s="28">
        <f>VLOOKUP(U1978,Sheet1!$B$6:$C$45,2,FALSE)*V1978</f>
        <v>0</v>
      </c>
      <c r="X1978" s="59"/>
      <c r="Y1978" s="109" t="s">
        <v>245</v>
      </c>
      <c r="Z1978" s="68">
        <f>VLOOKUP(Takeoffs!Y1978,Sheet1!$B$6:$C$124,2,FALSE)</f>
        <v>46.463999999999999</v>
      </c>
      <c r="AA1978" s="68">
        <f t="shared" si="904"/>
        <v>92.927999999999997</v>
      </c>
      <c r="AB1978" s="63">
        <f t="shared" si="905"/>
        <v>2</v>
      </c>
      <c r="AC1978" s="28">
        <f t="shared" si="910"/>
        <v>2</v>
      </c>
      <c r="AD1978" s="61">
        <v>1</v>
      </c>
      <c r="AE1978" s="59"/>
      <c r="AF1978" s="111" t="s">
        <v>292</v>
      </c>
      <c r="AG1978" s="68">
        <f>VLOOKUP(Takeoffs!AF1978,Sheet1!$B$6:$C$124,2,FALSE)</f>
        <v>0</v>
      </c>
      <c r="AH1978" s="68">
        <f t="shared" si="906"/>
        <v>0</v>
      </c>
      <c r="AI1978" s="63">
        <f t="shared" si="907"/>
        <v>0</v>
      </c>
      <c r="AJ1978" s="28">
        <f t="shared" si="908"/>
        <v>2</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2</v>
      </c>
      <c r="T1979" s="11"/>
      <c r="U1979" s="12" t="s">
        <v>242</v>
      </c>
      <c r="V1979" s="28">
        <f t="shared" si="903"/>
        <v>2</v>
      </c>
      <c r="W1979" s="28">
        <f>VLOOKUP(U1979,Sheet1!$B$6:$C$45,2,FALSE)*V1979</f>
        <v>4</v>
      </c>
      <c r="X1979" s="59"/>
      <c r="Y1979" s="108" t="s">
        <v>292</v>
      </c>
      <c r="Z1979" s="68">
        <f>VLOOKUP(Takeoffs!Y1979,Sheet1!$B$6:$C$124,2,FALSE)</f>
        <v>0</v>
      </c>
      <c r="AA1979" s="68">
        <f t="shared" si="904"/>
        <v>0</v>
      </c>
      <c r="AB1979" s="63">
        <f t="shared" si="905"/>
        <v>2</v>
      </c>
      <c r="AC1979" s="28">
        <f t="shared" si="910"/>
        <v>2</v>
      </c>
      <c r="AD1979" s="61">
        <v>1</v>
      </c>
      <c r="AE1979" s="59"/>
      <c r="AF1979" s="111" t="s">
        <v>292</v>
      </c>
      <c r="AG1979" s="68">
        <f>VLOOKUP(Takeoffs!AF1979,Sheet1!$B$6:$C$124,2,FALSE)</f>
        <v>0</v>
      </c>
      <c r="AH1979" s="68">
        <f t="shared" si="906"/>
        <v>0</v>
      </c>
      <c r="AI1979" s="63">
        <f t="shared" si="907"/>
        <v>0</v>
      </c>
      <c r="AJ1979" s="28">
        <f t="shared" si="908"/>
        <v>2</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2</v>
      </c>
      <c r="T1980" s="11"/>
      <c r="U1980" s="12" t="s">
        <v>292</v>
      </c>
      <c r="V1980" s="28">
        <f t="shared" si="903"/>
        <v>2</v>
      </c>
      <c r="W1980" s="28">
        <f>VLOOKUP(U1980,Sheet1!$B$6:$C$45,2,FALSE)*V1980</f>
        <v>0</v>
      </c>
      <c r="X1980" s="59"/>
      <c r="Y1980" s="110" t="s">
        <v>333</v>
      </c>
      <c r="Z1980" s="68">
        <f>VLOOKUP(Takeoffs!Y1980,Sheet1!$B$6:$C$124,2,FALSE)</f>
        <v>60</v>
      </c>
      <c r="AA1980" s="68">
        <f t="shared" si="904"/>
        <v>120</v>
      </c>
      <c r="AB1980" s="63">
        <f t="shared" si="905"/>
        <v>2</v>
      </c>
      <c r="AC1980" s="28">
        <f t="shared" si="910"/>
        <v>2</v>
      </c>
      <c r="AD1980" s="61">
        <v>1</v>
      </c>
      <c r="AE1980" s="59"/>
      <c r="AF1980" s="111" t="s">
        <v>292</v>
      </c>
      <c r="AG1980" s="68">
        <f>VLOOKUP(Takeoffs!AF1980,Sheet1!$B$6:$C$124,2,FALSE)</f>
        <v>0</v>
      </c>
      <c r="AH1980" s="68">
        <f t="shared" si="906"/>
        <v>0</v>
      </c>
      <c r="AI1980" s="63">
        <f t="shared" si="907"/>
        <v>0</v>
      </c>
      <c r="AJ1980" s="28">
        <f t="shared" si="908"/>
        <v>2</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2</v>
      </c>
      <c r="T1981" s="11"/>
      <c r="U1981" s="12" t="s">
        <v>292</v>
      </c>
      <c r="V1981" s="28">
        <f t="shared" si="903"/>
        <v>2</v>
      </c>
      <c r="W1981" s="28">
        <f>VLOOKUP(U1981,Sheet1!$B$6:$C$45,2,FALSE)*V1981</f>
        <v>0</v>
      </c>
      <c r="X1981" s="59"/>
      <c r="Y1981" s="110" t="s">
        <v>334</v>
      </c>
      <c r="Z1981" s="68">
        <f>VLOOKUP(Takeoffs!Y1981,Sheet1!$B$6:$C$124,2,FALSE)</f>
        <v>56.4</v>
      </c>
      <c r="AA1981" s="68">
        <f t="shared" si="904"/>
        <v>112.8</v>
      </c>
      <c r="AB1981" s="63">
        <f t="shared" si="905"/>
        <v>2</v>
      </c>
      <c r="AC1981" s="28">
        <f t="shared" si="910"/>
        <v>2</v>
      </c>
      <c r="AD1981" s="61">
        <v>1</v>
      </c>
      <c r="AE1981" s="59"/>
      <c r="AF1981" s="111" t="s">
        <v>292</v>
      </c>
      <c r="AG1981" s="68">
        <f>VLOOKUP(Takeoffs!AF1981,Sheet1!$B$6:$C$124,2,FALSE)</f>
        <v>0</v>
      </c>
      <c r="AH1981" s="68">
        <f t="shared" si="906"/>
        <v>0</v>
      </c>
      <c r="AI1981" s="63">
        <f t="shared" si="907"/>
        <v>0</v>
      </c>
      <c r="AJ1981" s="28">
        <f t="shared" si="908"/>
        <v>2</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2</v>
      </c>
      <c r="T1982" s="11"/>
      <c r="U1982" s="12" t="s">
        <v>363</v>
      </c>
      <c r="V1982" s="28">
        <f t="shared" si="903"/>
        <v>2</v>
      </c>
      <c r="W1982" s="28">
        <f>VLOOKUP(U1982,Sheet1!$B$6:$C$45,2,FALSE)*V1982</f>
        <v>2</v>
      </c>
      <c r="X1982" s="59"/>
      <c r="Y1982" s="109" t="s">
        <v>321</v>
      </c>
      <c r="Z1982" s="68">
        <f>VLOOKUP(Takeoffs!Y1982,Sheet1!$B$6:$C$124,2,FALSE)</f>
        <v>60</v>
      </c>
      <c r="AA1982" s="68">
        <f t="shared" si="904"/>
        <v>120</v>
      </c>
      <c r="AB1982" s="63">
        <f t="shared" si="905"/>
        <v>2</v>
      </c>
      <c r="AC1982" s="28">
        <f t="shared" si="910"/>
        <v>2</v>
      </c>
      <c r="AD1982" s="61">
        <v>1</v>
      </c>
      <c r="AE1982" s="59"/>
      <c r="AF1982" s="111" t="s">
        <v>292</v>
      </c>
      <c r="AG1982" s="68">
        <f>VLOOKUP(Takeoffs!AF1982,Sheet1!$B$6:$C$124,2,FALSE)</f>
        <v>0</v>
      </c>
      <c r="AH1982" s="68">
        <f t="shared" si="906"/>
        <v>0</v>
      </c>
      <c r="AI1982" s="63">
        <f t="shared" si="907"/>
        <v>0</v>
      </c>
      <c r="AJ1982" s="28">
        <f t="shared" si="908"/>
        <v>2</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2</v>
      </c>
      <c r="T1983" s="11"/>
      <c r="U1983" s="12" t="s">
        <v>292</v>
      </c>
      <c r="V1983" s="28">
        <f t="shared" si="903"/>
        <v>2</v>
      </c>
      <c r="W1983" s="28">
        <f>VLOOKUP(U1983,Sheet1!$B$6:$C$45,2,FALSE)*V1983</f>
        <v>0</v>
      </c>
      <c r="X1983" s="59"/>
      <c r="Y1983" s="109" t="s">
        <v>274</v>
      </c>
      <c r="Z1983" s="68">
        <f>VLOOKUP(Takeoffs!Y1983,Sheet1!$B$6:$C$124,2,FALSE)</f>
        <v>360</v>
      </c>
      <c r="AA1983" s="68">
        <f t="shared" si="904"/>
        <v>720</v>
      </c>
      <c r="AB1983" s="63">
        <f t="shared" si="905"/>
        <v>2</v>
      </c>
      <c r="AC1983" s="28">
        <f t="shared" si="910"/>
        <v>2</v>
      </c>
      <c r="AD1983" s="61">
        <v>1</v>
      </c>
      <c r="AE1983" s="59"/>
      <c r="AF1983" s="111" t="s">
        <v>292</v>
      </c>
      <c r="AG1983" s="68">
        <f>VLOOKUP(Takeoffs!AF1983,Sheet1!$B$6:$C$124,2,FALSE)</f>
        <v>0</v>
      </c>
      <c r="AH1983" s="68">
        <f t="shared" si="906"/>
        <v>0</v>
      </c>
      <c r="AI1983" s="63">
        <f t="shared" si="907"/>
        <v>0</v>
      </c>
      <c r="AJ1983" s="28">
        <f t="shared" si="908"/>
        <v>2</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2</v>
      </c>
      <c r="T1984" s="11"/>
      <c r="U1984" s="12" t="s">
        <v>363</v>
      </c>
      <c r="V1984" s="28">
        <f t="shared" si="903"/>
        <v>2</v>
      </c>
      <c r="W1984" s="28">
        <f>VLOOKUP(U1984,Sheet1!$B$6:$C$45,2,FALSE)*V1984</f>
        <v>2</v>
      </c>
      <c r="X1984" s="59"/>
      <c r="Y1984" s="108" t="s">
        <v>292</v>
      </c>
      <c r="Z1984" s="68">
        <f>VLOOKUP(Takeoffs!Y1984,Sheet1!$B$6:$C$124,2,FALSE)</f>
        <v>0</v>
      </c>
      <c r="AA1984" s="68">
        <f t="shared" si="904"/>
        <v>0</v>
      </c>
      <c r="AB1984" s="63">
        <f t="shared" si="905"/>
        <v>2</v>
      </c>
      <c r="AC1984" s="28">
        <f t="shared" si="910"/>
        <v>2</v>
      </c>
      <c r="AD1984" s="61">
        <v>1</v>
      </c>
      <c r="AE1984" s="59"/>
      <c r="AF1984" s="113" t="s">
        <v>269</v>
      </c>
      <c r="AG1984" s="68">
        <f>VLOOKUP(Takeoffs!AF1984,Sheet1!$B$6:$C$124,2,FALSE)</f>
        <v>1.056</v>
      </c>
      <c r="AH1984" s="68">
        <f t="shared" si="906"/>
        <v>84.48</v>
      </c>
      <c r="AI1984" s="63">
        <f t="shared" si="907"/>
        <v>80</v>
      </c>
      <c r="AJ1984" s="28">
        <f t="shared" si="908"/>
        <v>2</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2</v>
      </c>
      <c r="T1985" s="11"/>
      <c r="U1985" s="108" t="s">
        <v>232</v>
      </c>
      <c r="V1985" s="28">
        <f t="shared" si="903"/>
        <v>2</v>
      </c>
      <c r="W1985" s="28">
        <f>VLOOKUP(U1985,Sheet1!$B$6:$C$45,2,FALSE)*V1985</f>
        <v>2</v>
      </c>
      <c r="X1985" s="59"/>
      <c r="Y1985" s="109" t="s">
        <v>1341</v>
      </c>
      <c r="Z1985" s="68">
        <f>VLOOKUP(Takeoffs!Y1985,Sheet1!$B$6:$C$124,2,FALSE)</f>
        <v>109.25999999999999</v>
      </c>
      <c r="AA1985" s="68">
        <f t="shared" si="904"/>
        <v>218.51999999999998</v>
      </c>
      <c r="AB1985" s="63">
        <f t="shared" si="905"/>
        <v>2</v>
      </c>
      <c r="AC1985" s="28">
        <f t="shared" si="910"/>
        <v>2</v>
      </c>
      <c r="AD1985" s="61">
        <v>1</v>
      </c>
      <c r="AE1985" s="59"/>
      <c r="AF1985" s="111" t="s">
        <v>292</v>
      </c>
      <c r="AG1985" s="68">
        <f>VLOOKUP(Takeoffs!AF1985,Sheet1!$B$6:$C$124,2,FALSE)</f>
        <v>0</v>
      </c>
      <c r="AH1985" s="68">
        <f t="shared" si="906"/>
        <v>0</v>
      </c>
      <c r="AI1985" s="63">
        <f t="shared" si="907"/>
        <v>0</v>
      </c>
      <c r="AJ1985" s="28">
        <f t="shared" si="908"/>
        <v>2</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2</v>
      </c>
      <c r="T1986" s="11"/>
      <c r="U1986" s="12" t="s">
        <v>364</v>
      </c>
      <c r="V1986" s="28">
        <f t="shared" si="903"/>
        <v>2</v>
      </c>
      <c r="W1986" s="28">
        <f>VLOOKUP(U1986,Sheet1!$B$6:$C$45,2,FALSE)*V1986</f>
        <v>4</v>
      </c>
      <c r="X1986" s="59"/>
      <c r="Y1986" s="135" t="s">
        <v>461</v>
      </c>
      <c r="Z1986" s="68">
        <f>VLOOKUP(Takeoffs!Y1986,Sheet1!$B$6:$C$124,2,FALSE)</f>
        <v>420</v>
      </c>
      <c r="AA1986" s="68">
        <f t="shared" si="904"/>
        <v>840</v>
      </c>
      <c r="AB1986" s="63">
        <f t="shared" si="905"/>
        <v>2</v>
      </c>
      <c r="AC1986" s="28">
        <f t="shared" si="910"/>
        <v>2</v>
      </c>
      <c r="AD1986" s="61">
        <v>1</v>
      </c>
      <c r="AE1986" s="59"/>
      <c r="AF1986" s="111" t="s">
        <v>292</v>
      </c>
      <c r="AG1986" s="68">
        <f>VLOOKUP(Takeoffs!AF1986,Sheet1!$B$6:$C$124,2,FALSE)</f>
        <v>0</v>
      </c>
      <c r="AH1986" s="68">
        <f t="shared" si="906"/>
        <v>0</v>
      </c>
      <c r="AI1986" s="63">
        <f t="shared" si="907"/>
        <v>0</v>
      </c>
      <c r="AJ1986" s="28">
        <f t="shared" si="908"/>
        <v>2</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2</v>
      </c>
      <c r="T1987" s="11"/>
      <c r="U1987" s="12" t="s">
        <v>292</v>
      </c>
      <c r="V1987" s="28">
        <f t="shared" si="903"/>
        <v>2</v>
      </c>
      <c r="W1987" s="28">
        <f>VLOOKUP(U1987,Sheet1!$B$6:$C$45,2,FALSE)*V1987</f>
        <v>0</v>
      </c>
      <c r="X1987" s="59"/>
      <c r="Y1987" s="109" t="s">
        <v>280</v>
      </c>
      <c r="Z1987" s="68">
        <f>VLOOKUP(Takeoffs!Y1987,Sheet1!$B$6:$C$124,2,FALSE)</f>
        <v>19.2</v>
      </c>
      <c r="AA1987" s="68">
        <f t="shared" si="904"/>
        <v>76.8</v>
      </c>
      <c r="AB1987" s="63">
        <f t="shared" si="905"/>
        <v>4</v>
      </c>
      <c r="AC1987" s="28">
        <f t="shared" si="910"/>
        <v>2</v>
      </c>
      <c r="AD1987" s="61">
        <v>2</v>
      </c>
      <c r="AE1987" s="59"/>
      <c r="AF1987" s="111" t="s">
        <v>292</v>
      </c>
      <c r="AG1987" s="68">
        <f>VLOOKUP(Takeoffs!AF1987,Sheet1!$B$6:$C$124,2,FALSE)</f>
        <v>0</v>
      </c>
      <c r="AH1987" s="68">
        <f t="shared" si="906"/>
        <v>0</v>
      </c>
      <c r="AI1987" s="63">
        <f t="shared" si="907"/>
        <v>0</v>
      </c>
      <c r="AJ1987" s="28">
        <f t="shared" si="908"/>
        <v>2</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2</v>
      </c>
      <c r="T1988" s="11"/>
      <c r="U1988" s="12" t="s">
        <v>292</v>
      </c>
      <c r="V1988" s="28">
        <f t="shared" si="903"/>
        <v>2</v>
      </c>
      <c r="W1988" s="28">
        <f>VLOOKUP(U1988,Sheet1!$B$6:$C$45,2,FALSE)*V1988</f>
        <v>0</v>
      </c>
      <c r="X1988" s="59"/>
      <c r="Y1988" s="110" t="s">
        <v>459</v>
      </c>
      <c r="Z1988" s="68">
        <f>VLOOKUP(Takeoffs!Y1988,Sheet1!$B$6:$C$124,2,FALSE)</f>
        <v>11.46</v>
      </c>
      <c r="AA1988" s="68">
        <f t="shared" si="904"/>
        <v>22.92</v>
      </c>
      <c r="AB1988" s="63">
        <f t="shared" si="905"/>
        <v>2</v>
      </c>
      <c r="AC1988" s="28">
        <f t="shared" si="910"/>
        <v>2</v>
      </c>
      <c r="AD1988" s="61">
        <v>1</v>
      </c>
      <c r="AE1988" s="59"/>
      <c r="AF1988" s="111" t="s">
        <v>292</v>
      </c>
      <c r="AG1988" s="68">
        <f>VLOOKUP(Takeoffs!AF1988,Sheet1!$B$6:$C$124,2,FALSE)</f>
        <v>0</v>
      </c>
      <c r="AH1988" s="68">
        <f t="shared" si="906"/>
        <v>0</v>
      </c>
      <c r="AI1988" s="63">
        <f t="shared" si="907"/>
        <v>0</v>
      </c>
      <c r="AJ1988" s="28">
        <f t="shared" si="908"/>
        <v>2</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2</v>
      </c>
      <c r="T1989" s="11"/>
      <c r="U1989" s="12" t="s">
        <v>292</v>
      </c>
      <c r="V1989" s="28">
        <f t="shared" si="903"/>
        <v>2</v>
      </c>
      <c r="W1989" s="28">
        <f>VLOOKUP(U1989,Sheet1!$B$6:$C$45,2,FALSE)*V1989</f>
        <v>0</v>
      </c>
      <c r="X1989" s="59"/>
      <c r="Y1989" s="110" t="s">
        <v>460</v>
      </c>
      <c r="Z1989" s="68">
        <f>VLOOKUP(Takeoffs!Y1989,Sheet1!$B$6:$C$124,2,FALSE)</f>
        <v>36</v>
      </c>
      <c r="AA1989" s="68">
        <f t="shared" si="904"/>
        <v>72</v>
      </c>
      <c r="AB1989" s="63">
        <f t="shared" si="905"/>
        <v>2</v>
      </c>
      <c r="AC1989" s="28">
        <f t="shared" si="910"/>
        <v>2</v>
      </c>
      <c r="AD1989" s="61">
        <v>1</v>
      </c>
      <c r="AE1989" s="59"/>
      <c r="AF1989" s="111" t="s">
        <v>292</v>
      </c>
      <c r="AG1989" s="68">
        <f>VLOOKUP(Takeoffs!AF1989,Sheet1!$B$6:$C$124,2,FALSE)</f>
        <v>0</v>
      </c>
      <c r="AH1989" s="68">
        <f t="shared" si="906"/>
        <v>0</v>
      </c>
      <c r="AI1989" s="63">
        <f t="shared" si="907"/>
        <v>0</v>
      </c>
      <c r="AJ1989" s="28">
        <f t="shared" si="908"/>
        <v>2</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2</v>
      </c>
      <c r="T1990" s="11"/>
      <c r="U1990" s="12" t="s">
        <v>363</v>
      </c>
      <c r="V1990" s="28">
        <f t="shared" si="903"/>
        <v>2</v>
      </c>
      <c r="W1990" s="28">
        <f>VLOOKUP(U1990,Sheet1!$B$6:$C$45,2,FALSE)*V1990</f>
        <v>2</v>
      </c>
      <c r="X1990" s="59"/>
      <c r="Y1990" s="109" t="s">
        <v>326</v>
      </c>
      <c r="Z1990" s="68">
        <f>VLOOKUP(Takeoffs!Y1990,Sheet1!$B$6:$C$124,2,FALSE)</f>
        <v>29.04</v>
      </c>
      <c r="AA1990" s="68">
        <f t="shared" si="904"/>
        <v>58.08</v>
      </c>
      <c r="AB1990" s="63">
        <f t="shared" si="905"/>
        <v>2</v>
      </c>
      <c r="AC1990" s="28">
        <f t="shared" si="910"/>
        <v>2</v>
      </c>
      <c r="AD1990" s="61">
        <v>1</v>
      </c>
      <c r="AE1990" s="59"/>
      <c r="AF1990" s="111" t="s">
        <v>292</v>
      </c>
      <c r="AG1990" s="68">
        <f>VLOOKUP(Takeoffs!AF1990,Sheet1!$B$6:$C$124,2,FALSE)</f>
        <v>0</v>
      </c>
      <c r="AH1990" s="68">
        <f t="shared" si="906"/>
        <v>0</v>
      </c>
      <c r="AI1990" s="63">
        <f t="shared" si="907"/>
        <v>0</v>
      </c>
      <c r="AJ1990" s="28">
        <f t="shared" si="908"/>
        <v>2</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2</v>
      </c>
      <c r="T1991" s="11"/>
      <c r="U1991" s="12" t="s">
        <v>292</v>
      </c>
      <c r="V1991" s="28">
        <f t="shared" si="903"/>
        <v>2</v>
      </c>
      <c r="W1991" s="28">
        <f>VLOOKUP(U1991,Sheet1!$B$6:$C$45,2,FALSE)*V1991</f>
        <v>0</v>
      </c>
      <c r="X1991" s="59"/>
      <c r="Y1991" s="109" t="s">
        <v>322</v>
      </c>
      <c r="Z1991" s="68">
        <f>VLOOKUP(Takeoffs!Y1991,Sheet1!$B$6:$C$124,2,FALSE)</f>
        <v>48</v>
      </c>
      <c r="AA1991" s="68">
        <f t="shared" si="904"/>
        <v>96</v>
      </c>
      <c r="AB1991" s="63">
        <f t="shared" si="905"/>
        <v>2</v>
      </c>
      <c r="AC1991" s="28">
        <f t="shared" si="910"/>
        <v>2</v>
      </c>
      <c r="AD1991" s="61">
        <v>1</v>
      </c>
      <c r="AE1991" s="59"/>
      <c r="AF1991" s="111" t="s">
        <v>292</v>
      </c>
      <c r="AG1991" s="68">
        <f>VLOOKUP(Takeoffs!AF1991,Sheet1!$B$6:$C$124,2,FALSE)</f>
        <v>0</v>
      </c>
      <c r="AH1991" s="68">
        <f t="shared" si="906"/>
        <v>0</v>
      </c>
      <c r="AI1991" s="63">
        <f t="shared" si="907"/>
        <v>0</v>
      </c>
      <c r="AJ1991" s="28">
        <f t="shared" si="908"/>
        <v>2</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2</v>
      </c>
      <c r="T1992" s="11"/>
      <c r="U1992" s="12" t="s">
        <v>363</v>
      </c>
      <c r="V1992" s="28">
        <f t="shared" si="903"/>
        <v>2</v>
      </c>
      <c r="W1992" s="28">
        <f>VLOOKUP(U1992,Sheet1!$B$6:$C$45,2,FALSE)*V1992</f>
        <v>2</v>
      </c>
      <c r="X1992" s="59"/>
      <c r="Y1992" s="108" t="s">
        <v>292</v>
      </c>
      <c r="Z1992" s="68">
        <f>VLOOKUP(Takeoffs!Y1992,Sheet1!$B$6:$C$124,2,FALSE)</f>
        <v>0</v>
      </c>
      <c r="AA1992" s="68">
        <f t="shared" si="904"/>
        <v>0</v>
      </c>
      <c r="AB1992" s="63">
        <f t="shared" si="905"/>
        <v>2</v>
      </c>
      <c r="AC1992" s="28">
        <f t="shared" si="910"/>
        <v>2</v>
      </c>
      <c r="AD1992" s="61">
        <v>1</v>
      </c>
      <c r="AE1992" s="59"/>
      <c r="AF1992" s="111" t="s">
        <v>292</v>
      </c>
      <c r="AG1992" s="68">
        <f>VLOOKUP(Takeoffs!AF1992,Sheet1!$B$6:$C$124,2,FALSE)</f>
        <v>0</v>
      </c>
      <c r="AH1992" s="68">
        <f t="shared" si="906"/>
        <v>0</v>
      </c>
      <c r="AI1992" s="63">
        <f t="shared" si="907"/>
        <v>0</v>
      </c>
      <c r="AJ1992" s="28">
        <f t="shared" si="908"/>
        <v>2</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6338.4079999999994</v>
      </c>
      <c r="Q1993" s="65"/>
      <c r="R1993" s="65"/>
      <c r="S1993" s="23"/>
      <c r="T1993" s="20"/>
      <c r="U1993" s="19" t="s">
        <v>351</v>
      </c>
      <c r="V1993" s="20">
        <f>W1993*80</f>
        <v>2000</v>
      </c>
      <c r="W1993" s="69">
        <f>SUM(W1972:W1992)</f>
        <v>25</v>
      </c>
      <c r="X1993" s="70"/>
      <c r="Y1993" s="20" t="s">
        <v>352</v>
      </c>
      <c r="Z1993" s="2"/>
      <c r="AA1993" s="2">
        <f>SUM(AA1972:AA1992)</f>
        <v>4139.0879999999997</v>
      </c>
      <c r="AB1993" s="71"/>
      <c r="AC1993" s="71"/>
      <c r="AD1993" s="71"/>
      <c r="AE1993" s="71"/>
      <c r="AF1993" s="20" t="s">
        <v>356</v>
      </c>
      <c r="AG1993" s="2"/>
      <c r="AH1993" s="2">
        <f>SUM(AH1972:AH1992)</f>
        <v>199.32</v>
      </c>
      <c r="AI1993" s="71"/>
      <c r="AJ1993" s="71"/>
      <c r="AK1993" s="71"/>
      <c r="AL1993" s="71"/>
      <c r="AM1993" s="150">
        <f>P1993</f>
        <v>6338.4079999999994</v>
      </c>
      <c r="AO1993" s="286"/>
      <c r="AP1993" s="284">
        <f t="shared" si="890"/>
        <v>0</v>
      </c>
      <c r="AQ1993" s="281">
        <f t="shared" si="891"/>
        <v>0</v>
      </c>
      <c r="AR1993" s="284">
        <f t="shared" si="892"/>
        <v>0</v>
      </c>
      <c r="AS1993" s="281">
        <f t="shared" si="893"/>
        <v>0</v>
      </c>
      <c r="AT1993" s="284">
        <f t="shared" si="894"/>
        <v>0</v>
      </c>
    </row>
    <row r="1994" spans="1:97" s="234" customFormat="1" ht="246.9" x14ac:dyDescent="0.8">
      <c r="A1994" s="262">
        <f>ROW()</f>
        <v>1994</v>
      </c>
      <c r="B1994" s="234" t="s">
        <v>491</v>
      </c>
      <c r="C1994" s="217" t="str">
        <f>N1972</f>
        <v>Kitchen Exhaust Sytem (from MSSB)</v>
      </c>
      <c r="D1994" s="260" t="s">
        <v>678</v>
      </c>
      <c r="E1994" s="238"/>
      <c r="F1994" s="217"/>
      <c r="G1994" s="217"/>
      <c r="H1994" s="245"/>
      <c r="I1994" s="270">
        <v>2</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two (2) Kitchen Exhaust Sytem (from MSSB). Each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6338.4079999999994</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f>P1993/M1972</f>
        <v>3169.2039999999997</v>
      </c>
      <c r="Q1994" s="84"/>
      <c r="R1994" s="84"/>
      <c r="S1994" s="83"/>
      <c r="T1994" s="84"/>
      <c r="U1994" s="518" t="s">
        <v>366</v>
      </c>
      <c r="V1994" s="518"/>
      <c r="W1994" s="85">
        <f>W1993/M1972</f>
        <v>12.5</v>
      </c>
      <c r="X1994" s="86"/>
      <c r="Y1994" s="516" t="s">
        <v>365</v>
      </c>
      <c r="Z1994" s="516"/>
      <c r="AA1994" s="87">
        <f>AA1993/M1972</f>
        <v>2069.5439999999999</v>
      </c>
      <c r="AB1994" s="84"/>
      <c r="AC1994" s="84"/>
      <c r="AD1994" s="84"/>
      <c r="AE1994" s="84"/>
      <c r="AF1994" s="516" t="s">
        <v>365</v>
      </c>
      <c r="AG1994" s="516"/>
      <c r="AH1994" s="87">
        <f>AH1993/M1972</f>
        <v>99.66</v>
      </c>
      <c r="AI1994" s="84"/>
      <c r="AJ1994" s="84"/>
      <c r="AK1994" s="84"/>
      <c r="AL1994" s="247"/>
      <c r="AM1994" s="257"/>
      <c r="AN1994" s="236">
        <f>K1994*1.25</f>
        <v>7923.0099999999993</v>
      </c>
      <c r="AO1994" s="286"/>
      <c r="AP1994" s="284">
        <f t="shared" si="890"/>
        <v>6338.4079999999994</v>
      </c>
      <c r="AQ1994" s="281">
        <f t="shared" si="891"/>
        <v>2000</v>
      </c>
      <c r="AR1994" s="284">
        <f t="shared" si="892"/>
        <v>4139.0879999999997</v>
      </c>
      <c r="AS1994" s="281">
        <f t="shared" si="893"/>
        <v>199.32</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x14ac:dyDescent="1.2">
      <c r="A1995" s="262">
        <f>ROW()</f>
        <v>1995</v>
      </c>
      <c r="B1995" s="261" t="s">
        <v>491</v>
      </c>
      <c r="D1995" s="261" t="str">
        <f>IF(B1995="Shopping List",IF(ISNUMBER(SEARCH("MSSB",C1995)),"MSSB",IF(ISNUMBER(SEARCH("local",C1995)),"LOCAL","")))</f>
        <v/>
      </c>
      <c r="I1995" s="269">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customHeight="1" x14ac:dyDescent="0.8">
      <c r="A1996" s="262">
        <f>ROW()</f>
        <v>1996</v>
      </c>
      <c r="C1996" s="211"/>
      <c r="D1996" s="211"/>
      <c r="E1996" s="211"/>
      <c r="F1996" s="211"/>
      <c r="G1996" s="211"/>
      <c r="H1996" s="211"/>
      <c r="K1996" s="116" t="s">
        <v>452</v>
      </c>
      <c r="M1996" s="116" t="s">
        <v>107</v>
      </c>
      <c r="N1996" s="116" t="s">
        <v>108</v>
      </c>
      <c r="O1996" s="170" t="s">
        <v>386</v>
      </c>
      <c r="P1996" s="519" t="s">
        <v>375</v>
      </c>
      <c r="Q1996" s="519"/>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1341</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18" t="s">
        <v>366</v>
      </c>
      <c r="V2019" s="518"/>
      <c r="W2019" s="162" t="e">
        <f>W2018/M1997</f>
        <v>#DIV/0!</v>
      </c>
      <c r="X2019" s="163"/>
      <c r="Y2019" s="516" t="s">
        <v>365</v>
      </c>
      <c r="Z2019" s="516"/>
      <c r="AA2019" s="164" t="e">
        <f>AA2018/M1997</f>
        <v>#DIV/0!</v>
      </c>
      <c r="AB2019" s="161"/>
      <c r="AC2019" s="161"/>
      <c r="AD2019" s="161"/>
      <c r="AE2019" s="161"/>
      <c r="AF2019" s="516" t="s">
        <v>365</v>
      </c>
      <c r="AG2019" s="516"/>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customHeight="1" x14ac:dyDescent="0.8">
      <c r="A2020" s="262">
        <f>ROW()</f>
        <v>2020</v>
      </c>
      <c r="C2020" s="211"/>
      <c r="D2020" s="211"/>
      <c r="E2020" s="211"/>
      <c r="F2020" s="211"/>
      <c r="G2020" s="211"/>
      <c r="H2020" s="211"/>
      <c r="K2020" s="116" t="s">
        <v>452</v>
      </c>
      <c r="M2020" s="116" t="s">
        <v>107</v>
      </c>
      <c r="N2020" s="116" t="s">
        <v>108</v>
      </c>
      <c r="O2020" s="170" t="s">
        <v>386</v>
      </c>
      <c r="P2020" s="519" t="s">
        <v>375</v>
      </c>
      <c r="Q2020" s="519"/>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1341</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18" t="s">
        <v>366</v>
      </c>
      <c r="V2043" s="518"/>
      <c r="W2043" s="162" t="e">
        <f>W2042/M2021</f>
        <v>#DIV/0!</v>
      </c>
      <c r="X2043" s="163"/>
      <c r="Y2043" s="516" t="s">
        <v>365</v>
      </c>
      <c r="Z2043" s="516"/>
      <c r="AA2043" s="164" t="e">
        <f>AA2042/M2021</f>
        <v>#DIV/0!</v>
      </c>
      <c r="AB2043" s="161"/>
      <c r="AC2043" s="161"/>
      <c r="AD2043" s="161"/>
      <c r="AE2043" s="161"/>
      <c r="AF2043" s="516" t="s">
        <v>365</v>
      </c>
      <c r="AG2043" s="516"/>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17" t="s">
        <v>375</v>
      </c>
      <c r="Q2044" s="517"/>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18" t="s">
        <v>366</v>
      </c>
      <c r="V2067" s="518"/>
      <c r="W2067" s="162" t="e">
        <f>W2066/M2045</f>
        <v>#DIV/0!</v>
      </c>
      <c r="X2067" s="163"/>
      <c r="Y2067" s="516" t="s">
        <v>365</v>
      </c>
      <c r="Z2067" s="516"/>
      <c r="AA2067" s="164" t="e">
        <f>AA2066/M2045</f>
        <v>#DIV/0!</v>
      </c>
      <c r="AB2067" s="161"/>
      <c r="AC2067" s="161"/>
      <c r="AD2067" s="161"/>
      <c r="AE2067" s="161"/>
      <c r="AF2067" s="516" t="s">
        <v>365</v>
      </c>
      <c r="AG2067" s="516"/>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17" t="s">
        <v>375</v>
      </c>
      <c r="Q2068" s="517"/>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1341</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18" t="s">
        <v>366</v>
      </c>
      <c r="V2091" s="518"/>
      <c r="W2091" s="162" t="e">
        <f>W2090/M2069</f>
        <v>#DIV/0!</v>
      </c>
      <c r="X2091" s="163"/>
      <c r="Y2091" s="516" t="s">
        <v>365</v>
      </c>
      <c r="Z2091" s="516"/>
      <c r="AA2091" s="164" t="e">
        <f>AA2090/M2069</f>
        <v>#DIV/0!</v>
      </c>
      <c r="AB2091" s="161"/>
      <c r="AC2091" s="161"/>
      <c r="AD2091" s="161"/>
      <c r="AE2091" s="161"/>
      <c r="AF2091" s="516" t="s">
        <v>365</v>
      </c>
      <c r="AG2091" s="516"/>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15</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f>VLOOKUP(Takeoffs!AF2096,Sheet1!$B$6:$C$124,2,FALSE)</f>
        <v>117</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 t="shared" si="965"/>
        <v>0</v>
      </c>
      <c r="AJ2097" s="28">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15</v>
      </c>
      <c r="T2098" s="11"/>
      <c r="U2098" s="12" t="s">
        <v>292</v>
      </c>
      <c r="V2098" s="28">
        <f t="shared" si="961"/>
        <v>15</v>
      </c>
      <c r="W2098" s="28">
        <f>VLOOKUP(U2098,Sheet1!$B$6:$C$45,2,FALSE)*V2098</f>
        <v>0</v>
      </c>
      <c r="X2098" s="59"/>
      <c r="Y2098" s="12" t="s">
        <v>292</v>
      </c>
      <c r="Z2098" s="68">
        <f>VLOOKUP(Takeoffs!Y2098,Sheet1!$B$6:$C$124,2,FALSE)</f>
        <v>0</v>
      </c>
      <c r="AA2098" s="68">
        <f t="shared" si="962"/>
        <v>0</v>
      </c>
      <c r="AB2098" s="63">
        <f t="shared" si="963"/>
        <v>15</v>
      </c>
      <c r="AC2098" s="28">
        <f t="shared" ref="AC2098:AC2115" si="968">S2098</f>
        <v>15</v>
      </c>
      <c r="AD2098" s="61">
        <v>1</v>
      </c>
      <c r="AE2098" s="75"/>
      <c r="AF2098" s="12" t="s">
        <v>436</v>
      </c>
      <c r="AG2098" s="68">
        <f>VLOOKUP(Takeoffs!AF2098,Sheet1!$B$6:$C$124,2,FALSE)</f>
        <v>1.2</v>
      </c>
      <c r="AH2098" s="68">
        <f t="shared" si="964"/>
        <v>18</v>
      </c>
      <c r="AI2098" s="63">
        <f t="shared" si="965"/>
        <v>15</v>
      </c>
      <c r="AJ2098" s="28">
        <f t="shared" si="966"/>
        <v>15</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28">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28">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customHeight="1" x14ac:dyDescent="0.8">
      <c r="A2116" s="262">
        <f>ROW()</f>
        <v>2116</v>
      </c>
      <c r="B2116" s="128"/>
      <c r="C2116" s="212"/>
      <c r="D2116" s="212"/>
      <c r="E2116" s="212"/>
      <c r="F2116" s="212"/>
      <c r="G2116" s="212"/>
      <c r="H2116" s="212"/>
      <c r="I2116" s="128"/>
      <c r="N2116" s="22"/>
      <c r="O2116" s="76" t="s">
        <v>357</v>
      </c>
      <c r="P2116" s="100">
        <f>V2116+AA2116+AH2116</f>
        <v>18</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18</v>
      </c>
      <c r="AI2116" s="71"/>
      <c r="AJ2116" s="71"/>
      <c r="AK2116" s="71"/>
      <c r="AL2116" s="71"/>
      <c r="AM2116" s="150">
        <f>P2116</f>
        <v>18</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18</v>
      </c>
      <c r="L2118" s="235"/>
      <c r="M2118" s="91" t="s">
        <v>367</v>
      </c>
      <c r="N2118" s="83" t="str">
        <f>N2095</f>
        <v>kilometres of cabling required throughout this project</v>
      </c>
      <c r="O2118" s="185" t="s">
        <v>438</v>
      </c>
      <c r="P2118" s="202" t="e">
        <f>P2116/(M2095*1000)</f>
        <v>#DIV/0!</v>
      </c>
      <c r="Q2118" s="196"/>
      <c r="R2118" s="188"/>
      <c r="S2118" s="83"/>
      <c r="T2118" s="84"/>
      <c r="U2118" s="518"/>
      <c r="V2118" s="518"/>
      <c r="W2118" s="85"/>
      <c r="X2118" s="86"/>
      <c r="Y2118" s="516"/>
      <c r="Z2118" s="516"/>
      <c r="AA2118" s="87"/>
      <c r="AB2118" s="84"/>
      <c r="AC2118" s="84"/>
      <c r="AD2118" s="84"/>
      <c r="AE2118" s="84"/>
      <c r="AF2118" s="516" t="s">
        <v>365</v>
      </c>
      <c r="AG2118" s="516"/>
      <c r="AH2118" s="87" t="e">
        <f>AH2116/(M2095*1000)</f>
        <v>#DIV/0!</v>
      </c>
      <c r="AI2118" s="84"/>
      <c r="AJ2118" s="84"/>
      <c r="AK2118" s="84"/>
      <c r="AL2118" s="247"/>
      <c r="AM2118" s="257"/>
      <c r="AN2118" s="230">
        <f>K2118*1.25</f>
        <v>22.5</v>
      </c>
      <c r="AO2118" s="286"/>
      <c r="AP2118" s="284">
        <f>K2118</f>
        <v>18</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x14ac:dyDescent="0.8">
      <c r="A2119" s="262">
        <f>ROW()</f>
        <v>2119</v>
      </c>
      <c r="B2119" s="268" t="s">
        <v>681</v>
      </c>
      <c r="C2119" s="266" t="s">
        <v>683</v>
      </c>
      <c r="D2119" s="260" t="s">
        <v>677</v>
      </c>
      <c r="E2119" s="266"/>
      <c r="F2119" s="266"/>
      <c r="G2119" s="266"/>
      <c r="H2119" s="266"/>
      <c r="I2119" s="271"/>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x14ac:dyDescent="0.8">
      <c r="A2120" s="262">
        <f>ROW()</f>
        <v>2120</v>
      </c>
      <c r="B2120" s="268" t="s">
        <v>681</v>
      </c>
      <c r="C2120" s="266" t="s">
        <v>682</v>
      </c>
      <c r="D2120" s="260" t="s">
        <v>677</v>
      </c>
      <c r="E2120" s="266"/>
      <c r="F2120" s="266"/>
      <c r="G2120" s="266"/>
      <c r="H2120" s="266"/>
      <c r="I2120" s="271"/>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x14ac:dyDescent="0.8">
      <c r="A2121" s="262">
        <f>ROW()</f>
        <v>2121</v>
      </c>
      <c r="C2121" s="215"/>
      <c r="D2121" s="215"/>
      <c r="E2121" s="215"/>
      <c r="F2121" s="215"/>
      <c r="G2121" s="215"/>
      <c r="H2121" s="215"/>
      <c r="I2121" s="271">
        <v>40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mergeCells count="349">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65:Z65"/>
    <mergeCell ref="AF65:AG65"/>
    <mergeCell ref="P18:Q18"/>
    <mergeCell ref="U41:V41"/>
    <mergeCell ref="Y41:Z41"/>
    <mergeCell ref="AF41:AG41"/>
    <mergeCell ref="P114:Q114"/>
    <mergeCell ref="P66:Q66"/>
    <mergeCell ref="U89:V89"/>
    <mergeCell ref="Y89:Z89"/>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s>
  <conditionalFormatting sqref="O213:O232 O2040:O2041 O2024">
    <cfRule type="expression" dxfId="506" priority="403">
      <formula>RIGHT(O213,2)="  "</formula>
    </cfRule>
    <cfRule type="expression" dxfId="505" priority="404">
      <formula>RIGHT(O213,1)=" "</formula>
    </cfRule>
  </conditionalFormatting>
  <conditionalFormatting sqref="O261:O280">
    <cfRule type="expression" dxfId="504" priority="401">
      <formula>RIGHT(O261,2)="  "</formula>
    </cfRule>
    <cfRule type="expression" dxfId="503" priority="402">
      <formula>RIGHT(O261,1)=" "</formula>
    </cfRule>
  </conditionalFormatting>
  <conditionalFormatting sqref="O309:O328">
    <cfRule type="expression" dxfId="502" priority="399">
      <formula>RIGHT(O309,2)="  "</formula>
    </cfRule>
    <cfRule type="expression" dxfId="501" priority="400">
      <formula>RIGHT(O309,1)=" "</formula>
    </cfRule>
  </conditionalFormatting>
  <conditionalFormatting sqref="O549:O568">
    <cfRule type="expression" dxfId="500" priority="397">
      <formula>RIGHT(O549,2)="  "</formula>
    </cfRule>
    <cfRule type="expression" dxfId="499" priority="398">
      <formula>RIGHT(O549,1)=" "</formula>
    </cfRule>
  </conditionalFormatting>
  <conditionalFormatting sqref="O765:O784">
    <cfRule type="expression" dxfId="498" priority="395">
      <formula>RIGHT(O765,2)="  "</formula>
    </cfRule>
    <cfRule type="expression" dxfId="497" priority="396">
      <formula>RIGHT(O765,1)=" "</formula>
    </cfRule>
  </conditionalFormatting>
  <conditionalFormatting sqref="O933:O952">
    <cfRule type="expression" dxfId="496" priority="393">
      <formula>RIGHT(O933,2)="  "</formula>
    </cfRule>
    <cfRule type="expression" dxfId="495" priority="394">
      <formula>RIGHT(O933,1)=" "</formula>
    </cfRule>
  </conditionalFormatting>
  <conditionalFormatting sqref="O958:O977">
    <cfRule type="expression" dxfId="494" priority="391">
      <formula>RIGHT(O958,2)="  "</formula>
    </cfRule>
    <cfRule type="expression" dxfId="493" priority="392">
      <formula>RIGHT(O958,1)=" "</formula>
    </cfRule>
  </conditionalFormatting>
  <conditionalFormatting sqref="O1078:O1080 O1082:O1097">
    <cfRule type="expression" dxfId="492" priority="389">
      <formula>RIGHT(O1078,2)="  "</formula>
    </cfRule>
    <cfRule type="expression" dxfId="491" priority="390">
      <formula>RIGHT(O1078,1)=" "</formula>
    </cfRule>
  </conditionalFormatting>
  <conditionalFormatting sqref="O1102:O1104 O1106:O1121">
    <cfRule type="expression" dxfId="490" priority="387">
      <formula>RIGHT(O1102,2)="  "</formula>
    </cfRule>
    <cfRule type="expression" dxfId="489" priority="388">
      <formula>RIGHT(O1102,1)=" "</formula>
    </cfRule>
  </conditionalFormatting>
  <conditionalFormatting sqref="O1150:O1169">
    <cfRule type="expression" dxfId="488" priority="385">
      <formula>RIGHT(O1150,2)="  "</formula>
    </cfRule>
    <cfRule type="expression" dxfId="487" priority="386">
      <formula>RIGHT(O1150,1)=" "</formula>
    </cfRule>
  </conditionalFormatting>
  <conditionalFormatting sqref="O1175:O1194">
    <cfRule type="expression" dxfId="486" priority="383">
      <formula>RIGHT(O1175,2)="  "</formula>
    </cfRule>
    <cfRule type="expression" dxfId="485" priority="384">
      <formula>RIGHT(O1175,1)=" "</formula>
    </cfRule>
  </conditionalFormatting>
  <conditionalFormatting sqref="O1223:O1242">
    <cfRule type="expression" dxfId="484" priority="381">
      <formula>RIGHT(O1223,2)="  "</formula>
    </cfRule>
    <cfRule type="expression" dxfId="483" priority="382">
      <formula>RIGHT(O1223,1)=" "</formula>
    </cfRule>
  </conditionalFormatting>
  <conditionalFormatting sqref="O1439:O1458">
    <cfRule type="expression" dxfId="482" priority="379">
      <formula>RIGHT(O1439,2)="  "</formula>
    </cfRule>
    <cfRule type="expression" dxfId="481" priority="380">
      <formula>RIGHT(O1439,1)=" "</formula>
    </cfRule>
  </conditionalFormatting>
  <conditionalFormatting sqref="O1511:O1530">
    <cfRule type="expression" dxfId="480" priority="377">
      <formula>RIGHT(O1511,2)="  "</formula>
    </cfRule>
    <cfRule type="expression" dxfId="479" priority="378">
      <formula>RIGHT(O1511,1)=" "</formula>
    </cfRule>
  </conditionalFormatting>
  <conditionalFormatting sqref="O1535:O1554">
    <cfRule type="expression" dxfId="478" priority="375">
      <formula>RIGHT(O1535,2)="  "</formula>
    </cfRule>
    <cfRule type="expression" dxfId="477" priority="376">
      <formula>RIGHT(O1535,1)=" "</formula>
    </cfRule>
  </conditionalFormatting>
  <conditionalFormatting sqref="O1609:O1628">
    <cfRule type="expression" dxfId="476" priority="373">
      <formula>RIGHT(O1609,2)="  "</formula>
    </cfRule>
    <cfRule type="expression" dxfId="475" priority="374">
      <formula>RIGHT(O1609,1)=" "</formula>
    </cfRule>
  </conditionalFormatting>
  <conditionalFormatting sqref="O1754:O1773">
    <cfRule type="expression" dxfId="474" priority="371">
      <formula>RIGHT(O1754,2)="  "</formula>
    </cfRule>
    <cfRule type="expression" dxfId="473" priority="372">
      <formula>RIGHT(O1754,1)=" "</formula>
    </cfRule>
  </conditionalFormatting>
  <conditionalFormatting sqref="O1803:O1822">
    <cfRule type="expression" dxfId="472" priority="369">
      <formula>RIGHT(O1803,2)="  "</formula>
    </cfRule>
    <cfRule type="expression" dxfId="471" priority="370">
      <formula>RIGHT(O1803,1)=" "</formula>
    </cfRule>
  </conditionalFormatting>
  <conditionalFormatting sqref="O1827:O1846">
    <cfRule type="expression" dxfId="470" priority="367">
      <formula>RIGHT(O1827,2)="  "</formula>
    </cfRule>
    <cfRule type="expression" dxfId="469" priority="368">
      <formula>RIGHT(O1827,1)=" "</formula>
    </cfRule>
  </conditionalFormatting>
  <conditionalFormatting sqref="O1851:O1870">
    <cfRule type="expression" dxfId="468" priority="365">
      <formula>RIGHT(O1851,2)="  "</formula>
    </cfRule>
    <cfRule type="expression" dxfId="467" priority="366">
      <formula>RIGHT(O1851,1)=" "</formula>
    </cfRule>
  </conditionalFormatting>
  <conditionalFormatting sqref="Q958:Q977">
    <cfRule type="expression" dxfId="466" priority="335">
      <formula>RIGHT(Q958,2)="  "</formula>
    </cfRule>
    <cfRule type="expression" dxfId="465" priority="336">
      <formula>RIGHT(Q958,1)=" "</formula>
    </cfRule>
  </conditionalFormatting>
  <conditionalFormatting sqref="O1875:O1894">
    <cfRule type="expression" dxfId="464" priority="363">
      <formula>RIGHT(O1875,2)="  "</formula>
    </cfRule>
    <cfRule type="expression" dxfId="463" priority="364">
      <formula>RIGHT(O1875,1)=" "</formula>
    </cfRule>
  </conditionalFormatting>
  <conditionalFormatting sqref="O140:O159">
    <cfRule type="expression" dxfId="462" priority="361">
      <formula>RIGHT(O140,2)="  "</formula>
    </cfRule>
    <cfRule type="expression" dxfId="461" priority="362">
      <formula>RIGHT(O140,1)=" "</formula>
    </cfRule>
  </conditionalFormatting>
  <conditionalFormatting sqref="O164:O183">
    <cfRule type="expression" dxfId="460" priority="359">
      <formula>RIGHT(O164,2)="  "</formula>
    </cfRule>
    <cfRule type="expression" dxfId="459" priority="360">
      <formula>RIGHT(O164,1)=" "</formula>
    </cfRule>
  </conditionalFormatting>
  <conditionalFormatting sqref="O188:O207">
    <cfRule type="expression" dxfId="458" priority="357">
      <formula>RIGHT(O188,2)="  "</formula>
    </cfRule>
    <cfRule type="expression" dxfId="457" priority="358">
      <formula>RIGHT(O188,1)=" "</formula>
    </cfRule>
  </conditionalFormatting>
  <conditionalFormatting sqref="O1925:O1944">
    <cfRule type="expression" dxfId="456" priority="355">
      <formula>RIGHT(O1925,2)="  "</formula>
    </cfRule>
    <cfRule type="expression" dxfId="455" priority="356">
      <formula>RIGHT(O1925,1)=" "</formula>
    </cfRule>
  </conditionalFormatting>
  <conditionalFormatting sqref="Q933:Q952">
    <cfRule type="expression" dxfId="454" priority="337">
      <formula>RIGHT(Q933,2)="  "</formula>
    </cfRule>
    <cfRule type="expression" dxfId="453" priority="338">
      <formula>RIGHT(Q933,1)=" "</formula>
    </cfRule>
  </conditionalFormatting>
  <conditionalFormatting sqref="O1973:O1992">
    <cfRule type="expression" dxfId="452" priority="351">
      <formula>RIGHT(O1973,2)="  "</formula>
    </cfRule>
    <cfRule type="expression" dxfId="451" priority="352">
      <formula>RIGHT(O1973,1)=" "</formula>
    </cfRule>
  </conditionalFormatting>
  <conditionalFormatting sqref="O1949:O1968">
    <cfRule type="expression" dxfId="450" priority="349">
      <formula>RIGHT(O1949,2)="  "</formula>
    </cfRule>
    <cfRule type="expression" dxfId="449" priority="350">
      <formula>RIGHT(O1949,1)=" "</formula>
    </cfRule>
  </conditionalFormatting>
  <conditionalFormatting sqref="O45:O63">
    <cfRule type="expression" dxfId="448" priority="333">
      <formula>RIGHT(O45,2)="  "</formula>
    </cfRule>
    <cfRule type="expression" dxfId="447" priority="334">
      <formula>RIGHT(O45,1)=" "</formula>
    </cfRule>
  </conditionalFormatting>
  <conditionalFormatting sqref="O20:O28 O30:O39">
    <cfRule type="expression" dxfId="446" priority="331">
      <formula>RIGHT(O20,2)="  "</formula>
    </cfRule>
    <cfRule type="expression" dxfId="445" priority="332">
      <formula>RIGHT(O20,1)=" "</formula>
    </cfRule>
  </conditionalFormatting>
  <conditionalFormatting sqref="Q213:Q232">
    <cfRule type="expression" dxfId="444" priority="347">
      <formula>RIGHT(Q213,2)="  "</formula>
    </cfRule>
    <cfRule type="expression" dxfId="443" priority="348">
      <formula>RIGHT(Q213,1)=" "</formula>
    </cfRule>
  </conditionalFormatting>
  <conditionalFormatting sqref="Q261:Q280">
    <cfRule type="expression" dxfId="442" priority="345">
      <formula>RIGHT(Q261,2)="  "</formula>
    </cfRule>
    <cfRule type="expression" dxfId="441" priority="346">
      <formula>RIGHT(Q261,1)=" "</formula>
    </cfRule>
  </conditionalFormatting>
  <conditionalFormatting sqref="Q309:Q328">
    <cfRule type="expression" dxfId="440" priority="343">
      <formula>RIGHT(Q309,2)="  "</formula>
    </cfRule>
    <cfRule type="expression" dxfId="439" priority="344">
      <formula>RIGHT(Q309,1)=" "</formula>
    </cfRule>
  </conditionalFormatting>
  <conditionalFormatting sqref="Q549:Q568">
    <cfRule type="expression" dxfId="438" priority="341">
      <formula>RIGHT(Q549,2)="  "</formula>
    </cfRule>
    <cfRule type="expression" dxfId="437" priority="342">
      <formula>RIGHT(Q549,1)=" "</formula>
    </cfRule>
  </conditionalFormatting>
  <conditionalFormatting sqref="Q765:Q784">
    <cfRule type="expression" dxfId="436" priority="339">
      <formula>RIGHT(Q765,2)="  "</formula>
    </cfRule>
    <cfRule type="expression" dxfId="435" priority="340">
      <formula>RIGHT(Q765,1)=" "</formula>
    </cfRule>
  </conditionalFormatting>
  <conditionalFormatting sqref="O117:O135">
    <cfRule type="expression" dxfId="434" priority="329">
      <formula>RIGHT(O117,2)="  "</formula>
    </cfRule>
    <cfRule type="expression" dxfId="433" priority="330">
      <formula>RIGHT(O117,1)=" "</formula>
    </cfRule>
  </conditionalFormatting>
  <conditionalFormatting sqref="O1682:O1701">
    <cfRule type="expression" dxfId="432" priority="327">
      <formula>RIGHT(O1682,2)="  "</formula>
    </cfRule>
    <cfRule type="expression" dxfId="431" priority="328">
      <formula>RIGHT(O1682,1)=" "</formula>
    </cfRule>
  </conditionalFormatting>
  <conditionalFormatting sqref="O29">
    <cfRule type="expression" dxfId="430" priority="325">
      <formula>RIGHT(O29,2)="  "</formula>
    </cfRule>
    <cfRule type="expression" dxfId="429" priority="326">
      <formula>RIGHT(O29,1)=" "</formula>
    </cfRule>
  </conditionalFormatting>
  <conditionalFormatting sqref="O44">
    <cfRule type="expression" dxfId="428" priority="323">
      <formula>RIGHT(O44,2)="  "</formula>
    </cfRule>
    <cfRule type="expression" dxfId="427" priority="324">
      <formula>RIGHT(O44,1)=" "</formula>
    </cfRule>
  </conditionalFormatting>
  <conditionalFormatting sqref="O116">
    <cfRule type="expression" dxfId="426" priority="321">
      <formula>RIGHT(O116,2)="  "</formula>
    </cfRule>
    <cfRule type="expression" dxfId="425" priority="322">
      <formula>RIGHT(O116,1)=" "</formula>
    </cfRule>
  </conditionalFormatting>
  <conditionalFormatting sqref="O621:O640">
    <cfRule type="expression" dxfId="424" priority="319">
      <formula>RIGHT(O621,2)="  "</formula>
    </cfRule>
    <cfRule type="expression" dxfId="423" priority="320">
      <formula>RIGHT(O621,1)=" "</formula>
    </cfRule>
  </conditionalFormatting>
  <conditionalFormatting sqref="Q621:Q640">
    <cfRule type="expression" dxfId="422" priority="317">
      <formula>RIGHT(Q621,2)="  "</formula>
    </cfRule>
    <cfRule type="expression" dxfId="421" priority="318">
      <formula>RIGHT(Q621,1)=" "</formula>
    </cfRule>
  </conditionalFormatting>
  <conditionalFormatting sqref="O525:O544">
    <cfRule type="expression" dxfId="420" priority="315">
      <formula>RIGHT(O525,2)="  "</formula>
    </cfRule>
    <cfRule type="expression" dxfId="419" priority="316">
      <formula>RIGHT(O525,1)=" "</formula>
    </cfRule>
  </conditionalFormatting>
  <conditionalFormatting sqref="Q525:Q544">
    <cfRule type="expression" dxfId="418" priority="313">
      <formula>RIGHT(Q525,2)="  "</formula>
    </cfRule>
    <cfRule type="expression" dxfId="417" priority="314">
      <formula>RIGHT(Q525,1)=" "</formula>
    </cfRule>
  </conditionalFormatting>
  <conditionalFormatting sqref="O837:O856">
    <cfRule type="expression" dxfId="416" priority="311">
      <formula>RIGHT(O837,2)="  "</formula>
    </cfRule>
    <cfRule type="expression" dxfId="415" priority="312">
      <formula>RIGHT(O837,1)=" "</formula>
    </cfRule>
  </conditionalFormatting>
  <conditionalFormatting sqref="Q837:Q856">
    <cfRule type="expression" dxfId="414" priority="309">
      <formula>RIGHT(Q837,2)="  "</formula>
    </cfRule>
    <cfRule type="expression" dxfId="413" priority="310">
      <formula>RIGHT(Q837,1)=" "</formula>
    </cfRule>
  </conditionalFormatting>
  <conditionalFormatting sqref="O1054:O1056 O1058:O1073">
    <cfRule type="expression" dxfId="412" priority="307">
      <formula>RIGHT(O1054,2)="  "</formula>
    </cfRule>
    <cfRule type="expression" dxfId="411" priority="308">
      <formula>RIGHT(O1054,1)=" "</formula>
    </cfRule>
  </conditionalFormatting>
  <conditionalFormatting sqref="O1030:O1049">
    <cfRule type="expression" dxfId="410" priority="305">
      <formula>RIGHT(O1030,2)="  "</formula>
    </cfRule>
    <cfRule type="expression" dxfId="409" priority="306">
      <formula>RIGHT(O1030,1)=" "</formula>
    </cfRule>
  </conditionalFormatting>
  <conditionalFormatting sqref="O982:O1001">
    <cfRule type="expression" dxfId="408" priority="303">
      <formula>RIGHT(O982,2)="  "</formula>
    </cfRule>
    <cfRule type="expression" dxfId="407" priority="304">
      <formula>RIGHT(O982,1)=" "</formula>
    </cfRule>
  </conditionalFormatting>
  <conditionalFormatting sqref="O1057">
    <cfRule type="expression" dxfId="406" priority="301">
      <formula>RIGHT(O1057,2)="  "</formula>
    </cfRule>
    <cfRule type="expression" dxfId="405" priority="302">
      <formula>RIGHT(O1057,1)=" "</formula>
    </cfRule>
  </conditionalFormatting>
  <conditionalFormatting sqref="O1081">
    <cfRule type="expression" dxfId="404" priority="299">
      <formula>RIGHT(O1081,2)="  "</formula>
    </cfRule>
    <cfRule type="expression" dxfId="403" priority="300">
      <formula>RIGHT(O1081,1)=" "</formula>
    </cfRule>
  </conditionalFormatting>
  <conditionalFormatting sqref="O1105">
    <cfRule type="expression" dxfId="402" priority="297">
      <formula>RIGHT(O1105,2)="  "</formula>
    </cfRule>
    <cfRule type="expression" dxfId="401" priority="298">
      <formula>RIGHT(O1105,1)=" "</formula>
    </cfRule>
  </conditionalFormatting>
  <conditionalFormatting sqref="O1706:O1725">
    <cfRule type="expression" dxfId="400" priority="295">
      <formula>RIGHT(O1706,2)="  "</formula>
    </cfRule>
    <cfRule type="expression" dxfId="399" priority="296">
      <formula>RIGHT(O1706,1)=" "</formula>
    </cfRule>
  </conditionalFormatting>
  <conditionalFormatting sqref="O1730:O1749">
    <cfRule type="expression" dxfId="398" priority="293">
      <formula>RIGHT(O1730,2)="  "</formula>
    </cfRule>
    <cfRule type="expression" dxfId="397" priority="294">
      <formula>RIGHT(O1730,1)=" "</formula>
    </cfRule>
  </conditionalFormatting>
  <conditionalFormatting sqref="O1634:O1653">
    <cfRule type="expression" dxfId="396" priority="291">
      <formula>RIGHT(O1634,2)="  "</formula>
    </cfRule>
    <cfRule type="expression" dxfId="395" priority="292">
      <formula>RIGHT(O1634,1)=" "</formula>
    </cfRule>
  </conditionalFormatting>
  <conditionalFormatting sqref="O1126:O1145">
    <cfRule type="expression" dxfId="394" priority="289">
      <formula>RIGHT(O1126,2)="  "</formula>
    </cfRule>
    <cfRule type="expression" dxfId="393" priority="290">
      <formula>RIGHT(O1126,1)=" "</formula>
    </cfRule>
  </conditionalFormatting>
  <conditionalFormatting sqref="O69:O87">
    <cfRule type="expression" dxfId="392" priority="287">
      <formula>RIGHT(O69,2)="  "</formula>
    </cfRule>
    <cfRule type="expression" dxfId="391" priority="288">
      <formula>RIGHT(O69,1)=" "</formula>
    </cfRule>
  </conditionalFormatting>
  <conditionalFormatting sqref="O68">
    <cfRule type="expression" dxfId="390" priority="285">
      <formula>RIGHT(O68,2)="  "</formula>
    </cfRule>
    <cfRule type="expression" dxfId="389" priority="286">
      <formula>RIGHT(O68,1)=" "</formula>
    </cfRule>
  </conditionalFormatting>
  <conditionalFormatting sqref="O1561 O1563:O1564 O1571:O1580 O1568">
    <cfRule type="expression" dxfId="388" priority="283">
      <formula>RIGHT(O1561,2)="  "</formula>
    </cfRule>
    <cfRule type="expression" dxfId="387" priority="284">
      <formula>RIGHT(O1561,1)=" "</formula>
    </cfRule>
  </conditionalFormatting>
  <conditionalFormatting sqref="O1415:O1434">
    <cfRule type="expression" dxfId="386" priority="281">
      <formula>RIGHT(O1415,2)="  "</formula>
    </cfRule>
    <cfRule type="expression" dxfId="385" priority="282">
      <formula>RIGHT(O1415,1)=" "</formula>
    </cfRule>
  </conditionalFormatting>
  <conditionalFormatting sqref="O1779:O1798">
    <cfRule type="expression" dxfId="384" priority="279">
      <formula>RIGHT(O1779,2)="  "</formula>
    </cfRule>
    <cfRule type="expression" dxfId="383" priority="280">
      <formula>RIGHT(O1779,1)=" "</formula>
    </cfRule>
  </conditionalFormatting>
  <conditionalFormatting sqref="O885:O904">
    <cfRule type="expression" dxfId="382" priority="277">
      <formula>RIGHT(O885,2)="  "</formula>
    </cfRule>
    <cfRule type="expression" dxfId="381" priority="278">
      <formula>RIGHT(O885,1)=" "</formula>
    </cfRule>
  </conditionalFormatting>
  <conditionalFormatting sqref="Q885:Q904">
    <cfRule type="expression" dxfId="380" priority="275">
      <formula>RIGHT(Q885,2)="  "</formula>
    </cfRule>
    <cfRule type="expression" dxfId="379" priority="276">
      <formula>RIGHT(Q885,1)=" "</formula>
    </cfRule>
  </conditionalFormatting>
  <conditionalFormatting sqref="O285:O304">
    <cfRule type="expression" dxfId="378" priority="273">
      <formula>RIGHT(O285,2)="  "</formula>
    </cfRule>
    <cfRule type="expression" dxfId="377" priority="274">
      <formula>RIGHT(O285,1)=" "</formula>
    </cfRule>
  </conditionalFormatting>
  <conditionalFormatting sqref="O909:O928">
    <cfRule type="expression" dxfId="376" priority="271">
      <formula>RIGHT(O909,2)="  "</formula>
    </cfRule>
    <cfRule type="expression" dxfId="375" priority="272">
      <formula>RIGHT(O909,1)=" "</formula>
    </cfRule>
  </conditionalFormatting>
  <conditionalFormatting sqref="Q909:Q928">
    <cfRule type="expression" dxfId="374" priority="269">
      <formula>RIGHT(Q909,2)="  "</formula>
    </cfRule>
    <cfRule type="expression" dxfId="373" priority="270">
      <formula>RIGHT(Q909,1)=" "</formula>
    </cfRule>
  </conditionalFormatting>
  <conditionalFormatting sqref="O861:O880">
    <cfRule type="expression" dxfId="372" priority="267">
      <formula>RIGHT(O861,2)="  "</formula>
    </cfRule>
    <cfRule type="expression" dxfId="371" priority="268">
      <formula>RIGHT(O861,1)=" "</formula>
    </cfRule>
  </conditionalFormatting>
  <conditionalFormatting sqref="Q861:Q880">
    <cfRule type="expression" dxfId="370" priority="265">
      <formula>RIGHT(Q861,2)="  "</formula>
    </cfRule>
    <cfRule type="expression" dxfId="369" priority="266">
      <formula>RIGHT(Q861,1)=" "</formula>
    </cfRule>
  </conditionalFormatting>
  <conditionalFormatting sqref="O1199:O1218">
    <cfRule type="expression" dxfId="368" priority="263">
      <formula>RIGHT(O1199,2)="  "</formula>
    </cfRule>
    <cfRule type="expression" dxfId="367" priority="264">
      <formula>RIGHT(O1199,1)=" "</formula>
    </cfRule>
  </conditionalFormatting>
  <conditionalFormatting sqref="O789:O808">
    <cfRule type="expression" dxfId="366" priority="261">
      <formula>RIGHT(O789,2)="  "</formula>
    </cfRule>
    <cfRule type="expression" dxfId="365" priority="262">
      <formula>RIGHT(O789,1)=" "</formula>
    </cfRule>
  </conditionalFormatting>
  <conditionalFormatting sqref="Q789:Q808">
    <cfRule type="expression" dxfId="364" priority="259">
      <formula>RIGHT(Q789,2)="  "</formula>
    </cfRule>
    <cfRule type="expression" dxfId="363" priority="260">
      <formula>RIGHT(Q789,1)=" "</formula>
    </cfRule>
  </conditionalFormatting>
  <conditionalFormatting sqref="O1006:O1025">
    <cfRule type="expression" dxfId="362" priority="257">
      <formula>RIGHT(O1006,2)="  "</formula>
    </cfRule>
    <cfRule type="expression" dxfId="361" priority="258">
      <formula>RIGHT(O1006,1)=" "</formula>
    </cfRule>
  </conditionalFormatting>
  <conditionalFormatting sqref="O1319:O1338">
    <cfRule type="expression" dxfId="360" priority="255">
      <formula>RIGHT(O1319,2)="  "</formula>
    </cfRule>
    <cfRule type="expression" dxfId="359" priority="256">
      <formula>RIGHT(O1319,1)=" "</formula>
    </cfRule>
  </conditionalFormatting>
  <conditionalFormatting sqref="O693:O712">
    <cfRule type="expression" dxfId="358" priority="253">
      <formula>RIGHT(O693,2)="  "</formula>
    </cfRule>
    <cfRule type="expression" dxfId="357" priority="254">
      <formula>RIGHT(O693,1)=" "</formula>
    </cfRule>
  </conditionalFormatting>
  <conditionalFormatting sqref="Q693:Q712">
    <cfRule type="expression" dxfId="356" priority="251">
      <formula>RIGHT(Q693,2)="  "</formula>
    </cfRule>
    <cfRule type="expression" dxfId="355" priority="252">
      <formula>RIGHT(Q693,1)=" "</formula>
    </cfRule>
  </conditionalFormatting>
  <conditionalFormatting sqref="O429:O448">
    <cfRule type="expression" dxfId="354" priority="249">
      <formula>RIGHT(O429,2)="  "</formula>
    </cfRule>
    <cfRule type="expression" dxfId="353" priority="250">
      <formula>RIGHT(O429,1)=" "</formula>
    </cfRule>
  </conditionalFormatting>
  <conditionalFormatting sqref="Q429:Q448">
    <cfRule type="expression" dxfId="352" priority="247">
      <formula>RIGHT(Q429,2)="  "</formula>
    </cfRule>
    <cfRule type="expression" dxfId="351" priority="248">
      <formula>RIGHT(Q429,1)=" "</formula>
    </cfRule>
  </conditionalFormatting>
  <conditionalFormatting sqref="O1271:O1290">
    <cfRule type="expression" dxfId="350" priority="245">
      <formula>RIGHT(O1271,2)="  "</formula>
    </cfRule>
    <cfRule type="expression" dxfId="349" priority="246">
      <formula>RIGHT(O1271,1)=" "</formula>
    </cfRule>
  </conditionalFormatting>
  <conditionalFormatting sqref="Q1271">
    <cfRule type="expression" dxfId="348" priority="243">
      <formula>RIGHT(Q1271,2)="  "</formula>
    </cfRule>
    <cfRule type="expression" dxfId="347" priority="244">
      <formula>RIGHT(Q1271,1)=" "</formula>
    </cfRule>
  </conditionalFormatting>
  <conditionalFormatting sqref="Q1272">
    <cfRule type="expression" dxfId="346" priority="241">
      <formula>RIGHT(Q1272,2)="  "</formula>
    </cfRule>
    <cfRule type="expression" dxfId="345" priority="242">
      <formula>RIGHT(Q1272,1)=" "</formula>
    </cfRule>
  </conditionalFormatting>
  <conditionalFormatting sqref="Q1273">
    <cfRule type="expression" dxfId="344" priority="239">
      <formula>RIGHT(Q1273,2)="  "</formula>
    </cfRule>
    <cfRule type="expression" dxfId="343" priority="240">
      <formula>RIGHT(Q1273,1)=" "</formula>
    </cfRule>
  </conditionalFormatting>
  <conditionalFormatting sqref="O453:O456 O460:O472">
    <cfRule type="expression" dxfId="342" priority="237">
      <formula>RIGHT(O453,2)="  "</formula>
    </cfRule>
    <cfRule type="expression" dxfId="341" priority="238">
      <formula>RIGHT(O453,1)=" "</formula>
    </cfRule>
  </conditionalFormatting>
  <conditionalFormatting sqref="O457:O459">
    <cfRule type="expression" dxfId="340" priority="227">
      <formula>RIGHT(O457,2)="  "</formula>
    </cfRule>
    <cfRule type="expression" dxfId="339" priority="228">
      <formula>RIGHT(O457,1)=" "</formula>
    </cfRule>
  </conditionalFormatting>
  <conditionalFormatting sqref="Q453">
    <cfRule type="expression" dxfId="338" priority="233">
      <formula>RIGHT(Q453,2)="  "</formula>
    </cfRule>
    <cfRule type="expression" dxfId="337" priority="234">
      <formula>RIGHT(Q453,1)=" "</formula>
    </cfRule>
  </conditionalFormatting>
  <conditionalFormatting sqref="Q455">
    <cfRule type="expression" dxfId="336" priority="229">
      <formula>RIGHT(Q455,2)="  "</formula>
    </cfRule>
    <cfRule type="expression" dxfId="335" priority="230">
      <formula>RIGHT(Q455,1)=" "</formula>
    </cfRule>
  </conditionalFormatting>
  <conditionalFormatting sqref="Q719">
    <cfRule type="expression" dxfId="334" priority="217">
      <formula>RIGHT(Q719,2)="  "</formula>
    </cfRule>
    <cfRule type="expression" dxfId="333" priority="218">
      <formula>RIGHT(Q719,1)=" "</formula>
    </cfRule>
  </conditionalFormatting>
  <conditionalFormatting sqref="O719:O721">
    <cfRule type="expression" dxfId="332" priority="215">
      <formula>RIGHT(O719,2)="  "</formula>
    </cfRule>
    <cfRule type="expression" dxfId="331" priority="216">
      <formula>RIGHT(O719,1)=" "</formula>
    </cfRule>
  </conditionalFormatting>
  <conditionalFormatting sqref="O717:O718 O722:O736">
    <cfRule type="expression" dxfId="330" priority="225">
      <formula>RIGHT(O717,2)="  "</formula>
    </cfRule>
    <cfRule type="expression" dxfId="329" priority="226">
      <formula>RIGHT(O717,1)=" "</formula>
    </cfRule>
  </conditionalFormatting>
  <conditionalFormatting sqref="Q1249">
    <cfRule type="expression" dxfId="328" priority="207">
      <formula>RIGHT(Q1249,2)="  "</formula>
    </cfRule>
    <cfRule type="expression" dxfId="327" priority="208">
      <formula>RIGHT(Q1249,1)=" "</formula>
    </cfRule>
  </conditionalFormatting>
  <conditionalFormatting sqref="Q717">
    <cfRule type="expression" dxfId="326" priority="221">
      <formula>RIGHT(Q717,2)="  "</formula>
    </cfRule>
    <cfRule type="expression" dxfId="325" priority="222">
      <formula>RIGHT(Q717,1)=" "</formula>
    </cfRule>
  </conditionalFormatting>
  <conditionalFormatting sqref="Q1247">
    <cfRule type="expression" dxfId="324" priority="211">
      <formula>RIGHT(Q1247,2)="  "</formula>
    </cfRule>
    <cfRule type="expression" dxfId="323" priority="212">
      <formula>RIGHT(Q1247,1)=" "</formula>
    </cfRule>
  </conditionalFormatting>
  <conditionalFormatting sqref="Q1248">
    <cfRule type="expression" dxfId="322" priority="209">
      <formula>RIGHT(Q1248,2)="  "</formula>
    </cfRule>
    <cfRule type="expression" dxfId="321" priority="210">
      <formula>RIGHT(Q1248,1)=" "</formula>
    </cfRule>
  </conditionalFormatting>
  <conditionalFormatting sqref="Q1590">
    <cfRule type="expression" dxfId="320" priority="175">
      <formula>RIGHT(Q1590,2)="  "</formula>
    </cfRule>
    <cfRule type="expression" dxfId="319" priority="176">
      <formula>RIGHT(Q1590,1)=" "</formula>
    </cfRule>
  </conditionalFormatting>
  <conditionalFormatting sqref="O1247:O1266">
    <cfRule type="expression" dxfId="318" priority="213">
      <formula>RIGHT(O1247,2)="  "</formula>
    </cfRule>
    <cfRule type="expression" dxfId="317" priority="214">
      <formula>RIGHT(O1247,1)=" "</formula>
    </cfRule>
  </conditionalFormatting>
  <conditionalFormatting sqref="O1586">
    <cfRule type="expression" dxfId="316" priority="179">
      <formula>RIGHT(O1586,2)="  "</formula>
    </cfRule>
    <cfRule type="expression" dxfId="315" priority="180">
      <formula>RIGHT(O1586,1)=" "</formula>
    </cfRule>
  </conditionalFormatting>
  <conditionalFormatting sqref="Q2022:Q2028 Q2030:Q2041">
    <cfRule type="expression" dxfId="314" priority="171">
      <formula>RIGHT(Q2022,2)="  "</formula>
    </cfRule>
    <cfRule type="expression" dxfId="313" priority="172">
      <formula>RIGHT(Q2022,1)=" "</formula>
    </cfRule>
  </conditionalFormatting>
  <conditionalFormatting sqref="O1585 O1591:O1604 O1587">
    <cfRule type="expression" dxfId="312" priority="205">
      <formula>RIGHT(O1585,2)="  "</formula>
    </cfRule>
    <cfRule type="expression" dxfId="311" priority="206">
      <formula>RIGHT(O1585,1)=" "</formula>
    </cfRule>
  </conditionalFormatting>
  <conditionalFormatting sqref="Q1585">
    <cfRule type="expression" dxfId="310" priority="203">
      <formula>RIGHT(Q1585,2)="  "</formula>
    </cfRule>
    <cfRule type="expression" dxfId="309" priority="204">
      <formula>RIGHT(Q1585,1)=" "</formula>
    </cfRule>
  </conditionalFormatting>
  <conditionalFormatting sqref="Q1586">
    <cfRule type="expression" dxfId="308" priority="201">
      <formula>RIGHT(Q1586,2)="  "</formula>
    </cfRule>
    <cfRule type="expression" dxfId="307" priority="202">
      <formula>RIGHT(Q1586,1)=" "</formula>
    </cfRule>
  </conditionalFormatting>
  <conditionalFormatting sqref="Q1587">
    <cfRule type="expression" dxfId="306" priority="199">
      <formula>RIGHT(Q1587,2)="  "</formula>
    </cfRule>
    <cfRule type="expression" dxfId="305" priority="200">
      <formula>RIGHT(Q1587,1)=" "</formula>
    </cfRule>
  </conditionalFormatting>
  <conditionalFormatting sqref="O1588:O1590">
    <cfRule type="expression" dxfId="304" priority="197">
      <formula>RIGHT(O1588,2)="  "</formula>
    </cfRule>
    <cfRule type="expression" dxfId="303" priority="198">
      <formula>RIGHT(O1588,1)=" "</formula>
    </cfRule>
  </conditionalFormatting>
  <conditionalFormatting sqref="O1562">
    <cfRule type="expression" dxfId="302" priority="195">
      <formula>RIGHT(O1562,2)="  "</formula>
    </cfRule>
    <cfRule type="expression" dxfId="301" priority="196">
      <formula>RIGHT(O1562,1)=" "</formula>
    </cfRule>
  </conditionalFormatting>
  <conditionalFormatting sqref="O1570">
    <cfRule type="expression" dxfId="300" priority="193">
      <formula>RIGHT(O1570,2)="  "</formula>
    </cfRule>
    <cfRule type="expression" dxfId="299" priority="194">
      <formula>RIGHT(O1570,1)=" "</formula>
    </cfRule>
  </conditionalFormatting>
  <conditionalFormatting sqref="O1569">
    <cfRule type="expression" dxfId="298" priority="191">
      <formula>RIGHT(O1569,2)="  "</formula>
    </cfRule>
    <cfRule type="expression" dxfId="297" priority="192">
      <formula>RIGHT(O1569,1)=" "</formula>
    </cfRule>
  </conditionalFormatting>
  <conditionalFormatting sqref="Q1561">
    <cfRule type="expression" dxfId="296" priority="189">
      <formula>RIGHT(Q1561,2)="  "</formula>
    </cfRule>
    <cfRule type="expression" dxfId="295" priority="190">
      <formula>RIGHT(Q1561,1)=" "</formula>
    </cfRule>
  </conditionalFormatting>
  <conditionalFormatting sqref="Q1562">
    <cfRule type="expression" dxfId="294" priority="187">
      <formula>RIGHT(Q1562,2)="  "</formula>
    </cfRule>
    <cfRule type="expression" dxfId="293" priority="188">
      <formula>RIGHT(Q1562,1)=" "</formula>
    </cfRule>
  </conditionalFormatting>
  <conditionalFormatting sqref="Q1563">
    <cfRule type="expression" dxfId="292" priority="185">
      <formula>RIGHT(Q1563,2)="  "</formula>
    </cfRule>
    <cfRule type="expression" dxfId="291" priority="186">
      <formula>RIGHT(Q1563,1)=" "</formula>
    </cfRule>
  </conditionalFormatting>
  <conditionalFormatting sqref="O1565:O1567">
    <cfRule type="expression" dxfId="290" priority="183">
      <formula>RIGHT(O1565,2)="  "</formula>
    </cfRule>
    <cfRule type="expression" dxfId="289" priority="184">
      <formula>RIGHT(O1565,1)=" "</formula>
    </cfRule>
  </conditionalFormatting>
  <conditionalFormatting sqref="O2022:O2023 O2025:O2038">
    <cfRule type="expression" dxfId="288" priority="173">
      <formula>RIGHT(O2022,2)="  "</formula>
    </cfRule>
    <cfRule type="expression" dxfId="287" priority="174">
      <formula>RIGHT(O2022,1)=" "</formula>
    </cfRule>
  </conditionalFormatting>
  <conditionalFormatting sqref="Q2029">
    <cfRule type="expression" dxfId="286" priority="167">
      <formula>RIGHT(Q2029,2)="  "</formula>
    </cfRule>
    <cfRule type="expression" dxfId="285" priority="168">
      <formula>RIGHT(Q2029,1)=" "</formula>
    </cfRule>
  </conditionalFormatting>
  <conditionalFormatting sqref="O2016:O2017 O2000">
    <cfRule type="expression" dxfId="284" priority="165">
      <formula>RIGHT(O2000,2)="  "</formula>
    </cfRule>
    <cfRule type="expression" dxfId="283" priority="166">
      <formula>RIGHT(O2000,1)=" "</formula>
    </cfRule>
  </conditionalFormatting>
  <conditionalFormatting sqref="Q1998:Q2004 Q2006:Q2017">
    <cfRule type="expression" dxfId="282" priority="161">
      <formula>RIGHT(Q1998,2)="  "</formula>
    </cfRule>
    <cfRule type="expression" dxfId="281" priority="162">
      <formula>RIGHT(Q1998,1)=" "</formula>
    </cfRule>
  </conditionalFormatting>
  <conditionalFormatting sqref="O1998:O1999 O2001:O2014">
    <cfRule type="expression" dxfId="280" priority="163">
      <formula>RIGHT(O1998,2)="  "</formula>
    </cfRule>
    <cfRule type="expression" dxfId="279" priority="164">
      <formula>RIGHT(O1998,1)=" "</formula>
    </cfRule>
  </conditionalFormatting>
  <conditionalFormatting sqref="Q2005">
    <cfRule type="expression" dxfId="278" priority="159">
      <formula>RIGHT(Q2005,2)="  "</formula>
    </cfRule>
    <cfRule type="expression" dxfId="277" priority="160">
      <formula>RIGHT(Q2005,1)=" "</formula>
    </cfRule>
  </conditionalFormatting>
  <conditionalFormatting sqref="O237:O256">
    <cfRule type="expression" dxfId="276" priority="157">
      <formula>RIGHT(O237,2)="  "</formula>
    </cfRule>
    <cfRule type="expression" dxfId="275" priority="158">
      <formula>RIGHT(O237,1)=" "</formula>
    </cfRule>
  </conditionalFormatting>
  <conditionalFormatting sqref="Q237:Q256">
    <cfRule type="expression" dxfId="274" priority="155">
      <formula>RIGHT(Q237,2)="  "</formula>
    </cfRule>
    <cfRule type="expression" dxfId="273" priority="156">
      <formula>RIGHT(Q237,1)=" "</formula>
    </cfRule>
  </conditionalFormatting>
  <conditionalFormatting sqref="O1658:O1677">
    <cfRule type="expression" dxfId="272" priority="153">
      <formula>RIGHT(O1658,2)="  "</formula>
    </cfRule>
    <cfRule type="expression" dxfId="271" priority="154">
      <formula>RIGHT(O1658,1)=" "</formula>
    </cfRule>
  </conditionalFormatting>
  <conditionalFormatting sqref="O1295:O1314">
    <cfRule type="expression" dxfId="270" priority="151">
      <formula>RIGHT(O1295,2)="  "</formula>
    </cfRule>
    <cfRule type="expression" dxfId="269" priority="152">
      <formula>RIGHT(O1295,1)=" "</formula>
    </cfRule>
  </conditionalFormatting>
  <conditionalFormatting sqref="O1487:O1506">
    <cfRule type="expression" dxfId="268" priority="147">
      <formula>RIGHT(O1487,2)="  "</formula>
    </cfRule>
    <cfRule type="expression" dxfId="267" priority="148">
      <formula>RIGHT(O1487,1)=" "</formula>
    </cfRule>
  </conditionalFormatting>
  <conditionalFormatting sqref="O1463:O1482">
    <cfRule type="expression" dxfId="266" priority="145">
      <formula>RIGHT(O1463,2)="  "</formula>
    </cfRule>
    <cfRule type="expression" dxfId="265" priority="146">
      <formula>RIGHT(O1463,1)=" "</formula>
    </cfRule>
  </conditionalFormatting>
  <conditionalFormatting sqref="O597:O616">
    <cfRule type="expression" dxfId="264" priority="143">
      <formula>RIGHT(O597,2)="  "</formula>
    </cfRule>
    <cfRule type="expression" dxfId="263" priority="144">
      <formula>RIGHT(O597,1)=" "</formula>
    </cfRule>
  </conditionalFormatting>
  <conditionalFormatting sqref="Q597:Q616">
    <cfRule type="expression" dxfId="262" priority="141">
      <formula>RIGHT(Q597,2)="  "</formula>
    </cfRule>
    <cfRule type="expression" dxfId="261" priority="142">
      <formula>RIGHT(Q597,1)=" "</formula>
    </cfRule>
  </conditionalFormatting>
  <conditionalFormatting sqref="O501:O520">
    <cfRule type="expression" dxfId="260" priority="139">
      <formula>RIGHT(O501,2)="  "</formula>
    </cfRule>
    <cfRule type="expression" dxfId="259" priority="140">
      <formula>RIGHT(O501,1)=" "</formula>
    </cfRule>
  </conditionalFormatting>
  <conditionalFormatting sqref="Q501:Q520">
    <cfRule type="expression" dxfId="258" priority="137">
      <formula>RIGHT(Q501,2)="  "</formula>
    </cfRule>
    <cfRule type="expression" dxfId="257" priority="138">
      <formula>RIGHT(Q501,1)=" "</formula>
    </cfRule>
  </conditionalFormatting>
  <conditionalFormatting sqref="O741:O760">
    <cfRule type="expression" dxfId="256" priority="135">
      <formula>RIGHT(O741,2)="  "</formula>
    </cfRule>
    <cfRule type="expression" dxfId="255" priority="136">
      <formula>RIGHT(O741,1)=" "</formula>
    </cfRule>
  </conditionalFormatting>
  <conditionalFormatting sqref="Q741:Q760">
    <cfRule type="expression" dxfId="254" priority="133">
      <formula>RIGHT(Q741,2)="  "</formula>
    </cfRule>
    <cfRule type="expression" dxfId="253" priority="134">
      <formula>RIGHT(Q741,1)=" "</formula>
    </cfRule>
  </conditionalFormatting>
  <conditionalFormatting sqref="O669:O688">
    <cfRule type="expression" dxfId="252" priority="130">
      <formula>RIGHT(O669,2)="  "</formula>
    </cfRule>
    <cfRule type="expression" dxfId="251" priority="131">
      <formula>RIGHT(O669,1)=" "</formula>
    </cfRule>
  </conditionalFormatting>
  <conditionalFormatting sqref="Q669:Q688">
    <cfRule type="expression" dxfId="250" priority="128">
      <formula>RIGHT(Q669,2)="  "</formula>
    </cfRule>
    <cfRule type="expression" dxfId="249" priority="129">
      <formula>RIGHT(Q669,1)=" "</formula>
    </cfRule>
  </conditionalFormatting>
  <conditionalFormatting sqref="O333:O352">
    <cfRule type="expression" dxfId="248" priority="125">
      <formula>RIGHT(O333,2)="  "</formula>
    </cfRule>
    <cfRule type="expression" dxfId="247" priority="126">
      <formula>RIGHT(O333,1)=" "</formula>
    </cfRule>
  </conditionalFormatting>
  <conditionalFormatting sqref="Q333:Q352">
    <cfRule type="expression" dxfId="246" priority="123">
      <formula>RIGHT(Q333,2)="  "</formula>
    </cfRule>
    <cfRule type="expression" dxfId="245" priority="124">
      <formula>RIGHT(Q333,1)=" "</formula>
    </cfRule>
  </conditionalFormatting>
  <conditionalFormatting sqref="O357:O376">
    <cfRule type="expression" dxfId="244" priority="120">
      <formula>RIGHT(O357,2)="  "</formula>
    </cfRule>
    <cfRule type="expression" dxfId="243" priority="121">
      <formula>RIGHT(O357,1)=" "</formula>
    </cfRule>
  </conditionalFormatting>
  <conditionalFormatting sqref="Q357:Q376">
    <cfRule type="expression" dxfId="242" priority="118">
      <formula>RIGHT(Q357,2)="  "</formula>
    </cfRule>
    <cfRule type="expression" dxfId="241" priority="119">
      <formula>RIGHT(Q357,1)=" "</formula>
    </cfRule>
  </conditionalFormatting>
  <conditionalFormatting sqref="O405:O424">
    <cfRule type="expression" dxfId="240" priority="115">
      <formula>RIGHT(O405,2)="  "</formula>
    </cfRule>
    <cfRule type="expression" dxfId="239" priority="116">
      <formula>RIGHT(O405,1)=" "</formula>
    </cfRule>
  </conditionalFormatting>
  <conditionalFormatting sqref="Q405:Q424">
    <cfRule type="expression" dxfId="238" priority="113">
      <formula>RIGHT(Q405,2)="  "</formula>
    </cfRule>
    <cfRule type="expression" dxfId="237" priority="114">
      <formula>RIGHT(Q405,1)=" "</formula>
    </cfRule>
  </conditionalFormatting>
  <conditionalFormatting sqref="O2070:O2089">
    <cfRule type="expression" dxfId="236" priority="110">
      <formula>RIGHT(O2070,2)="  "</formula>
    </cfRule>
    <cfRule type="expression" dxfId="235"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J2068:AO2601 AU2068:XFD2601 AU1923:XFD2043 AU667:XFD1898 J2602:XFD1048576 J17:XFD18 B2:H8 J2:XFD14 AP2118:AT2601 AU25:XFD474 AO15 J19:AO474 AV19:XFD24 A16:H16 AW15:XFD16 J16:AO16 B10:H11 B9:C9 E9:H9 J1:AO1 AR1:XFD1">
    <cfRule type="expression" dxfId="234" priority="108">
      <formula>IF(ROW() = ROW(), TRUE, FALSE)</formula>
    </cfRule>
  </conditionalFormatting>
  <conditionalFormatting sqref="O813:O832">
    <cfRule type="expression" dxfId="233" priority="106">
      <formula>RIGHT(O813,2)="  "</formula>
    </cfRule>
    <cfRule type="expression" dxfId="232" priority="107">
      <formula>RIGHT(O813,1)=" "</formula>
    </cfRule>
  </conditionalFormatting>
  <conditionalFormatting sqref="Q813:Q832">
    <cfRule type="expression" dxfId="231" priority="104">
      <formula>RIGHT(Q813,2)="  "</formula>
    </cfRule>
    <cfRule type="expression" dxfId="230" priority="105">
      <formula>RIGHT(Q813,1)=" "</formula>
    </cfRule>
  </conditionalFormatting>
  <conditionalFormatting sqref="D499:D570 D595:D642 D2068:D1048576 D667:D1898 D1923:D2043 D1:D8 D13:D474 D10:D11">
    <cfRule type="cellIs" dxfId="229" priority="101" operator="equal">
      <formula>"EITHER"</formula>
    </cfRule>
    <cfRule type="cellIs" dxfId="228" priority="102" operator="equal">
      <formula>"MSSB"</formula>
    </cfRule>
    <cfRule type="cellIs" dxfId="227" priority="103" operator="equal">
      <formula>"LOCAL"</formula>
    </cfRule>
  </conditionalFormatting>
  <conditionalFormatting sqref="D8 D10:D11">
    <cfRule type="cellIs" dxfId="226" priority="75" operator="notEqual">
      <formula>0</formula>
    </cfRule>
  </conditionalFormatting>
  <conditionalFormatting sqref="D475:D498">
    <cfRule type="cellIs" dxfId="225" priority="67" operator="equal">
      <formula>"EITHER"</formula>
    </cfRule>
    <cfRule type="cellIs" dxfId="224" priority="68" operator="equal">
      <formula>"MSSB"</formula>
    </cfRule>
    <cfRule type="cellIs" dxfId="223" priority="69" operator="equal">
      <formula>"LOCAL"</formula>
    </cfRule>
  </conditionalFormatting>
  <conditionalFormatting sqref="D571:D594">
    <cfRule type="cellIs" dxfId="222" priority="56" operator="equal">
      <formula>"EITHER"</formula>
    </cfRule>
    <cfRule type="cellIs" dxfId="221" priority="57" operator="equal">
      <formula>"MSSB"</formula>
    </cfRule>
    <cfRule type="cellIs" dxfId="220" priority="58" operator="equal">
      <formula>"LOCAL"</formula>
    </cfRule>
  </conditionalFormatting>
  <conditionalFormatting sqref="D2044:D2067">
    <cfRule type="cellIs" dxfId="219" priority="49" operator="equal">
      <formula>"EITHER"</formula>
    </cfRule>
    <cfRule type="cellIs" dxfId="218" priority="50" operator="equal">
      <formula>"MSSB"</formula>
    </cfRule>
    <cfRule type="cellIs" dxfId="217" priority="51" operator="equal">
      <formula>"LOCAL"</formula>
    </cfRule>
  </conditionalFormatting>
  <conditionalFormatting sqref="D643:D666">
    <cfRule type="cellIs" dxfId="216" priority="40" operator="equal">
      <formula>"EITHER"</formula>
    </cfRule>
    <cfRule type="cellIs" dxfId="215" priority="41" operator="equal">
      <formula>"MSSB"</formula>
    </cfRule>
    <cfRule type="cellIs" dxfId="214" priority="42" operator="equal">
      <formula>"LOCAL"</formula>
    </cfRule>
  </conditionalFormatting>
  <conditionalFormatting sqref="O1901:O1920">
    <cfRule type="expression" dxfId="213" priority="37">
      <formula>RIGHT(O1901,2)="  "</formula>
    </cfRule>
    <cfRule type="expression" dxfId="212" priority="38">
      <formula>RIGHT(O1901,1)=" "</formula>
    </cfRule>
  </conditionalFormatting>
  <conditionalFormatting sqref="A1899:H1922 J1899:AO1922 AU1899:XFD1922">
    <cfRule type="expression" dxfId="211" priority="36">
      <formula>IF(ROW() = ROW(), TRUE, FALSE)</formula>
    </cfRule>
  </conditionalFormatting>
  <conditionalFormatting sqref="D1899:D1922">
    <cfRule type="cellIs" dxfId="210" priority="33" operator="equal">
      <formula>"EITHER"</formula>
    </cfRule>
    <cfRule type="cellIs" dxfId="209" priority="34" operator="equal">
      <formula>"MSSB"</formula>
    </cfRule>
    <cfRule type="cellIs" dxfId="208" priority="35" operator="equal">
      <formula>"LOCAL"</formula>
    </cfRule>
  </conditionalFormatting>
  <conditionalFormatting sqref="AP19:AU19 AU20:AU24 AP20:AT2117">
    <cfRule type="expression" dxfId="207" priority="30">
      <formula>IF(ROW() = ROW(), TRUE, FALSE)</formula>
    </cfRule>
  </conditionalFormatting>
  <conditionalFormatting sqref="AP16:AV16 AP15:AS15 AU15:AV15">
    <cfRule type="expression" dxfId="206" priority="29">
      <formula>IF(ROW() = ROW(), TRUE, FALSE)</formula>
    </cfRule>
  </conditionalFormatting>
  <conditionalFormatting sqref="D9">
    <cfRule type="expression" dxfId="205" priority="18">
      <formula>IF(ROW() = ROW(), TRUE, FALSE)</formula>
    </cfRule>
  </conditionalFormatting>
  <conditionalFormatting sqref="D9">
    <cfRule type="cellIs" dxfId="204" priority="15" operator="equal">
      <formula>"EITHER"</formula>
    </cfRule>
    <cfRule type="cellIs" dxfId="203" priority="16" operator="equal">
      <formula>"MSSB"</formula>
    </cfRule>
    <cfRule type="cellIs" dxfId="202" priority="17" operator="equal">
      <formula>"LOCAL"</formula>
    </cfRule>
  </conditionalFormatting>
  <conditionalFormatting sqref="D9">
    <cfRule type="cellIs" dxfId="201" priority="14" operator="notEqual">
      <formula>0</formula>
    </cfRule>
  </conditionalFormatting>
  <conditionalFormatting sqref="AT15">
    <cfRule type="expression" dxfId="200" priority="12">
      <formula>IF(ROW() = ROW(), TRUE, FALSE)</formula>
    </cfRule>
  </conditionalFormatting>
  <conditionalFormatting sqref="I11">
    <cfRule type="expression" dxfId="199" priority="11">
      <formula>IF(ROW() = ROW(), TRUE, FALSE)</formula>
    </cfRule>
  </conditionalFormatting>
  <conditionalFormatting sqref="I11">
    <cfRule type="cellIs" dxfId="198" priority="8" operator="equal">
      <formula>"EITHER"</formula>
    </cfRule>
    <cfRule type="cellIs" dxfId="197" priority="9" operator="equal">
      <formula>"MSSB"</formula>
    </cfRule>
    <cfRule type="cellIs" dxfId="196" priority="10" operator="equal">
      <formula>"LOCAL"</formula>
    </cfRule>
  </conditionalFormatting>
  <conditionalFormatting sqref="I499:I570 I595:I642 I1:I7 I667:I1898 I1923:I2043 I11:I474 I2068:I1048576">
    <cfRule type="cellIs" dxfId="195" priority="7" operator="notEqual">
      <formula>0</formula>
    </cfRule>
  </conditionalFormatting>
  <conditionalFormatting sqref="I475:I498">
    <cfRule type="cellIs" dxfId="194" priority="6" operator="notEqual">
      <formula>0</formula>
    </cfRule>
  </conditionalFormatting>
  <conditionalFormatting sqref="I571:I594">
    <cfRule type="cellIs" dxfId="193" priority="5" operator="notEqual">
      <formula>0</formula>
    </cfRule>
  </conditionalFormatting>
  <conditionalFormatting sqref="I2044:I2067">
    <cfRule type="cellIs" dxfId="192" priority="4" operator="notEqual">
      <formula>0</formula>
    </cfRule>
  </conditionalFormatting>
  <conditionalFormatting sqref="I643:I666">
    <cfRule type="cellIs" dxfId="191" priority="3" operator="notEqual">
      <formula>0</formula>
    </cfRule>
  </conditionalFormatting>
  <conditionalFormatting sqref="I1899:I1922">
    <cfRule type="cellIs" dxfId="190" priority="2" operator="notEqual">
      <formula>0</formula>
    </cfRule>
  </conditionalFormatting>
  <conditionalFormatting sqref="AP1:AQ1">
    <cfRule type="expression" dxfId="189" priority="1">
      <formula>IF(ROW() = ROW(), TRUE, FALSE)</formula>
    </cfRule>
  </conditionalFormatting>
  <dataValidations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188" priority="7">
      <formula>RIGHT(D8,2)="  "</formula>
    </cfRule>
    <cfRule type="expression" dxfId="187" priority="8">
      <formula>RIGHT(D8,1)=" "</formula>
    </cfRule>
  </conditionalFormatting>
  <conditionalFormatting sqref="D9">
    <cfRule type="expression" dxfId="186" priority="5">
      <formula>RIGHT(D9,2)="  "</formula>
    </cfRule>
    <cfRule type="expression" dxfId="185" priority="6">
      <formula>RIGHT(D9,1)=" "</formula>
    </cfRule>
  </conditionalFormatting>
  <conditionalFormatting sqref="D10">
    <cfRule type="expression" dxfId="184" priority="3">
      <formula>RIGHT(D10,2)="  "</formula>
    </cfRule>
    <cfRule type="expression" dxfId="183" priority="4">
      <formula>RIGHT(D10,1)=" "</formula>
    </cfRule>
  </conditionalFormatting>
  <conditionalFormatting sqref="I25:I27">
    <cfRule type="expression" dxfId="182" priority="1">
      <formula>RIGHT(I25,2)="  "</formula>
    </cfRule>
    <cfRule type="expression" dxfId="181"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D512B-5521-46FD-B4BC-77D1505E7AB9}">
  <dimension ref="A1:AM24"/>
  <sheetViews>
    <sheetView workbookViewId="0">
      <selection activeCell="Q1" sqref="Q1:AM1048576"/>
    </sheetView>
  </sheetViews>
  <sheetFormatPr defaultColWidth="9.3046875" defaultRowHeight="14.6" x14ac:dyDescent="0.4"/>
  <cols>
    <col min="1" max="1" width="7.53515625" style="422" bestFit="1" customWidth="1"/>
    <col min="2" max="2" width="7.3046875" style="114" bestFit="1" customWidth="1"/>
    <col min="3" max="3" width="13.53515625" style="423" bestFit="1" customWidth="1"/>
    <col min="4" max="4" width="6.3046875" style="114" bestFit="1" customWidth="1"/>
    <col min="5" max="5" width="4.15234375" style="114" bestFit="1" customWidth="1"/>
    <col min="6" max="6" width="8.69140625" style="114" bestFit="1" customWidth="1"/>
    <col min="7" max="7" width="8.84375" style="114" bestFit="1" customWidth="1"/>
    <col min="8" max="8" width="9.69140625" style="114" bestFit="1" customWidth="1"/>
    <col min="9" max="9" width="18.69140625" style="114" customWidth="1"/>
    <col min="10" max="10" width="5.15234375" style="114" bestFit="1" customWidth="1"/>
    <col min="11" max="11" width="8.3046875" style="114" bestFit="1" customWidth="1"/>
    <col min="12" max="13" width="6.69140625" style="114" bestFit="1" customWidth="1"/>
    <col min="14" max="14" width="10.3046875" style="114" bestFit="1" customWidth="1"/>
    <col min="15" max="15" width="10.3046875" style="114" customWidth="1"/>
    <col min="16" max="16" width="12.3828125" style="114" customWidth="1"/>
    <col min="17" max="17" width="9.3046875" style="114" hidden="1" customWidth="1"/>
    <col min="18" max="18" width="17.15234375" style="286" hidden="1" customWidth="1"/>
    <col min="19" max="19" width="4.15234375" style="286" hidden="1" customWidth="1"/>
    <col min="20" max="20" width="5.152343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15234375" style="114" hidden="1" customWidth="1"/>
    <col min="27" max="28" width="63.3828125" style="114" hidden="1" customWidth="1"/>
    <col min="29" max="29" width="63.3828125" style="424" hidden="1" customWidth="1"/>
    <col min="30" max="39" width="9.3046875" style="114" hidden="1" customWidth="1"/>
    <col min="40" max="53" width="9.3046875" style="114" customWidth="1"/>
    <col min="54" max="16384" width="9.3046875" style="114"/>
  </cols>
  <sheetData>
    <row r="1" spans="1:30" s="299" customFormat="1" ht="29.15" x14ac:dyDescent="0.4">
      <c r="A1" s="416" t="s">
        <v>931</v>
      </c>
      <c r="B1" s="416" t="s">
        <v>932</v>
      </c>
      <c r="C1" s="417" t="s">
        <v>933</v>
      </c>
      <c r="D1" s="416" t="s">
        <v>934</v>
      </c>
      <c r="E1" s="416" t="s">
        <v>844</v>
      </c>
      <c r="F1" s="416" t="s">
        <v>935</v>
      </c>
      <c r="G1" s="416" t="s">
        <v>936</v>
      </c>
      <c r="H1" s="416" t="s">
        <v>937</v>
      </c>
      <c r="I1" s="418" t="s">
        <v>938</v>
      </c>
      <c r="J1" s="416" t="s">
        <v>939</v>
      </c>
      <c r="K1" s="416" t="s">
        <v>940</v>
      </c>
      <c r="L1" s="416" t="s">
        <v>941</v>
      </c>
      <c r="M1" s="416" t="s">
        <v>942</v>
      </c>
      <c r="N1" s="416" t="s">
        <v>943</v>
      </c>
      <c r="O1" s="418" t="s">
        <v>944</v>
      </c>
      <c r="P1" s="416" t="s">
        <v>930</v>
      </c>
      <c r="R1" s="419" t="s">
        <v>938</v>
      </c>
      <c r="S1" s="419" t="s">
        <v>844</v>
      </c>
      <c r="T1" s="420" t="str">
        <f>J1</f>
        <v>Form</v>
      </c>
      <c r="U1" s="420" t="str">
        <f>K1</f>
        <v>IP Rating</v>
      </c>
      <c r="V1" s="420" t="str">
        <f>L1</f>
        <v>Colour</v>
      </c>
      <c r="W1" s="420" t="s">
        <v>945</v>
      </c>
      <c r="X1" s="420" t="str">
        <f>N1</f>
        <v>Poles / Dim</v>
      </c>
      <c r="Y1" s="420" t="str">
        <f>O1</f>
        <v>Non-Auto/
MCCB</v>
      </c>
      <c r="AC1" s="421" t="s">
        <v>946</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180" priority="2" operator="equal">
      <formula>"INVALID"</formula>
    </cfRule>
    <cfRule type="cellIs" dxfId="179" priority="3" operator="equal">
      <formula>"VALID"</formula>
    </cfRule>
  </conditionalFormatting>
  <conditionalFormatting sqref="J2:O22 Q2:Q23">
    <cfRule type="cellIs" dxfId="178"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6226B90-F587-4653-A547-EF92C2E111AA}">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promptTitle="Poles or Dimensions" prompt="For MSSB/Distribution boards specify the number of poles_x000a_For enclosures specify the dimesions" xr:uid="{DD107E70-F8EC-4A6B-A45A-0BCC6DC16799}">
          <x14:formula1>
            <xm:f>_MSSB!$E$2:$E$11</xm:f>
          </x14:formula1>
          <xm:sqref>N2:N22</xm:sqref>
        </x14:dataValidation>
        <x14:dataValidation type="list" allowBlank="1" showInputMessage="1" showErrorMessage="1" promptTitle="IP Rating" xr:uid="{83DC48F9-8F26-4B1A-9911-83A4C179CBF4}">
          <x14:formula1>
            <xm:f>_MSSB!$B$2:$B$4</xm:f>
          </x14:formula1>
          <xm:sqref>K2:K22</xm:sqref>
        </x14:dataValidation>
        <x14:dataValidation type="list" allowBlank="1" showInputMessage="1" showErrorMessage="1" promptTitle="Non-Auto/MCCB" prompt="For enclosures: N/A_x000a_For standard mech elec: Non-Auto_x000a_MCCB: For motor control (QIE, not IAC)" xr:uid="{7B478D97-1D9C-43A5-BBFE-0F1E241D9685}">
          <x14:formula1>
            <xm:f>_MSSB!$F$2:$F$3</xm:f>
          </x14:formula1>
          <xm:sqref>O2:O22</xm:sqref>
        </x14:dataValidation>
        <x14:dataValidation type="list" allowBlank="1" showInputMessage="1" showErrorMessage="1" promptTitle="250/400" xr:uid="{D294A5BB-DC48-487B-9B7C-6D703195A156}">
          <x14:formula1>
            <xm:f>_MSSB!$D$2:$D$3</xm:f>
          </x14:formula1>
          <xm:sqref>M2:M22</xm:sqref>
        </x14:dataValidation>
        <x14:dataValidation type="list" allowBlank="1" showInputMessage="1" showErrorMessage="1" promptTitle="Colour" xr:uid="{0D995E05-BA1B-4628-A4FA-680D245E7F1B}">
          <x14:formula1>
            <xm:f>_MSSB!$C$2:$C$3</xm:f>
          </x14:formula1>
          <xm:sqref>L2:L22</xm:sqref>
        </x14:dataValidation>
        <x14:dataValidation type="list" allowBlank="1" showInputMessage="1" showErrorMessage="1" promptTitle="Form" prompt="{1,2,3}" xr:uid="{4A926123-058E-471D-9550-2DC08BECE333}">
          <x14:formula1>
            <xm:f>_MSSB!$A$2:$A$4</xm:f>
          </x14:formula1>
          <xm:sqref>J2:J22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674E-5B12-48BE-81FF-2CF54E2C50DD}">
  <dimension ref="A1:Q92"/>
  <sheetViews>
    <sheetView workbookViewId="0">
      <selection activeCell="D26" sqref="D26"/>
    </sheetView>
  </sheetViews>
  <sheetFormatPr defaultColWidth="9.3046875" defaultRowHeight="14.6" x14ac:dyDescent="0.4"/>
  <cols>
    <col min="1" max="10" width="9.3046875" style="114"/>
    <col min="11" max="11" width="9.3046875" style="415"/>
    <col min="12" max="12" width="9.3046875" style="114"/>
    <col min="13" max="13" width="30.3046875" style="114" customWidth="1"/>
    <col min="14" max="15" width="9.3046875" style="114"/>
    <col min="16" max="17" width="20.53515625" style="114" customWidth="1"/>
    <col min="18" max="16384" width="9.3046875" style="114"/>
  </cols>
  <sheetData>
    <row r="1" spans="1:17" ht="43.75" x14ac:dyDescent="0.4">
      <c r="A1" s="33" t="s">
        <v>939</v>
      </c>
      <c r="B1" s="33" t="s">
        <v>940</v>
      </c>
      <c r="C1" s="33" t="s">
        <v>941</v>
      </c>
      <c r="D1" s="33" t="s">
        <v>942</v>
      </c>
      <c r="E1" s="33" t="s">
        <v>953</v>
      </c>
      <c r="F1" s="418" t="s">
        <v>944</v>
      </c>
      <c r="G1" s="33" t="s">
        <v>954</v>
      </c>
      <c r="H1" s="114" t="str">
        <f>C1</f>
        <v>Colour</v>
      </c>
      <c r="I1" s="114" t="s">
        <v>955</v>
      </c>
      <c r="J1" s="33" t="s">
        <v>956</v>
      </c>
      <c r="K1" s="415" t="s">
        <v>957</v>
      </c>
      <c r="L1" s="33" t="s">
        <v>834</v>
      </c>
      <c r="P1" s="114" t="str">
        <f>J1</f>
        <v>IGOC</v>
      </c>
      <c r="Q1" s="114" t="str">
        <f>L1</f>
        <v>Dore</v>
      </c>
    </row>
    <row r="2" spans="1:17" x14ac:dyDescent="0.4">
      <c r="A2" s="114">
        <v>1</v>
      </c>
      <c r="B2" s="114" t="s">
        <v>958</v>
      </c>
      <c r="C2" s="114" t="s">
        <v>948</v>
      </c>
      <c r="D2" s="114">
        <v>250</v>
      </c>
      <c r="E2" s="114" t="s">
        <v>959</v>
      </c>
      <c r="F2" s="114" t="s">
        <v>952</v>
      </c>
      <c r="H2" s="114" t="s">
        <v>948</v>
      </c>
      <c r="I2" s="114" t="s">
        <v>959</v>
      </c>
      <c r="J2" s="327" t="str">
        <f>_xlfn.CONCAT("EN",IF(I2=$E$2,46,IF(I2=$E$3,66,IF(I2=$E$4,68,IF(I2=$E$5,88,810)))),IF(H2="Orange","-O","-G"))</f>
        <v>EN46-O</v>
      </c>
      <c r="K2" s="415" t="s">
        <v>960</v>
      </c>
      <c r="L2" s="114" t="s">
        <v>961</v>
      </c>
      <c r="P2" s="114" t="str">
        <f t="shared" ref="P2:P11" si="0">J2</f>
        <v>EN46-O</v>
      </c>
      <c r="Q2" s="114" t="str">
        <f t="shared" ref="Q2:Q11" si="1">L2</f>
        <v>MBO4620</v>
      </c>
    </row>
    <row r="3" spans="1:17" x14ac:dyDescent="0.4">
      <c r="A3" s="114">
        <v>2</v>
      </c>
      <c r="B3" s="114" t="s">
        <v>962</v>
      </c>
      <c r="C3" s="114" t="s">
        <v>951</v>
      </c>
      <c r="D3" s="114">
        <v>400</v>
      </c>
      <c r="E3" s="114" t="s">
        <v>963</v>
      </c>
      <c r="F3" s="114" t="s">
        <v>950</v>
      </c>
      <c r="H3" s="114" t="s">
        <v>948</v>
      </c>
      <c r="I3" s="114" t="s">
        <v>963</v>
      </c>
      <c r="J3" s="327" t="str">
        <f t="shared" ref="J3:J11" si="2">_xlfn.CONCAT("EN",IF(I3=$E$2,46,IF(I3=$E$3,66,IF(I3=$E$4,68,IF(I3=$E$5,88,810)))),IF(H3="Orange","-O","-G"))</f>
        <v>EN66-O</v>
      </c>
      <c r="K3" s="415" t="s">
        <v>960</v>
      </c>
      <c r="L3" s="114" t="s">
        <v>746</v>
      </c>
      <c r="P3" s="114" t="str">
        <f t="shared" si="0"/>
        <v>EN66-O</v>
      </c>
      <c r="Q3" s="114" t="str">
        <f t="shared" si="1"/>
        <v>MBO6620</v>
      </c>
    </row>
    <row r="4" spans="1:17" x14ac:dyDescent="0.4">
      <c r="A4" s="114">
        <v>3</v>
      </c>
      <c r="B4" s="114" t="s">
        <v>947</v>
      </c>
      <c r="E4" s="114" t="s">
        <v>949</v>
      </c>
      <c r="H4" s="114" t="s">
        <v>948</v>
      </c>
      <c r="I4" s="114" t="s">
        <v>949</v>
      </c>
      <c r="J4" s="327" t="str">
        <f t="shared" si="2"/>
        <v>EN68-O</v>
      </c>
      <c r="K4" s="415" t="s">
        <v>960</v>
      </c>
      <c r="L4" s="114" t="s">
        <v>964</v>
      </c>
      <c r="P4" s="114" t="str">
        <f t="shared" si="0"/>
        <v>EN68-O</v>
      </c>
      <c r="Q4" s="114" t="str">
        <f t="shared" si="1"/>
        <v>MBO6825</v>
      </c>
    </row>
    <row r="5" spans="1:17" x14ac:dyDescent="0.4">
      <c r="A5" s="114" t="s">
        <v>965</v>
      </c>
      <c r="E5" s="114" t="s">
        <v>966</v>
      </c>
      <c r="H5" s="114" t="s">
        <v>948</v>
      </c>
      <c r="I5" s="114" t="s">
        <v>966</v>
      </c>
      <c r="J5" s="327" t="str">
        <f t="shared" si="2"/>
        <v>EN88-O</v>
      </c>
      <c r="K5" s="415" t="s">
        <v>967</v>
      </c>
      <c r="L5" s="114" t="s">
        <v>968</v>
      </c>
      <c r="P5" s="114" t="str">
        <f t="shared" si="0"/>
        <v>EN88-O</v>
      </c>
      <c r="Q5" s="114" t="str">
        <f t="shared" si="1"/>
        <v>N/A</v>
      </c>
    </row>
    <row r="6" spans="1:17" x14ac:dyDescent="0.4">
      <c r="E6" s="114" t="s">
        <v>969</v>
      </c>
      <c r="H6" s="114" t="s">
        <v>948</v>
      </c>
      <c r="I6" s="114" t="s">
        <v>969</v>
      </c>
      <c r="J6" s="327" t="str">
        <f t="shared" si="2"/>
        <v>EN810-O</v>
      </c>
      <c r="K6" s="415" t="s">
        <v>960</v>
      </c>
      <c r="L6" s="114" t="s">
        <v>970</v>
      </c>
      <c r="P6" s="114" t="str">
        <f t="shared" si="0"/>
        <v>EN810-O</v>
      </c>
      <c r="Q6" s="114" t="str">
        <f t="shared" si="1"/>
        <v>MB81030</v>
      </c>
    </row>
    <row r="7" spans="1:17" x14ac:dyDescent="0.4">
      <c r="E7" s="114">
        <v>24</v>
      </c>
      <c r="H7" s="114" t="s">
        <v>951</v>
      </c>
      <c r="I7" s="114" t="s">
        <v>959</v>
      </c>
      <c r="J7" s="327" t="str">
        <f t="shared" si="2"/>
        <v>EN46-G</v>
      </c>
      <c r="K7" s="415" t="s">
        <v>960</v>
      </c>
      <c r="L7" s="114" t="s">
        <v>971</v>
      </c>
      <c r="P7" s="114" t="str">
        <f t="shared" si="0"/>
        <v>EN46-G</v>
      </c>
      <c r="Q7" s="114" t="str">
        <f t="shared" si="1"/>
        <v>MB4620</v>
      </c>
    </row>
    <row r="8" spans="1:17" x14ac:dyDescent="0.4">
      <c r="E8" s="114">
        <v>36</v>
      </c>
      <c r="H8" s="114" t="s">
        <v>951</v>
      </c>
      <c r="I8" s="114" t="s">
        <v>963</v>
      </c>
      <c r="J8" s="327" t="str">
        <f t="shared" si="2"/>
        <v>EN66-G</v>
      </c>
      <c r="K8" s="415" t="s">
        <v>960</v>
      </c>
      <c r="L8" s="114" t="s">
        <v>972</v>
      </c>
      <c r="P8" s="114" t="str">
        <f t="shared" si="0"/>
        <v>EN66-G</v>
      </c>
      <c r="Q8" s="114" t="str">
        <f t="shared" si="1"/>
        <v>MB6630</v>
      </c>
    </row>
    <row r="9" spans="1:17" x14ac:dyDescent="0.4">
      <c r="E9" s="114">
        <v>48</v>
      </c>
      <c r="H9" s="114" t="s">
        <v>951</v>
      </c>
      <c r="I9" s="114" t="s">
        <v>949</v>
      </c>
      <c r="J9" s="327" t="str">
        <f t="shared" si="2"/>
        <v>EN68-G</v>
      </c>
      <c r="K9" s="415" t="s">
        <v>960</v>
      </c>
      <c r="L9" s="114" t="s">
        <v>973</v>
      </c>
      <c r="P9" s="114" t="str">
        <f t="shared" si="0"/>
        <v>EN68-G</v>
      </c>
      <c r="Q9" s="114" t="str">
        <f t="shared" si="1"/>
        <v>MB6830</v>
      </c>
    </row>
    <row r="10" spans="1:17" x14ac:dyDescent="0.4">
      <c r="E10" s="114">
        <v>60</v>
      </c>
      <c r="H10" s="114" t="s">
        <v>951</v>
      </c>
      <c r="I10" s="114" t="s">
        <v>966</v>
      </c>
      <c r="J10" s="327" t="str">
        <f t="shared" si="2"/>
        <v>EN88-G</v>
      </c>
      <c r="K10" s="415" t="s">
        <v>960</v>
      </c>
      <c r="L10" s="114" t="s">
        <v>974</v>
      </c>
      <c r="P10" s="114" t="str">
        <f t="shared" si="0"/>
        <v>EN88-G</v>
      </c>
      <c r="Q10" s="114" t="str">
        <f t="shared" si="1"/>
        <v>MB8830</v>
      </c>
    </row>
    <row r="11" spans="1:17" x14ac:dyDescent="0.4">
      <c r="E11" s="114">
        <v>72</v>
      </c>
      <c r="H11" s="114" t="s">
        <v>951</v>
      </c>
      <c r="I11" s="114" t="s">
        <v>969</v>
      </c>
      <c r="J11" s="327" t="str">
        <f t="shared" si="2"/>
        <v>EN810-G</v>
      </c>
      <c r="K11" s="415" t="s">
        <v>960</v>
      </c>
      <c r="L11" s="114" t="s">
        <v>970</v>
      </c>
      <c r="P11" s="114" t="str">
        <f t="shared" si="0"/>
        <v>EN810-G</v>
      </c>
      <c r="Q11" s="114" t="str">
        <f t="shared" si="1"/>
        <v>MB81030</v>
      </c>
    </row>
    <row r="12" spans="1:17" x14ac:dyDescent="0.4">
      <c r="M12" s="33"/>
      <c r="N12" s="33"/>
    </row>
    <row r="13" spans="1:17" x14ac:dyDescent="0.4">
      <c r="A13" s="33" t="s">
        <v>975</v>
      </c>
      <c r="G13" s="114" t="s">
        <v>976</v>
      </c>
      <c r="H13" s="114" t="s">
        <v>948</v>
      </c>
      <c r="I13" s="114">
        <f>D2</f>
        <v>250</v>
      </c>
      <c r="J13" s="114">
        <v>24</v>
      </c>
      <c r="K13" s="415" t="str">
        <f>F2</f>
        <v>Non-Auto</v>
      </c>
      <c r="L13" s="114" t="s">
        <v>962</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965</v>
      </c>
      <c r="B14" s="114" t="s">
        <v>977</v>
      </c>
      <c r="H14" s="114" t="s">
        <v>948</v>
      </c>
      <c r="I14" s="114">
        <f>D2</f>
        <v>250</v>
      </c>
      <c r="J14" s="114">
        <v>24</v>
      </c>
      <c r="K14" s="415" t="str">
        <f>F3</f>
        <v>MCCB</v>
      </c>
      <c r="L14" s="114" t="s">
        <v>962</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978</v>
      </c>
      <c r="B15" s="114" t="s">
        <v>979</v>
      </c>
      <c r="H15" s="114" t="s">
        <v>948</v>
      </c>
      <c r="I15" s="114">
        <f>D2</f>
        <v>250</v>
      </c>
      <c r="J15" s="114">
        <v>36</v>
      </c>
      <c r="K15" s="415" t="s">
        <v>952</v>
      </c>
      <c r="L15" s="114" t="s">
        <v>962</v>
      </c>
      <c r="M15" s="114" t="str">
        <f t="shared" si="4"/>
        <v>DB36-2-42-O</v>
      </c>
      <c r="N15" s="114" t="str">
        <f t="shared" si="5"/>
        <v>EUR-MDB36OR</v>
      </c>
      <c r="P15" s="114" t="str">
        <f t="shared" si="3"/>
        <v>DB36-2-42-O</v>
      </c>
      <c r="Q15" s="114" t="str">
        <f t="shared" si="3"/>
        <v>EUR-MDB36OR</v>
      </c>
    </row>
    <row r="16" spans="1:17" x14ac:dyDescent="0.4">
      <c r="H16" s="114" t="s">
        <v>948</v>
      </c>
      <c r="I16" s="114">
        <f>D2</f>
        <v>250</v>
      </c>
      <c r="J16" s="114">
        <v>36</v>
      </c>
      <c r="K16" s="415" t="s">
        <v>950</v>
      </c>
      <c r="L16" s="114" t="s">
        <v>962</v>
      </c>
      <c r="M16" s="114" t="str">
        <f t="shared" si="4"/>
        <v>DB36-2-42-O-M</v>
      </c>
      <c r="N16" s="114" t="str">
        <f t="shared" si="5"/>
        <v>EUR-MDB36O2MC</v>
      </c>
      <c r="P16" s="114" t="str">
        <f t="shared" si="3"/>
        <v>DB36-2-42-O-M</v>
      </c>
      <c r="Q16" s="114" t="str">
        <f t="shared" si="3"/>
        <v>EUR-MDB36O2MC</v>
      </c>
    </row>
    <row r="17" spans="8:17" x14ac:dyDescent="0.4">
      <c r="H17" s="114" t="s">
        <v>948</v>
      </c>
      <c r="I17" s="114">
        <f>D2</f>
        <v>250</v>
      </c>
      <c r="J17" s="114">
        <f>E9</f>
        <v>48</v>
      </c>
      <c r="K17" s="415" t="str">
        <f>K15</f>
        <v>Non-Auto</v>
      </c>
      <c r="L17" s="114" t="s">
        <v>962</v>
      </c>
      <c r="M17" s="114" t="str">
        <f t="shared" si="4"/>
        <v>DB48-2-42-O</v>
      </c>
      <c r="N17" s="114" t="str">
        <f t="shared" si="5"/>
        <v>EUR-MDB48OR</v>
      </c>
      <c r="P17" s="114" t="str">
        <f t="shared" si="3"/>
        <v>DB48-2-42-O</v>
      </c>
      <c r="Q17" s="114" t="str">
        <f t="shared" si="3"/>
        <v>EUR-MDB48OR</v>
      </c>
    </row>
    <row r="18" spans="8:17" x14ac:dyDescent="0.4">
      <c r="H18" s="114" t="s">
        <v>948</v>
      </c>
      <c r="I18" s="114">
        <f>D2</f>
        <v>250</v>
      </c>
      <c r="J18" s="114">
        <f>E9</f>
        <v>48</v>
      </c>
      <c r="K18" s="415" t="str">
        <f>K16</f>
        <v>MCCB</v>
      </c>
      <c r="L18" s="114" t="s">
        <v>962</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948</v>
      </c>
      <c r="I23" s="114">
        <v>250</v>
      </c>
      <c r="J23" s="114">
        <v>24</v>
      </c>
      <c r="K23" s="415" t="s">
        <v>952</v>
      </c>
      <c r="L23" s="114" t="s">
        <v>947</v>
      </c>
      <c r="M23" s="114" t="str">
        <f t="shared" si="4"/>
        <v>DB24-2-56-O</v>
      </c>
      <c r="N23" s="114" t="str">
        <f t="shared" si="5"/>
        <v>EUR-MDB24OR/WP</v>
      </c>
      <c r="P23" s="114" t="str">
        <f t="shared" si="3"/>
        <v>DB24-2-56-O</v>
      </c>
      <c r="Q23" s="114" t="str">
        <f t="shared" si="3"/>
        <v>EUR-MDB24OR/WP</v>
      </c>
    </row>
    <row r="24" spans="8:17" x14ac:dyDescent="0.4">
      <c r="H24" s="114" t="s">
        <v>948</v>
      </c>
      <c r="I24" s="114">
        <v>250</v>
      </c>
      <c r="J24" s="114">
        <v>24</v>
      </c>
      <c r="K24" s="415" t="s">
        <v>950</v>
      </c>
      <c r="L24" s="114" t="s">
        <v>947</v>
      </c>
      <c r="M24" s="114" t="str">
        <f t="shared" si="4"/>
        <v>DB24-2-56-O-M</v>
      </c>
      <c r="N24" s="114" t="str">
        <f t="shared" si="5"/>
        <v>EUR-MDB24O2MCWP</v>
      </c>
      <c r="P24" s="114" t="str">
        <f t="shared" si="3"/>
        <v>DB24-2-56-O-M</v>
      </c>
      <c r="Q24" s="114" t="str">
        <f t="shared" si="3"/>
        <v>EUR-MDB24O2MCWP</v>
      </c>
    </row>
    <row r="25" spans="8:17" x14ac:dyDescent="0.4">
      <c r="H25" s="114" t="s">
        <v>948</v>
      </c>
      <c r="I25" s="114">
        <v>250</v>
      </c>
      <c r="J25" s="114">
        <v>36</v>
      </c>
      <c r="K25" s="415" t="s">
        <v>952</v>
      </c>
      <c r="L25" s="114" t="s">
        <v>947</v>
      </c>
      <c r="M25" s="114" t="str">
        <f t="shared" si="4"/>
        <v>DB36-2-56-O</v>
      </c>
      <c r="N25" s="114" t="str">
        <f t="shared" si="5"/>
        <v>EUR-MDB36OR/WP</v>
      </c>
      <c r="P25" s="114" t="str">
        <f t="shared" si="3"/>
        <v>DB36-2-56-O</v>
      </c>
      <c r="Q25" s="114" t="str">
        <f t="shared" si="3"/>
        <v>EUR-MDB36OR/WP</v>
      </c>
    </row>
    <row r="26" spans="8:17" x14ac:dyDescent="0.4">
      <c r="H26" s="114" t="s">
        <v>948</v>
      </c>
      <c r="I26" s="114">
        <v>250</v>
      </c>
      <c r="J26" s="114">
        <v>36</v>
      </c>
      <c r="K26" s="415" t="s">
        <v>950</v>
      </c>
      <c r="L26" s="114" t="s">
        <v>947</v>
      </c>
      <c r="M26" s="114" t="str">
        <f t="shared" si="4"/>
        <v>DB36-2-56-O-M</v>
      </c>
      <c r="N26" s="114" t="str">
        <f t="shared" si="5"/>
        <v>EUR-MDB36O2MCWP</v>
      </c>
      <c r="P26" s="114" t="str">
        <f t="shared" si="3"/>
        <v>DB36-2-56-O-M</v>
      </c>
      <c r="Q26" s="114" t="str">
        <f t="shared" si="3"/>
        <v>EUR-MDB36O2MCWP</v>
      </c>
    </row>
    <row r="27" spans="8:17" x14ac:dyDescent="0.4">
      <c r="H27" s="114" t="s">
        <v>948</v>
      </c>
      <c r="I27" s="114">
        <v>250</v>
      </c>
      <c r="J27" s="114">
        <v>48</v>
      </c>
      <c r="K27" s="415" t="s">
        <v>952</v>
      </c>
      <c r="L27" s="114" t="s">
        <v>947</v>
      </c>
      <c r="M27" s="114" t="str">
        <f t="shared" si="4"/>
        <v>DB48-2-56-O</v>
      </c>
      <c r="N27" s="114" t="str">
        <f t="shared" si="5"/>
        <v>EUR-MDB48OR/WP</v>
      </c>
      <c r="P27" s="114" t="str">
        <f t="shared" si="3"/>
        <v>DB48-2-56-O</v>
      </c>
      <c r="Q27" s="114" t="str">
        <f t="shared" si="3"/>
        <v>EUR-MDB48OR/WP</v>
      </c>
    </row>
    <row r="28" spans="8:17" x14ac:dyDescent="0.4">
      <c r="H28" s="114" t="s">
        <v>948</v>
      </c>
      <c r="I28" s="114">
        <v>250</v>
      </c>
      <c r="J28" s="114">
        <v>48</v>
      </c>
      <c r="K28" s="415" t="s">
        <v>950</v>
      </c>
      <c r="L28" s="114" t="s">
        <v>947</v>
      </c>
      <c r="M28" s="114" t="str">
        <f t="shared" si="4"/>
        <v>DB48-2-56-O-M</v>
      </c>
      <c r="N28" s="114" t="str">
        <f t="shared" si="5"/>
        <v>EUR-MDB48O2MCWP</v>
      </c>
      <c r="P28" s="114" t="str">
        <f t="shared" si="3"/>
        <v>DB48-2-56-O-M</v>
      </c>
      <c r="Q28" s="114" t="str">
        <f t="shared" si="3"/>
        <v>EUR-MDB48O2MCWP</v>
      </c>
    </row>
    <row r="29" spans="8:17" x14ac:dyDescent="0.4">
      <c r="H29" s="114" t="s">
        <v>948</v>
      </c>
      <c r="I29" s="114">
        <v>250</v>
      </c>
      <c r="J29" s="114">
        <v>60</v>
      </c>
      <c r="K29" s="415" t="s">
        <v>952</v>
      </c>
      <c r="L29" s="114" t="s">
        <v>947</v>
      </c>
      <c r="M29" s="114" t="str">
        <f t="shared" si="4"/>
        <v>DB60-2-56-O</v>
      </c>
      <c r="N29" s="114" t="str">
        <f t="shared" si="5"/>
        <v>EUR-MDB60OR/WP</v>
      </c>
      <c r="P29" s="114" t="str">
        <f t="shared" si="3"/>
        <v>DB60-2-56-O</v>
      </c>
      <c r="Q29" s="114" t="str">
        <f t="shared" si="3"/>
        <v>EUR-MDB60OR/WP</v>
      </c>
    </row>
    <row r="30" spans="8:17" x14ac:dyDescent="0.4">
      <c r="H30" s="114" t="s">
        <v>948</v>
      </c>
      <c r="I30" s="114">
        <v>250</v>
      </c>
      <c r="J30" s="114">
        <v>60</v>
      </c>
      <c r="K30" s="415" t="s">
        <v>950</v>
      </c>
      <c r="L30" s="114" t="s">
        <v>947</v>
      </c>
      <c r="M30" s="114" t="str">
        <f t="shared" si="4"/>
        <v>DB60-2-56-O-M</v>
      </c>
      <c r="N30" s="114" t="str">
        <f t="shared" si="5"/>
        <v>EUR-MDB60O2MCWP</v>
      </c>
      <c r="P30" s="114" t="str">
        <f t="shared" si="3"/>
        <v>DB60-2-56-O-M</v>
      </c>
      <c r="Q30" s="114" t="str">
        <f t="shared" si="3"/>
        <v>EUR-MDB60O2MCWP</v>
      </c>
    </row>
    <row r="31" spans="8:17" x14ac:dyDescent="0.4">
      <c r="H31" s="114" t="s">
        <v>948</v>
      </c>
      <c r="I31" s="114">
        <v>250</v>
      </c>
      <c r="J31" s="114">
        <v>72</v>
      </c>
      <c r="K31" s="415" t="s">
        <v>952</v>
      </c>
      <c r="L31" s="114" t="s">
        <v>947</v>
      </c>
      <c r="M31" s="114" t="str">
        <f t="shared" si="4"/>
        <v>DB72-2-56-O</v>
      </c>
      <c r="N31" s="114" t="str">
        <f t="shared" si="5"/>
        <v>EUR-MDB72OR/WP</v>
      </c>
      <c r="P31" s="114" t="str">
        <f t="shared" si="3"/>
        <v>DB72-2-56-O</v>
      </c>
      <c r="Q31" s="114" t="str">
        <f t="shared" si="3"/>
        <v>EUR-MDB72OR/WP</v>
      </c>
    </row>
    <row r="32" spans="8:17" x14ac:dyDescent="0.4">
      <c r="H32" s="114" t="s">
        <v>948</v>
      </c>
      <c r="I32" s="114">
        <v>250</v>
      </c>
      <c r="J32" s="114">
        <v>72</v>
      </c>
      <c r="K32" s="415" t="s">
        <v>950</v>
      </c>
      <c r="L32" s="114" t="s">
        <v>947</v>
      </c>
      <c r="M32" s="114" t="str">
        <f t="shared" si="4"/>
        <v>DB72-2-56-O-M</v>
      </c>
      <c r="N32" s="114" t="str">
        <f t="shared" si="5"/>
        <v>EUR-MDB72O2MCWP</v>
      </c>
      <c r="P32" s="114" t="str">
        <f t="shared" si="3"/>
        <v>DB72-2-56-O-M</v>
      </c>
      <c r="Q32" s="114" t="str">
        <f t="shared" si="3"/>
        <v>EUR-MDB72O2MCWP</v>
      </c>
    </row>
    <row r="33" spans="8:17" x14ac:dyDescent="0.4">
      <c r="H33" s="114" t="s">
        <v>948</v>
      </c>
      <c r="I33" s="114">
        <v>400</v>
      </c>
      <c r="J33" s="114">
        <v>24</v>
      </c>
      <c r="K33" s="415" t="s">
        <v>952</v>
      </c>
      <c r="L33" s="114" t="s">
        <v>962</v>
      </c>
      <c r="M33" s="114" t="str">
        <f t="shared" si="4"/>
        <v>DB24-4-42-O</v>
      </c>
      <c r="N33" s="114" t="str">
        <f t="shared" si="5"/>
        <v>EUR-MDB24O4NA</v>
      </c>
      <c r="P33" s="114" t="str">
        <f t="shared" si="3"/>
        <v>DB24-4-42-O</v>
      </c>
      <c r="Q33" s="114" t="str">
        <f t="shared" si="3"/>
        <v>EUR-MDB24O4NA</v>
      </c>
    </row>
    <row r="34" spans="8:17" x14ac:dyDescent="0.4">
      <c r="H34" s="114" t="s">
        <v>948</v>
      </c>
      <c r="I34" s="114">
        <v>400</v>
      </c>
      <c r="J34" s="114">
        <v>24</v>
      </c>
      <c r="K34" s="415" t="s">
        <v>950</v>
      </c>
      <c r="L34" s="114" t="s">
        <v>962</v>
      </c>
      <c r="M34" s="114" t="str">
        <f t="shared" si="4"/>
        <v>DB24-4-42-O-M</v>
      </c>
      <c r="N34" s="114" t="str">
        <f t="shared" si="5"/>
        <v>EUR-MDB24O4MC</v>
      </c>
      <c r="P34" s="114" t="str">
        <f t="shared" si="3"/>
        <v>DB24-4-42-O-M</v>
      </c>
      <c r="Q34" s="114" t="str">
        <f t="shared" si="3"/>
        <v>EUR-MDB24O4MC</v>
      </c>
    </row>
    <row r="35" spans="8:17" x14ac:dyDescent="0.4">
      <c r="H35" s="114" t="s">
        <v>948</v>
      </c>
      <c r="I35" s="114">
        <v>400</v>
      </c>
      <c r="J35" s="114">
        <v>36</v>
      </c>
      <c r="K35" s="415" t="s">
        <v>952</v>
      </c>
      <c r="L35" s="114" t="s">
        <v>962</v>
      </c>
      <c r="M35" s="114" t="str">
        <f t="shared" si="4"/>
        <v>DB36-4-42-O</v>
      </c>
      <c r="N35" s="114" t="str">
        <f t="shared" si="5"/>
        <v>EUR-MDB36O4NA</v>
      </c>
      <c r="P35" s="114" t="str">
        <f t="shared" si="3"/>
        <v>DB36-4-42-O</v>
      </c>
      <c r="Q35" s="114" t="str">
        <f t="shared" si="3"/>
        <v>EUR-MDB36O4NA</v>
      </c>
    </row>
    <row r="36" spans="8:17" x14ac:dyDescent="0.4">
      <c r="H36" s="114" t="s">
        <v>948</v>
      </c>
      <c r="I36" s="114">
        <v>400</v>
      </c>
      <c r="J36" s="114">
        <v>36</v>
      </c>
      <c r="K36" s="415" t="s">
        <v>950</v>
      </c>
      <c r="L36" s="114" t="s">
        <v>962</v>
      </c>
      <c r="M36" s="114" t="str">
        <f t="shared" si="4"/>
        <v>DB36-4-42-O-M</v>
      </c>
      <c r="N36" s="114" t="str">
        <f t="shared" si="5"/>
        <v>EUR-MDB36O4MC</v>
      </c>
      <c r="P36" s="114" t="str">
        <f t="shared" si="3"/>
        <v>DB36-4-42-O-M</v>
      </c>
      <c r="Q36" s="114" t="str">
        <f t="shared" si="3"/>
        <v>EUR-MDB36O4MC</v>
      </c>
    </row>
    <row r="37" spans="8:17" x14ac:dyDescent="0.4">
      <c r="H37" s="114" t="s">
        <v>948</v>
      </c>
      <c r="I37" s="114">
        <v>400</v>
      </c>
      <c r="J37" s="114">
        <v>48</v>
      </c>
      <c r="K37" s="415" t="s">
        <v>952</v>
      </c>
      <c r="L37" s="114" t="s">
        <v>962</v>
      </c>
      <c r="M37" s="114" t="str">
        <f t="shared" si="4"/>
        <v>DB48-4-42-O</v>
      </c>
      <c r="N37" s="114" t="str">
        <f t="shared" si="5"/>
        <v>EUR-MDB48O4NA</v>
      </c>
      <c r="P37" s="114" t="str">
        <f t="shared" si="3"/>
        <v>DB48-4-42-O</v>
      </c>
      <c r="Q37" s="114" t="str">
        <f t="shared" si="3"/>
        <v>EUR-MDB48O4NA</v>
      </c>
    </row>
    <row r="38" spans="8:17" x14ac:dyDescent="0.4">
      <c r="H38" s="114" t="s">
        <v>948</v>
      </c>
      <c r="I38" s="114">
        <v>400</v>
      </c>
      <c r="J38" s="114">
        <v>48</v>
      </c>
      <c r="K38" s="415" t="s">
        <v>950</v>
      </c>
      <c r="L38" s="114" t="s">
        <v>962</v>
      </c>
      <c r="M38" s="114" t="str">
        <f t="shared" si="4"/>
        <v>DB48-4-42-O-M</v>
      </c>
      <c r="N38" s="114" t="str">
        <f t="shared" si="5"/>
        <v>EUR-MDB48O4MC</v>
      </c>
      <c r="P38" s="114" t="str">
        <f t="shared" si="3"/>
        <v>DB48-4-42-O-M</v>
      </c>
      <c r="Q38" s="114" t="str">
        <f t="shared" si="3"/>
        <v>EUR-MDB48O4MC</v>
      </c>
    </row>
    <row r="39" spans="8:17" x14ac:dyDescent="0.4">
      <c r="H39" s="114" t="s">
        <v>948</v>
      </c>
      <c r="I39" s="114">
        <v>400</v>
      </c>
      <c r="J39" s="114">
        <v>60</v>
      </c>
      <c r="K39" s="415" t="s">
        <v>952</v>
      </c>
      <c r="L39" s="114" t="s">
        <v>962</v>
      </c>
      <c r="M39" s="114" t="str">
        <f t="shared" si="4"/>
        <v>DB60-4-42-O</v>
      </c>
      <c r="N39" s="114" t="str">
        <f t="shared" si="5"/>
        <v>EUR-MDB60O4NA</v>
      </c>
      <c r="P39" s="114" t="str">
        <f t="shared" si="3"/>
        <v>DB60-4-42-O</v>
      </c>
      <c r="Q39" s="114" t="str">
        <f t="shared" si="3"/>
        <v>EUR-MDB60O4NA</v>
      </c>
    </row>
    <row r="40" spans="8:17" x14ac:dyDescent="0.4">
      <c r="H40" s="114" t="s">
        <v>948</v>
      </c>
      <c r="I40" s="114">
        <v>400</v>
      </c>
      <c r="J40" s="114">
        <v>60</v>
      </c>
      <c r="K40" s="415" t="s">
        <v>950</v>
      </c>
      <c r="L40" s="114" t="s">
        <v>962</v>
      </c>
      <c r="M40" s="114" t="str">
        <f t="shared" si="4"/>
        <v>DB60-4-42-O-M</v>
      </c>
      <c r="N40" s="114" t="str">
        <f t="shared" si="5"/>
        <v>EUR-MDB60O4MC</v>
      </c>
      <c r="P40" s="114" t="str">
        <f t="shared" si="3"/>
        <v>DB60-4-42-O-M</v>
      </c>
      <c r="Q40" s="114" t="str">
        <f t="shared" si="3"/>
        <v>EUR-MDB60O4MC</v>
      </c>
    </row>
    <row r="41" spans="8:17" x14ac:dyDescent="0.4">
      <c r="H41" s="114" t="s">
        <v>948</v>
      </c>
      <c r="I41" s="114">
        <v>400</v>
      </c>
      <c r="J41" s="114">
        <v>72</v>
      </c>
      <c r="K41" s="415" t="s">
        <v>952</v>
      </c>
      <c r="L41" s="114" t="s">
        <v>962</v>
      </c>
      <c r="M41" s="114" t="str">
        <f t="shared" si="4"/>
        <v>DB72-4-42-O</v>
      </c>
      <c r="N41" s="114" t="str">
        <f t="shared" si="5"/>
        <v>EUR-MDB72O4NA</v>
      </c>
      <c r="P41" s="114" t="str">
        <f t="shared" si="3"/>
        <v>DB72-4-42-O</v>
      </c>
      <c r="Q41" s="114" t="str">
        <f t="shared" si="3"/>
        <v>EUR-MDB72O4NA</v>
      </c>
    </row>
    <row r="42" spans="8:17" x14ac:dyDescent="0.4">
      <c r="H42" s="114" t="s">
        <v>948</v>
      </c>
      <c r="I42" s="114">
        <v>400</v>
      </c>
      <c r="J42" s="114">
        <v>72</v>
      </c>
      <c r="K42" s="415" t="s">
        <v>950</v>
      </c>
      <c r="L42" s="114" t="s">
        <v>962</v>
      </c>
      <c r="M42" s="114" t="str">
        <f t="shared" si="4"/>
        <v>DB72-4-42-O-M</v>
      </c>
      <c r="N42" s="114" t="str">
        <f t="shared" si="5"/>
        <v>EUR-MDB72O4MC</v>
      </c>
      <c r="P42" s="114" t="str">
        <f t="shared" si="3"/>
        <v>DB72-4-42-O-M</v>
      </c>
      <c r="Q42" s="114" t="str">
        <f t="shared" si="3"/>
        <v>EUR-MDB72O4MC</v>
      </c>
    </row>
    <row r="43" spans="8:17" x14ac:dyDescent="0.4">
      <c r="H43" s="114" t="s">
        <v>948</v>
      </c>
      <c r="I43" s="114">
        <v>400</v>
      </c>
      <c r="J43" s="114">
        <v>24</v>
      </c>
      <c r="K43" s="415" t="s">
        <v>952</v>
      </c>
      <c r="L43" s="114" t="s">
        <v>947</v>
      </c>
      <c r="M43" s="114" t="str">
        <f t="shared" si="4"/>
        <v>DB24-4-56-O</v>
      </c>
      <c r="N43" s="114" t="str">
        <f t="shared" si="5"/>
        <v>EUR-MDB24O4NAWP</v>
      </c>
      <c r="P43" s="114" t="str">
        <f t="shared" si="3"/>
        <v>DB24-4-56-O</v>
      </c>
      <c r="Q43" s="114" t="str">
        <f t="shared" si="3"/>
        <v>EUR-MDB24O4NAWP</v>
      </c>
    </row>
    <row r="44" spans="8:17" x14ac:dyDescent="0.4">
      <c r="H44" s="114" t="s">
        <v>948</v>
      </c>
      <c r="I44" s="114">
        <v>400</v>
      </c>
      <c r="J44" s="114">
        <v>24</v>
      </c>
      <c r="K44" s="415" t="s">
        <v>950</v>
      </c>
      <c r="L44" s="114" t="s">
        <v>947</v>
      </c>
      <c r="M44" s="114" t="str">
        <f t="shared" si="4"/>
        <v>DB24-4-56-O-M</v>
      </c>
      <c r="N44" s="114" t="str">
        <f t="shared" si="5"/>
        <v>EUR-MDB24O4MCWP</v>
      </c>
      <c r="P44" s="114" t="str">
        <f t="shared" si="3"/>
        <v>DB24-4-56-O-M</v>
      </c>
      <c r="Q44" s="114" t="str">
        <f t="shared" si="3"/>
        <v>EUR-MDB24O4MCWP</v>
      </c>
    </row>
    <row r="45" spans="8:17" x14ac:dyDescent="0.4">
      <c r="H45" s="114" t="s">
        <v>948</v>
      </c>
      <c r="I45" s="114">
        <v>400</v>
      </c>
      <c r="J45" s="114">
        <v>36</v>
      </c>
      <c r="K45" s="415" t="s">
        <v>952</v>
      </c>
      <c r="L45" s="114" t="s">
        <v>947</v>
      </c>
      <c r="M45" s="114" t="str">
        <f t="shared" si="4"/>
        <v>DB36-4-56-O</v>
      </c>
      <c r="N45" s="114" t="str">
        <f t="shared" si="5"/>
        <v>EUR-MDB36O4NAWP</v>
      </c>
      <c r="P45" s="114" t="str">
        <f t="shared" si="3"/>
        <v>DB36-4-56-O</v>
      </c>
      <c r="Q45" s="114" t="str">
        <f t="shared" si="3"/>
        <v>EUR-MDB36O4NAWP</v>
      </c>
    </row>
    <row r="46" spans="8:17" x14ac:dyDescent="0.4">
      <c r="H46" s="114" t="s">
        <v>948</v>
      </c>
      <c r="I46" s="114">
        <v>400</v>
      </c>
      <c r="J46" s="114">
        <v>36</v>
      </c>
      <c r="K46" s="415" t="s">
        <v>950</v>
      </c>
      <c r="L46" s="114" t="s">
        <v>947</v>
      </c>
      <c r="M46" s="114" t="str">
        <f t="shared" si="4"/>
        <v>DB36-4-56-O-M</v>
      </c>
      <c r="N46" s="114" t="str">
        <f t="shared" si="5"/>
        <v>EUR-MDB36O4MCWP</v>
      </c>
      <c r="P46" s="114" t="str">
        <f t="shared" si="3"/>
        <v>DB36-4-56-O-M</v>
      </c>
      <c r="Q46" s="114" t="str">
        <f t="shared" si="3"/>
        <v>EUR-MDB36O4MCWP</v>
      </c>
    </row>
    <row r="47" spans="8:17" x14ac:dyDescent="0.4">
      <c r="H47" s="114" t="s">
        <v>948</v>
      </c>
      <c r="I47" s="114">
        <v>400</v>
      </c>
      <c r="J47" s="114">
        <v>48</v>
      </c>
      <c r="K47" s="415" t="s">
        <v>952</v>
      </c>
      <c r="L47" s="114" t="s">
        <v>947</v>
      </c>
      <c r="M47" s="114" t="str">
        <f t="shared" si="4"/>
        <v>DB48-4-56-O</v>
      </c>
      <c r="N47" s="114" t="str">
        <f t="shared" si="5"/>
        <v>EUR-MDB48O4NAWP</v>
      </c>
      <c r="P47" s="114" t="str">
        <f t="shared" si="3"/>
        <v>DB48-4-56-O</v>
      </c>
      <c r="Q47" s="114" t="str">
        <f t="shared" si="3"/>
        <v>EUR-MDB48O4NAWP</v>
      </c>
    </row>
    <row r="48" spans="8:17" x14ac:dyDescent="0.4">
      <c r="H48" s="114" t="s">
        <v>948</v>
      </c>
      <c r="I48" s="114">
        <v>400</v>
      </c>
      <c r="J48" s="114">
        <v>48</v>
      </c>
      <c r="K48" s="415" t="s">
        <v>950</v>
      </c>
      <c r="L48" s="114" t="s">
        <v>947</v>
      </c>
      <c r="M48" s="114" t="str">
        <f t="shared" si="4"/>
        <v>DB48-4-56-O-M</v>
      </c>
      <c r="N48" s="114" t="str">
        <f t="shared" si="5"/>
        <v>EUR-MDB48O4MCWP</v>
      </c>
      <c r="P48" s="114" t="str">
        <f t="shared" si="3"/>
        <v>DB48-4-56-O-M</v>
      </c>
      <c r="Q48" s="114" t="str">
        <f t="shared" si="3"/>
        <v>EUR-MDB48O4MCWP</v>
      </c>
    </row>
    <row r="49" spans="8:17" x14ac:dyDescent="0.4">
      <c r="H49" s="114" t="s">
        <v>948</v>
      </c>
      <c r="I49" s="114">
        <v>400</v>
      </c>
      <c r="J49" s="114">
        <v>60</v>
      </c>
      <c r="K49" s="415" t="s">
        <v>952</v>
      </c>
      <c r="L49" s="114" t="s">
        <v>947</v>
      </c>
      <c r="M49" s="114" t="str">
        <f t="shared" si="4"/>
        <v>DB60-4-56-O</v>
      </c>
      <c r="N49" s="114" t="str">
        <f t="shared" si="5"/>
        <v>EUR-MDB60O4NAWP</v>
      </c>
      <c r="P49" s="114" t="str">
        <f t="shared" si="3"/>
        <v>DB60-4-56-O</v>
      </c>
      <c r="Q49" s="114" t="str">
        <f t="shared" si="3"/>
        <v>EUR-MDB60O4NAWP</v>
      </c>
    </row>
    <row r="50" spans="8:17" x14ac:dyDescent="0.4">
      <c r="H50" s="114" t="s">
        <v>948</v>
      </c>
      <c r="I50" s="114">
        <v>400</v>
      </c>
      <c r="J50" s="114">
        <v>60</v>
      </c>
      <c r="K50" s="415" t="s">
        <v>950</v>
      </c>
      <c r="L50" s="114" t="s">
        <v>947</v>
      </c>
      <c r="M50" s="114" t="str">
        <f t="shared" si="4"/>
        <v>DB60-4-56-O-M</v>
      </c>
      <c r="N50" s="114" t="str">
        <f t="shared" si="5"/>
        <v>EUR-MDB60O4MCWP</v>
      </c>
      <c r="P50" s="114" t="str">
        <f t="shared" si="3"/>
        <v>DB60-4-56-O-M</v>
      </c>
      <c r="Q50" s="114" t="str">
        <f t="shared" si="3"/>
        <v>EUR-MDB60O4MCWP</v>
      </c>
    </row>
    <row r="51" spans="8:17" x14ac:dyDescent="0.4">
      <c r="H51" s="114" t="s">
        <v>948</v>
      </c>
      <c r="I51" s="114">
        <v>400</v>
      </c>
      <c r="J51" s="114">
        <v>72</v>
      </c>
      <c r="K51" s="415" t="s">
        <v>952</v>
      </c>
      <c r="L51" s="114" t="s">
        <v>947</v>
      </c>
      <c r="M51" s="114" t="str">
        <f t="shared" si="4"/>
        <v>DB72-4-56-O</v>
      </c>
      <c r="N51" s="114" t="str">
        <f t="shared" si="5"/>
        <v>EUR-MDB72O4NAWP</v>
      </c>
      <c r="P51" s="114" t="str">
        <f t="shared" si="3"/>
        <v>DB72-4-56-O</v>
      </c>
      <c r="Q51" s="114" t="str">
        <f t="shared" si="3"/>
        <v>EUR-MDB72O4NAWP</v>
      </c>
    </row>
    <row r="52" spans="8:17" x14ac:dyDescent="0.4">
      <c r="H52" s="114" t="s">
        <v>948</v>
      </c>
      <c r="I52" s="114">
        <v>400</v>
      </c>
      <c r="J52" s="114">
        <v>72</v>
      </c>
      <c r="K52" s="415" t="s">
        <v>950</v>
      </c>
      <c r="L52" s="114" t="s">
        <v>947</v>
      </c>
      <c r="M52" s="114" t="str">
        <f t="shared" si="4"/>
        <v>DB72-4-56-O-M</v>
      </c>
      <c r="N52" s="114" t="str">
        <f t="shared" si="5"/>
        <v>EUR-MDB72O4MCWP</v>
      </c>
      <c r="P52" s="114" t="str">
        <f t="shared" si="3"/>
        <v>DB72-4-56-O-M</v>
      </c>
      <c r="Q52" s="114" t="str">
        <f t="shared" si="3"/>
        <v>EUR-MDB72O4MCWP</v>
      </c>
    </row>
    <row r="53" spans="8:17" x14ac:dyDescent="0.4">
      <c r="H53" s="114" t="s">
        <v>951</v>
      </c>
      <c r="I53" s="114">
        <v>250</v>
      </c>
      <c r="J53" s="114">
        <v>24</v>
      </c>
      <c r="K53" s="415" t="s">
        <v>952</v>
      </c>
      <c r="L53" s="114" t="s">
        <v>962</v>
      </c>
      <c r="M53" s="114" t="str">
        <f t="shared" si="4"/>
        <v>DB24-2-42-G</v>
      </c>
      <c r="N53" s="114" t="str">
        <f t="shared" si="5"/>
        <v>EUR-MDB24G</v>
      </c>
      <c r="P53" s="114" t="str">
        <f t="shared" si="3"/>
        <v>DB24-2-42-G</v>
      </c>
      <c r="Q53" s="114" t="str">
        <f t="shared" si="3"/>
        <v>EUR-MDB24G</v>
      </c>
    </row>
    <row r="54" spans="8:17" x14ac:dyDescent="0.4">
      <c r="H54" s="114" t="s">
        <v>951</v>
      </c>
      <c r="I54" s="114">
        <v>250</v>
      </c>
      <c r="J54" s="114">
        <v>24</v>
      </c>
      <c r="K54" s="415" t="s">
        <v>950</v>
      </c>
      <c r="L54" s="114" t="s">
        <v>962</v>
      </c>
      <c r="M54" s="114" t="str">
        <f t="shared" si="4"/>
        <v>DB24-2-42-G-M</v>
      </c>
      <c r="N54" s="114" t="str">
        <f t="shared" si="5"/>
        <v>EUR-MDB24G2MC</v>
      </c>
      <c r="P54" s="114" t="str">
        <f t="shared" si="3"/>
        <v>DB24-2-42-G-M</v>
      </c>
      <c r="Q54" s="114" t="str">
        <f t="shared" si="3"/>
        <v>EUR-MDB24G2MC</v>
      </c>
    </row>
    <row r="55" spans="8:17" x14ac:dyDescent="0.4">
      <c r="H55" s="114" t="s">
        <v>951</v>
      </c>
      <c r="I55" s="114">
        <v>250</v>
      </c>
      <c r="J55" s="114">
        <v>36</v>
      </c>
      <c r="K55" s="415" t="s">
        <v>952</v>
      </c>
      <c r="L55" s="114" t="s">
        <v>962</v>
      </c>
      <c r="M55" s="114" t="str">
        <f t="shared" si="4"/>
        <v>DB36-2-42-G</v>
      </c>
      <c r="N55" s="114" t="str">
        <f t="shared" si="5"/>
        <v>EUR-MDB36G</v>
      </c>
      <c r="P55" s="114" t="str">
        <f t="shared" si="3"/>
        <v>DB36-2-42-G</v>
      </c>
      <c r="Q55" s="114" t="str">
        <f t="shared" si="3"/>
        <v>EUR-MDB36G</v>
      </c>
    </row>
    <row r="56" spans="8:17" x14ac:dyDescent="0.4">
      <c r="H56" s="114" t="s">
        <v>951</v>
      </c>
      <c r="I56" s="114">
        <v>250</v>
      </c>
      <c r="J56" s="114">
        <v>36</v>
      </c>
      <c r="K56" s="415" t="s">
        <v>950</v>
      </c>
      <c r="L56" s="114" t="s">
        <v>962</v>
      </c>
      <c r="M56" s="114" t="str">
        <f t="shared" si="4"/>
        <v>DB36-2-42-G-M</v>
      </c>
      <c r="N56" s="114" t="str">
        <f t="shared" si="5"/>
        <v>EUR-MDB36G2MC</v>
      </c>
      <c r="P56" s="114" t="str">
        <f t="shared" si="3"/>
        <v>DB36-2-42-G-M</v>
      </c>
      <c r="Q56" s="114" t="str">
        <f t="shared" si="3"/>
        <v>EUR-MDB36G2MC</v>
      </c>
    </row>
    <row r="57" spans="8:17" x14ac:dyDescent="0.4">
      <c r="H57" s="114" t="s">
        <v>951</v>
      </c>
      <c r="I57" s="114">
        <v>250</v>
      </c>
      <c r="J57" s="114">
        <v>48</v>
      </c>
      <c r="K57" s="415" t="s">
        <v>952</v>
      </c>
      <c r="L57" s="114" t="s">
        <v>962</v>
      </c>
      <c r="M57" s="114" t="str">
        <f t="shared" si="4"/>
        <v>DB48-2-42-G</v>
      </c>
      <c r="N57" s="114" t="str">
        <f t="shared" si="5"/>
        <v>EUR-MDB48G</v>
      </c>
      <c r="P57" s="114" t="str">
        <f t="shared" si="3"/>
        <v>DB48-2-42-G</v>
      </c>
      <c r="Q57" s="114" t="str">
        <f t="shared" si="3"/>
        <v>EUR-MDB48G</v>
      </c>
    </row>
    <row r="58" spans="8:17" x14ac:dyDescent="0.4">
      <c r="H58" s="114" t="s">
        <v>951</v>
      </c>
      <c r="I58" s="114">
        <v>250</v>
      </c>
      <c r="J58" s="114">
        <v>48</v>
      </c>
      <c r="K58" s="415" t="s">
        <v>950</v>
      </c>
      <c r="L58" s="114" t="s">
        <v>962</v>
      </c>
      <c r="M58" s="114" t="str">
        <f t="shared" si="4"/>
        <v>DB48-2-42-G-M</v>
      </c>
      <c r="N58" s="114" t="str">
        <f t="shared" si="5"/>
        <v>EUR-MDB48G2MC</v>
      </c>
      <c r="P58" s="114" t="str">
        <f t="shared" si="3"/>
        <v>DB48-2-42-G-M</v>
      </c>
      <c r="Q58" s="114" t="str">
        <f t="shared" si="3"/>
        <v>EUR-MDB48G2MC</v>
      </c>
    </row>
    <row r="59" spans="8:17" x14ac:dyDescent="0.4">
      <c r="H59" s="114" t="s">
        <v>951</v>
      </c>
      <c r="I59" s="114">
        <v>250</v>
      </c>
      <c r="J59" s="114">
        <v>60</v>
      </c>
      <c r="K59" s="415" t="s">
        <v>952</v>
      </c>
      <c r="L59" s="114" t="s">
        <v>962</v>
      </c>
      <c r="M59" s="114" t="str">
        <f t="shared" si="4"/>
        <v>DB60-2-42-G</v>
      </c>
      <c r="N59" s="114" t="str">
        <f t="shared" si="5"/>
        <v>EUR-MDB60G</v>
      </c>
      <c r="P59" s="114" t="str">
        <f t="shared" si="3"/>
        <v>DB60-2-42-G</v>
      </c>
      <c r="Q59" s="114" t="str">
        <f t="shared" si="3"/>
        <v>EUR-MDB60G</v>
      </c>
    </row>
    <row r="60" spans="8:17" x14ac:dyDescent="0.4">
      <c r="H60" s="114" t="s">
        <v>951</v>
      </c>
      <c r="I60" s="114">
        <v>250</v>
      </c>
      <c r="J60" s="114">
        <v>60</v>
      </c>
      <c r="K60" s="415" t="s">
        <v>950</v>
      </c>
      <c r="L60" s="114" t="s">
        <v>962</v>
      </c>
      <c r="M60" s="114" t="str">
        <f t="shared" si="4"/>
        <v>DB60-2-42-G-M</v>
      </c>
      <c r="N60" s="114" t="str">
        <f t="shared" si="5"/>
        <v>EUR-MDB60G2MC</v>
      </c>
      <c r="P60" s="114" t="str">
        <f t="shared" si="3"/>
        <v>DB60-2-42-G-M</v>
      </c>
      <c r="Q60" s="114" t="str">
        <f t="shared" si="3"/>
        <v>EUR-MDB60G2MC</v>
      </c>
    </row>
    <row r="61" spans="8:17" x14ac:dyDescent="0.4">
      <c r="H61" s="114" t="s">
        <v>951</v>
      </c>
      <c r="I61" s="114">
        <v>250</v>
      </c>
      <c r="J61" s="114">
        <v>72</v>
      </c>
      <c r="K61" s="415" t="s">
        <v>952</v>
      </c>
      <c r="L61" s="114" t="s">
        <v>962</v>
      </c>
      <c r="M61" s="114" t="str">
        <f t="shared" si="4"/>
        <v>DB72-2-42-G</v>
      </c>
      <c r="N61" s="114" t="str">
        <f t="shared" si="5"/>
        <v>EUR-MDB72G</v>
      </c>
      <c r="P61" s="114" t="str">
        <f t="shared" si="3"/>
        <v>DB72-2-42-G</v>
      </c>
      <c r="Q61" s="114" t="str">
        <f t="shared" si="3"/>
        <v>EUR-MDB72G</v>
      </c>
    </row>
    <row r="62" spans="8:17" x14ac:dyDescent="0.4">
      <c r="H62" s="114" t="s">
        <v>951</v>
      </c>
      <c r="I62" s="114">
        <v>250</v>
      </c>
      <c r="J62" s="114">
        <v>72</v>
      </c>
      <c r="K62" s="415" t="s">
        <v>950</v>
      </c>
      <c r="L62" s="114" t="s">
        <v>962</v>
      </c>
      <c r="M62" s="114" t="str">
        <f t="shared" si="4"/>
        <v>DB72-2-42-G-M</v>
      </c>
      <c r="N62" s="114" t="str">
        <f t="shared" si="5"/>
        <v>EUR-MDB72G2MC</v>
      </c>
      <c r="P62" s="114" t="str">
        <f t="shared" si="3"/>
        <v>DB72-2-42-G-M</v>
      </c>
      <c r="Q62" s="114" t="str">
        <f t="shared" si="3"/>
        <v>EUR-MDB72G2MC</v>
      </c>
    </row>
    <row r="63" spans="8:17" x14ac:dyDescent="0.4">
      <c r="H63" s="114" t="s">
        <v>951</v>
      </c>
      <c r="I63" s="114">
        <v>250</v>
      </c>
      <c r="J63" s="114">
        <v>24</v>
      </c>
      <c r="K63" s="415" t="s">
        <v>952</v>
      </c>
      <c r="L63" s="114" t="s">
        <v>947</v>
      </c>
      <c r="M63" s="114" t="str">
        <f t="shared" si="4"/>
        <v>DB24-2-56-G</v>
      </c>
      <c r="N63" s="114" t="str">
        <f t="shared" si="5"/>
        <v>EUR-MDB24G/WP</v>
      </c>
      <c r="P63" s="114" t="str">
        <f t="shared" si="3"/>
        <v>DB24-2-56-G</v>
      </c>
      <c r="Q63" s="114" t="str">
        <f t="shared" si="3"/>
        <v>EUR-MDB24G/WP</v>
      </c>
    </row>
    <row r="64" spans="8:17" x14ac:dyDescent="0.4">
      <c r="H64" s="114" t="s">
        <v>951</v>
      </c>
      <c r="I64" s="114">
        <v>250</v>
      </c>
      <c r="J64" s="114">
        <v>24</v>
      </c>
      <c r="K64" s="415" t="s">
        <v>950</v>
      </c>
      <c r="L64" s="114" t="s">
        <v>947</v>
      </c>
      <c r="M64" s="114" t="str">
        <f t="shared" si="4"/>
        <v>DB24-2-56-G-M</v>
      </c>
      <c r="N64" s="114" t="str">
        <f t="shared" si="5"/>
        <v>EUR-MDB24G2MCWP</v>
      </c>
      <c r="P64" s="114" t="str">
        <f t="shared" si="3"/>
        <v>DB24-2-56-G-M</v>
      </c>
      <c r="Q64" s="114" t="str">
        <f t="shared" si="3"/>
        <v>EUR-MDB24G2MCWP</v>
      </c>
    </row>
    <row r="65" spans="8:17" x14ac:dyDescent="0.4">
      <c r="H65" s="114" t="s">
        <v>951</v>
      </c>
      <c r="I65" s="114">
        <v>250</v>
      </c>
      <c r="J65" s="114">
        <v>36</v>
      </c>
      <c r="K65" s="415" t="s">
        <v>952</v>
      </c>
      <c r="L65" s="114" t="s">
        <v>947</v>
      </c>
      <c r="M65" s="114" t="str">
        <f t="shared" si="4"/>
        <v>DB36-2-56-G</v>
      </c>
      <c r="N65" s="114" t="str">
        <f t="shared" si="5"/>
        <v>EUR-MDB36G/WP</v>
      </c>
      <c r="P65" s="114" t="str">
        <f t="shared" si="3"/>
        <v>DB36-2-56-G</v>
      </c>
      <c r="Q65" s="114" t="str">
        <f t="shared" si="3"/>
        <v>EUR-MDB36G/WP</v>
      </c>
    </row>
    <row r="66" spans="8:17" x14ac:dyDescent="0.4">
      <c r="H66" s="114" t="s">
        <v>951</v>
      </c>
      <c r="I66" s="114">
        <v>250</v>
      </c>
      <c r="J66" s="114">
        <v>36</v>
      </c>
      <c r="K66" s="415" t="s">
        <v>950</v>
      </c>
      <c r="L66" s="114" t="s">
        <v>947</v>
      </c>
      <c r="M66" s="114" t="str">
        <f t="shared" si="4"/>
        <v>DB36-2-56-G-M</v>
      </c>
      <c r="N66" s="114" t="str">
        <f t="shared" si="5"/>
        <v>EUR-MDB36G2MCWP</v>
      </c>
      <c r="P66" s="114" t="str">
        <f t="shared" si="3"/>
        <v>DB36-2-56-G-M</v>
      </c>
      <c r="Q66" s="114" t="str">
        <f t="shared" si="3"/>
        <v>EUR-MDB36G2MCWP</v>
      </c>
    </row>
    <row r="67" spans="8:17" x14ac:dyDescent="0.4">
      <c r="H67" s="114" t="s">
        <v>951</v>
      </c>
      <c r="I67" s="114">
        <v>250</v>
      </c>
      <c r="J67" s="114">
        <v>48</v>
      </c>
      <c r="K67" s="415" t="s">
        <v>952</v>
      </c>
      <c r="L67" s="114" t="s">
        <v>947</v>
      </c>
      <c r="M67" s="114" t="str">
        <f t="shared" si="4"/>
        <v>DB48-2-56-G</v>
      </c>
      <c r="N67" s="114" t="str">
        <f t="shared" si="5"/>
        <v>EUR-MDB48G/WP</v>
      </c>
      <c r="P67" s="114" t="str">
        <f t="shared" si="3"/>
        <v>DB48-2-56-G</v>
      </c>
      <c r="Q67" s="114" t="str">
        <f t="shared" si="3"/>
        <v>EUR-MDB48G/WP</v>
      </c>
    </row>
    <row r="68" spans="8:17" x14ac:dyDescent="0.4">
      <c r="H68" s="114" t="s">
        <v>951</v>
      </c>
      <c r="I68" s="114">
        <v>250</v>
      </c>
      <c r="J68" s="114">
        <v>48</v>
      </c>
      <c r="K68" s="415" t="s">
        <v>950</v>
      </c>
      <c r="L68" s="114" t="s">
        <v>947</v>
      </c>
      <c r="M68" s="114" t="str">
        <f t="shared" si="4"/>
        <v>DB48-2-56-G-M</v>
      </c>
      <c r="N68" s="114" t="str">
        <f t="shared" si="5"/>
        <v>EUR-MDB48G2MCWP</v>
      </c>
      <c r="P68" s="114" t="str">
        <f t="shared" si="3"/>
        <v>DB48-2-56-G-M</v>
      </c>
      <c r="Q68" s="114" t="str">
        <f t="shared" si="3"/>
        <v>EUR-MDB48G2MCWP</v>
      </c>
    </row>
    <row r="69" spans="8:17" x14ac:dyDescent="0.4">
      <c r="H69" s="114" t="s">
        <v>951</v>
      </c>
      <c r="I69" s="114">
        <v>250</v>
      </c>
      <c r="J69" s="114">
        <v>60</v>
      </c>
      <c r="K69" s="415" t="s">
        <v>952</v>
      </c>
      <c r="L69" s="114" t="s">
        <v>947</v>
      </c>
      <c r="M69" s="114" t="str">
        <f t="shared" si="4"/>
        <v>DB60-2-56-G</v>
      </c>
      <c r="N69" s="114" t="str">
        <f t="shared" si="5"/>
        <v>EUR-MDB60G/WP</v>
      </c>
      <c r="P69" s="114" t="str">
        <f t="shared" si="3"/>
        <v>DB60-2-56-G</v>
      </c>
      <c r="Q69" s="114" t="str">
        <f t="shared" si="3"/>
        <v>EUR-MDB60G/WP</v>
      </c>
    </row>
    <row r="70" spans="8:17" x14ac:dyDescent="0.4">
      <c r="H70" s="114" t="s">
        <v>951</v>
      </c>
      <c r="I70" s="114">
        <v>250</v>
      </c>
      <c r="J70" s="114">
        <v>60</v>
      </c>
      <c r="K70" s="415" t="s">
        <v>950</v>
      </c>
      <c r="L70" s="114" t="s">
        <v>947</v>
      </c>
      <c r="M70" s="114" t="str">
        <f t="shared" si="4"/>
        <v>DB60-2-56-G-M</v>
      </c>
      <c r="N70" s="114" t="str">
        <f t="shared" si="5"/>
        <v>EUR-MDB60G2MCWP</v>
      </c>
      <c r="P70" s="114" t="str">
        <f t="shared" si="3"/>
        <v>DB60-2-56-G-M</v>
      </c>
      <c r="Q70" s="114" t="str">
        <f t="shared" si="3"/>
        <v>EUR-MDB60G2MCWP</v>
      </c>
    </row>
    <row r="71" spans="8:17" x14ac:dyDescent="0.4">
      <c r="H71" s="114" t="s">
        <v>951</v>
      </c>
      <c r="I71" s="114">
        <v>250</v>
      </c>
      <c r="J71" s="114">
        <v>72</v>
      </c>
      <c r="K71" s="415" t="s">
        <v>952</v>
      </c>
      <c r="L71" s="114" t="s">
        <v>947</v>
      </c>
      <c r="M71" s="114" t="str">
        <f t="shared" si="4"/>
        <v>DB72-2-56-G</v>
      </c>
      <c r="N71" s="114" t="str">
        <f t="shared" si="5"/>
        <v>EUR-MDB72G/WP</v>
      </c>
      <c r="P71" s="114" t="str">
        <f t="shared" si="3"/>
        <v>DB72-2-56-G</v>
      </c>
      <c r="Q71" s="114" t="str">
        <f t="shared" si="3"/>
        <v>EUR-MDB72G/WP</v>
      </c>
    </row>
    <row r="72" spans="8:17" x14ac:dyDescent="0.4">
      <c r="H72" s="114" t="s">
        <v>951</v>
      </c>
      <c r="I72" s="114">
        <v>250</v>
      </c>
      <c r="J72" s="114">
        <v>72</v>
      </c>
      <c r="K72" s="415" t="s">
        <v>950</v>
      </c>
      <c r="L72" s="114" t="s">
        <v>947</v>
      </c>
      <c r="M72" s="114" t="str">
        <f t="shared" si="4"/>
        <v>DB72-2-56-G-M</v>
      </c>
      <c r="N72" s="114" t="str">
        <f t="shared" si="5"/>
        <v>EUR-MDB72G2MCWP</v>
      </c>
      <c r="P72" s="114" t="str">
        <f t="shared" si="3"/>
        <v>DB72-2-56-G-M</v>
      </c>
      <c r="Q72" s="114" t="str">
        <f t="shared" si="3"/>
        <v>EUR-MDB72G2MCWP</v>
      </c>
    </row>
    <row r="73" spans="8:17" x14ac:dyDescent="0.4">
      <c r="H73" s="114" t="s">
        <v>951</v>
      </c>
      <c r="I73" s="114">
        <v>400</v>
      </c>
      <c r="J73" s="114">
        <v>24</v>
      </c>
      <c r="K73" s="415" t="s">
        <v>952</v>
      </c>
      <c r="L73" s="114" t="s">
        <v>962</v>
      </c>
      <c r="M73" s="114" t="str">
        <f t="shared" si="4"/>
        <v>DB24-4-42-G</v>
      </c>
      <c r="N73" s="114" t="str">
        <f t="shared" si="5"/>
        <v>EUR-MDB24G4NA</v>
      </c>
      <c r="P73" s="114" t="str">
        <f t="shared" si="3"/>
        <v>DB24-4-42-G</v>
      </c>
      <c r="Q73" s="114" t="str">
        <f t="shared" si="3"/>
        <v>EUR-MDB24G4NA</v>
      </c>
    </row>
    <row r="74" spans="8:17" x14ac:dyDescent="0.4">
      <c r="H74" s="114" t="s">
        <v>951</v>
      </c>
      <c r="I74" s="114">
        <v>400</v>
      </c>
      <c r="J74" s="114">
        <v>24</v>
      </c>
      <c r="K74" s="415" t="s">
        <v>950</v>
      </c>
      <c r="L74" s="114" t="s">
        <v>962</v>
      </c>
      <c r="M74" s="114" t="str">
        <f t="shared" si="4"/>
        <v>DB24-4-42-G-M</v>
      </c>
      <c r="N74" s="114" t="str">
        <f t="shared" si="5"/>
        <v>EUR-MDB24G4MC</v>
      </c>
      <c r="P74" s="114" t="str">
        <f t="shared" si="3"/>
        <v>DB24-4-42-G-M</v>
      </c>
      <c r="Q74" s="114" t="str">
        <f t="shared" si="3"/>
        <v>EUR-MDB24G4MC</v>
      </c>
    </row>
    <row r="75" spans="8:17" x14ac:dyDescent="0.4">
      <c r="H75" s="114" t="s">
        <v>951</v>
      </c>
      <c r="I75" s="114">
        <v>400</v>
      </c>
      <c r="J75" s="114">
        <v>36</v>
      </c>
      <c r="K75" s="415" t="s">
        <v>952</v>
      </c>
      <c r="L75" s="114" t="s">
        <v>962</v>
      </c>
      <c r="M75" s="114" t="str">
        <f t="shared" si="4"/>
        <v>DB36-4-42-G</v>
      </c>
      <c r="N75" s="114" t="str">
        <f t="shared" si="5"/>
        <v>EUR-MDB36G4NA</v>
      </c>
      <c r="P75" s="114" t="str">
        <f t="shared" si="3"/>
        <v>DB36-4-42-G</v>
      </c>
      <c r="Q75" s="114" t="str">
        <f t="shared" si="3"/>
        <v>EUR-MDB36G4NA</v>
      </c>
    </row>
    <row r="76" spans="8:17" x14ac:dyDescent="0.4">
      <c r="H76" s="114" t="s">
        <v>951</v>
      </c>
      <c r="I76" s="114">
        <v>400</v>
      </c>
      <c r="J76" s="114">
        <v>36</v>
      </c>
      <c r="K76" s="415" t="s">
        <v>950</v>
      </c>
      <c r="L76" s="114" t="s">
        <v>962</v>
      </c>
      <c r="M76" s="114" t="str">
        <f t="shared" si="4"/>
        <v>DB36-4-42-G-M</v>
      </c>
      <c r="N76" s="114" t="str">
        <f t="shared" si="5"/>
        <v>EUR-MDB36G4MC</v>
      </c>
      <c r="P76" s="114" t="str">
        <f t="shared" si="3"/>
        <v>DB36-4-42-G-M</v>
      </c>
      <c r="Q76" s="114" t="str">
        <f t="shared" si="3"/>
        <v>EUR-MDB36G4MC</v>
      </c>
    </row>
    <row r="77" spans="8:17" x14ac:dyDescent="0.4">
      <c r="H77" s="114" t="s">
        <v>951</v>
      </c>
      <c r="I77" s="114">
        <v>400</v>
      </c>
      <c r="J77" s="114">
        <v>48</v>
      </c>
      <c r="K77" s="415" t="s">
        <v>952</v>
      </c>
      <c r="L77" s="114" t="s">
        <v>962</v>
      </c>
      <c r="M77" s="114" t="str">
        <f t="shared" si="4"/>
        <v>DB48-4-42-G</v>
      </c>
      <c r="N77" s="114" t="str">
        <f t="shared" si="5"/>
        <v>EUR-MDB48G4NA</v>
      </c>
      <c r="P77" s="114" t="str">
        <f t="shared" ref="P77:Q92" si="9">M77</f>
        <v>DB48-4-42-G</v>
      </c>
      <c r="Q77" s="114" t="str">
        <f t="shared" si="9"/>
        <v>EUR-MDB48G4NA</v>
      </c>
    </row>
    <row r="78" spans="8:17" x14ac:dyDescent="0.4">
      <c r="H78" s="114" t="s">
        <v>951</v>
      </c>
      <c r="I78" s="114">
        <v>400</v>
      </c>
      <c r="J78" s="114">
        <v>48</v>
      </c>
      <c r="K78" s="415" t="s">
        <v>950</v>
      </c>
      <c r="L78" s="114" t="s">
        <v>962</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951</v>
      </c>
      <c r="I79" s="114">
        <v>400</v>
      </c>
      <c r="J79" s="114">
        <v>60</v>
      </c>
      <c r="K79" s="415" t="s">
        <v>952</v>
      </c>
      <c r="L79" s="114" t="s">
        <v>962</v>
      </c>
      <c r="M79" s="114" t="str">
        <f t="shared" si="10"/>
        <v>DB60-4-42-G</v>
      </c>
      <c r="N79" s="114" t="str">
        <f t="shared" si="11"/>
        <v>EUR-MDB60G4NA</v>
      </c>
      <c r="P79" s="114" t="str">
        <f t="shared" si="9"/>
        <v>DB60-4-42-G</v>
      </c>
      <c r="Q79" s="114" t="str">
        <f t="shared" si="9"/>
        <v>EUR-MDB60G4NA</v>
      </c>
    </row>
    <row r="80" spans="8:17" x14ac:dyDescent="0.4">
      <c r="H80" s="114" t="s">
        <v>951</v>
      </c>
      <c r="I80" s="114">
        <v>400</v>
      </c>
      <c r="J80" s="114">
        <v>60</v>
      </c>
      <c r="K80" s="415" t="s">
        <v>950</v>
      </c>
      <c r="L80" s="114" t="s">
        <v>962</v>
      </c>
      <c r="M80" s="114" t="str">
        <f t="shared" si="10"/>
        <v>DB60-4-42-G-M</v>
      </c>
      <c r="N80" s="114" t="str">
        <f t="shared" si="11"/>
        <v>EUR-MDB60G4MC</v>
      </c>
      <c r="P80" s="114" t="str">
        <f t="shared" si="9"/>
        <v>DB60-4-42-G-M</v>
      </c>
      <c r="Q80" s="114" t="str">
        <f t="shared" si="9"/>
        <v>EUR-MDB60G4MC</v>
      </c>
    </row>
    <row r="81" spans="8:17" x14ac:dyDescent="0.4">
      <c r="H81" s="114" t="s">
        <v>951</v>
      </c>
      <c r="I81" s="114">
        <v>400</v>
      </c>
      <c r="J81" s="114">
        <v>72</v>
      </c>
      <c r="K81" s="415" t="s">
        <v>952</v>
      </c>
      <c r="L81" s="114" t="s">
        <v>962</v>
      </c>
      <c r="M81" s="114" t="str">
        <f t="shared" si="10"/>
        <v>DB72-4-42-G</v>
      </c>
      <c r="N81" s="114" t="str">
        <f t="shared" si="11"/>
        <v>EUR-MDB72G4NA</v>
      </c>
      <c r="P81" s="114" t="str">
        <f t="shared" si="9"/>
        <v>DB72-4-42-G</v>
      </c>
      <c r="Q81" s="114" t="str">
        <f t="shared" si="9"/>
        <v>EUR-MDB72G4NA</v>
      </c>
    </row>
    <row r="82" spans="8:17" x14ac:dyDescent="0.4">
      <c r="H82" s="114" t="s">
        <v>951</v>
      </c>
      <c r="I82" s="114">
        <v>400</v>
      </c>
      <c r="J82" s="114">
        <v>72</v>
      </c>
      <c r="K82" s="415" t="s">
        <v>950</v>
      </c>
      <c r="L82" s="114" t="s">
        <v>962</v>
      </c>
      <c r="M82" s="114" t="str">
        <f t="shared" si="10"/>
        <v>DB72-4-42-G-M</v>
      </c>
      <c r="N82" s="114" t="str">
        <f t="shared" si="11"/>
        <v>EUR-MDB72G4MC</v>
      </c>
      <c r="P82" s="114" t="str">
        <f t="shared" si="9"/>
        <v>DB72-4-42-G-M</v>
      </c>
      <c r="Q82" s="114" t="str">
        <f t="shared" si="9"/>
        <v>EUR-MDB72G4MC</v>
      </c>
    </row>
    <row r="83" spans="8:17" x14ac:dyDescent="0.4">
      <c r="H83" s="114" t="s">
        <v>951</v>
      </c>
      <c r="I83" s="114">
        <v>400</v>
      </c>
      <c r="J83" s="114">
        <v>24</v>
      </c>
      <c r="K83" s="415" t="s">
        <v>952</v>
      </c>
      <c r="L83" s="114" t="s">
        <v>947</v>
      </c>
      <c r="M83" s="114" t="str">
        <f t="shared" si="10"/>
        <v>DB24-4-56-G</v>
      </c>
      <c r="N83" s="114" t="str">
        <f t="shared" si="11"/>
        <v>EUR-MDB24G4NAWP</v>
      </c>
      <c r="P83" s="114" t="str">
        <f t="shared" si="9"/>
        <v>DB24-4-56-G</v>
      </c>
      <c r="Q83" s="114" t="str">
        <f t="shared" si="9"/>
        <v>EUR-MDB24G4NAWP</v>
      </c>
    </row>
    <row r="84" spans="8:17" x14ac:dyDescent="0.4">
      <c r="H84" s="114" t="s">
        <v>951</v>
      </c>
      <c r="I84" s="114">
        <v>400</v>
      </c>
      <c r="J84" s="114">
        <v>24</v>
      </c>
      <c r="K84" s="415" t="s">
        <v>950</v>
      </c>
      <c r="L84" s="114" t="s">
        <v>947</v>
      </c>
      <c r="M84" s="114" t="str">
        <f t="shared" si="10"/>
        <v>DB24-4-56-G-M</v>
      </c>
      <c r="N84" s="114" t="str">
        <f t="shared" si="11"/>
        <v>EUR-MDB24G4MCWP</v>
      </c>
      <c r="P84" s="114" t="str">
        <f t="shared" si="9"/>
        <v>DB24-4-56-G-M</v>
      </c>
      <c r="Q84" s="114" t="str">
        <f t="shared" si="9"/>
        <v>EUR-MDB24G4MCWP</v>
      </c>
    </row>
    <row r="85" spans="8:17" x14ac:dyDescent="0.4">
      <c r="H85" s="114" t="s">
        <v>951</v>
      </c>
      <c r="I85" s="114">
        <v>400</v>
      </c>
      <c r="J85" s="114">
        <v>36</v>
      </c>
      <c r="K85" s="415" t="s">
        <v>952</v>
      </c>
      <c r="L85" s="114" t="s">
        <v>947</v>
      </c>
      <c r="M85" s="114" t="str">
        <f t="shared" si="10"/>
        <v>DB36-4-56-G</v>
      </c>
      <c r="N85" s="114" t="str">
        <f t="shared" si="11"/>
        <v>EUR-MDB36G4NAWP</v>
      </c>
      <c r="P85" s="114" t="str">
        <f t="shared" si="9"/>
        <v>DB36-4-56-G</v>
      </c>
      <c r="Q85" s="114" t="str">
        <f t="shared" si="9"/>
        <v>EUR-MDB36G4NAWP</v>
      </c>
    </row>
    <row r="86" spans="8:17" x14ac:dyDescent="0.4">
      <c r="H86" s="114" t="s">
        <v>951</v>
      </c>
      <c r="I86" s="114">
        <v>400</v>
      </c>
      <c r="J86" s="114">
        <v>36</v>
      </c>
      <c r="K86" s="415" t="s">
        <v>950</v>
      </c>
      <c r="L86" s="114" t="s">
        <v>947</v>
      </c>
      <c r="M86" s="114" t="str">
        <f t="shared" si="10"/>
        <v>DB36-4-56-G-M</v>
      </c>
      <c r="N86" s="114" t="str">
        <f t="shared" si="11"/>
        <v>EUR-MDB36G4MCWP</v>
      </c>
      <c r="P86" s="114" t="str">
        <f t="shared" si="9"/>
        <v>DB36-4-56-G-M</v>
      </c>
      <c r="Q86" s="114" t="str">
        <f t="shared" si="9"/>
        <v>EUR-MDB36G4MCWP</v>
      </c>
    </row>
    <row r="87" spans="8:17" x14ac:dyDescent="0.4">
      <c r="H87" s="114" t="s">
        <v>951</v>
      </c>
      <c r="I87" s="114">
        <v>400</v>
      </c>
      <c r="J87" s="114">
        <v>48</v>
      </c>
      <c r="K87" s="415" t="s">
        <v>952</v>
      </c>
      <c r="L87" s="114" t="s">
        <v>947</v>
      </c>
      <c r="M87" s="114" t="str">
        <f t="shared" si="10"/>
        <v>DB48-4-56-G</v>
      </c>
      <c r="N87" s="114" t="str">
        <f t="shared" si="11"/>
        <v>EUR-MDB48G4NAWP</v>
      </c>
      <c r="P87" s="114" t="str">
        <f t="shared" si="9"/>
        <v>DB48-4-56-G</v>
      </c>
      <c r="Q87" s="114" t="str">
        <f t="shared" si="9"/>
        <v>EUR-MDB48G4NAWP</v>
      </c>
    </row>
    <row r="88" spans="8:17" x14ac:dyDescent="0.4">
      <c r="H88" s="114" t="s">
        <v>951</v>
      </c>
      <c r="I88" s="114">
        <v>400</v>
      </c>
      <c r="J88" s="114">
        <v>48</v>
      </c>
      <c r="K88" s="415" t="s">
        <v>950</v>
      </c>
      <c r="L88" s="114" t="s">
        <v>947</v>
      </c>
      <c r="M88" s="114" t="str">
        <f t="shared" si="10"/>
        <v>DB48-4-56-G-M</v>
      </c>
      <c r="N88" s="114" t="str">
        <f t="shared" si="11"/>
        <v>EUR-MDB48G4MCWP</v>
      </c>
      <c r="P88" s="114" t="str">
        <f t="shared" si="9"/>
        <v>DB48-4-56-G-M</v>
      </c>
      <c r="Q88" s="114" t="str">
        <f t="shared" si="9"/>
        <v>EUR-MDB48G4MCWP</v>
      </c>
    </row>
    <row r="89" spans="8:17" x14ac:dyDescent="0.4">
      <c r="H89" s="114" t="s">
        <v>951</v>
      </c>
      <c r="I89" s="114">
        <v>400</v>
      </c>
      <c r="J89" s="114">
        <v>60</v>
      </c>
      <c r="K89" s="415" t="s">
        <v>952</v>
      </c>
      <c r="L89" s="114" t="s">
        <v>947</v>
      </c>
      <c r="M89" s="114" t="str">
        <f t="shared" si="10"/>
        <v>DB60-4-56-G</v>
      </c>
      <c r="N89" s="114" t="str">
        <f t="shared" si="11"/>
        <v>EUR-MDB60G4NAWP</v>
      </c>
      <c r="P89" s="114" t="str">
        <f t="shared" si="9"/>
        <v>DB60-4-56-G</v>
      </c>
      <c r="Q89" s="114" t="str">
        <f t="shared" si="9"/>
        <v>EUR-MDB60G4NAWP</v>
      </c>
    </row>
    <row r="90" spans="8:17" x14ac:dyDescent="0.4">
      <c r="H90" s="114" t="s">
        <v>951</v>
      </c>
      <c r="I90" s="114">
        <v>400</v>
      </c>
      <c r="J90" s="114">
        <v>60</v>
      </c>
      <c r="K90" s="415" t="s">
        <v>950</v>
      </c>
      <c r="L90" s="114" t="s">
        <v>947</v>
      </c>
      <c r="M90" s="114" t="str">
        <f t="shared" si="10"/>
        <v>DB60-4-56-G-M</v>
      </c>
      <c r="N90" s="114" t="str">
        <f t="shared" si="11"/>
        <v>EUR-MDB60G4MCWP</v>
      </c>
      <c r="P90" s="114" t="str">
        <f t="shared" si="9"/>
        <v>DB60-4-56-G-M</v>
      </c>
      <c r="Q90" s="114" t="str">
        <f t="shared" si="9"/>
        <v>EUR-MDB60G4MCWP</v>
      </c>
    </row>
    <row r="91" spans="8:17" x14ac:dyDescent="0.4">
      <c r="H91" s="114" t="s">
        <v>951</v>
      </c>
      <c r="I91" s="114">
        <v>400</v>
      </c>
      <c r="J91" s="114">
        <v>72</v>
      </c>
      <c r="K91" s="415" t="s">
        <v>952</v>
      </c>
      <c r="L91" s="114" t="s">
        <v>947</v>
      </c>
      <c r="M91" s="114" t="str">
        <f t="shared" si="10"/>
        <v>DB72-4-56-G</v>
      </c>
      <c r="N91" s="114" t="str">
        <f t="shared" si="11"/>
        <v>EUR-MDB72G4NAWP</v>
      </c>
      <c r="P91" s="114" t="str">
        <f t="shared" si="9"/>
        <v>DB72-4-56-G</v>
      </c>
      <c r="Q91" s="114" t="str">
        <f t="shared" si="9"/>
        <v>EUR-MDB72G4NAWP</v>
      </c>
    </row>
    <row r="92" spans="8:17" x14ac:dyDescent="0.4">
      <c r="H92" s="114" t="s">
        <v>951</v>
      </c>
      <c r="I92" s="114">
        <v>400</v>
      </c>
      <c r="J92" s="114">
        <v>72</v>
      </c>
      <c r="K92" s="415" t="s">
        <v>950</v>
      </c>
      <c r="L92" s="114" t="s">
        <v>947</v>
      </c>
      <c r="M92" s="114" t="str">
        <f t="shared" si="10"/>
        <v>DB72-4-56-G-M</v>
      </c>
      <c r="N92" s="114" t="str">
        <f t="shared" si="11"/>
        <v>EUR-MDB72G4MCWP</v>
      </c>
      <c r="P92" s="114" t="str">
        <f t="shared" si="9"/>
        <v>DB72-4-56-G-M</v>
      </c>
      <c r="Q92" s="114" t="str">
        <f t="shared" si="9"/>
        <v>EUR-MDB72G4MCWP</v>
      </c>
    </row>
  </sheetData>
  <conditionalFormatting sqref="K2:K11">
    <cfRule type="cellIs" dxfId="177"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5C117-851E-4943-8177-047D49BC4FA0}">
  <dimension ref="A1:AN25"/>
  <sheetViews>
    <sheetView topLeftCell="H1" workbookViewId="0">
      <selection activeCell="M2" sqref="M2:X5"/>
    </sheetView>
  </sheetViews>
  <sheetFormatPr defaultColWidth="9.3046875" defaultRowHeight="14.6" x14ac:dyDescent="0.4"/>
  <cols>
    <col min="1" max="1" width="7.53515625" style="422" bestFit="1" customWidth="1"/>
    <col min="2" max="2" width="10.15234375" style="114" bestFit="1" customWidth="1"/>
    <col min="3" max="3" width="13.53515625" style="423" bestFit="1" customWidth="1"/>
    <col min="4" max="4" width="6.3046875" style="114" bestFit="1" customWidth="1"/>
    <col min="5" max="5" width="4.15234375" style="114" bestFit="1" customWidth="1"/>
    <col min="6" max="6" width="4.15234375" style="114" customWidth="1"/>
    <col min="7" max="8" width="12.15234375" style="114" customWidth="1"/>
    <col min="9" max="10" width="13.3046875" style="114" customWidth="1"/>
    <col min="11" max="11" width="20.69140625" style="114" customWidth="1"/>
    <col min="12" max="14" width="12.3046875" style="114" customWidth="1"/>
    <col min="15" max="15" width="22" style="114" customWidth="1"/>
    <col min="16" max="24" width="12.3046875" style="114" customWidth="1"/>
    <col min="25" max="25" width="12.3828125" style="424" hidden="1" customWidth="1"/>
    <col min="26" max="26" width="12.3828125" style="114" hidden="1" customWidth="1"/>
    <col min="27" max="27" width="16" style="114" hidden="1" customWidth="1"/>
    <col min="28" max="28" width="39" style="114" hidden="1" customWidth="1"/>
    <col min="29" max="34" width="9.3046875" style="114" hidden="1" customWidth="1"/>
    <col min="35" max="35" width="48.3828125" style="114" hidden="1" customWidth="1"/>
    <col min="36" max="36" width="55.15234375" style="114" hidden="1" customWidth="1"/>
    <col min="37" max="40" width="9.3046875" style="114" hidden="1" customWidth="1"/>
    <col min="41" max="42" width="9.3046875" style="114" customWidth="1"/>
    <col min="43" max="16384" width="9.3046875" style="114"/>
  </cols>
  <sheetData>
    <row r="1" spans="1:38" s="299" customFormat="1" ht="29.15" x14ac:dyDescent="0.4">
      <c r="A1" s="425" t="s">
        <v>931</v>
      </c>
      <c r="B1" s="425" t="s">
        <v>932</v>
      </c>
      <c r="C1" s="426" t="s">
        <v>933</v>
      </c>
      <c r="D1" s="425" t="s">
        <v>934</v>
      </c>
      <c r="E1" s="425" t="s">
        <v>844</v>
      </c>
      <c r="F1" s="425"/>
      <c r="G1" s="427" t="s">
        <v>980</v>
      </c>
      <c r="H1" s="427" t="s">
        <v>981</v>
      </c>
      <c r="I1" s="425" t="s">
        <v>936</v>
      </c>
      <c r="J1" s="425" t="s">
        <v>937</v>
      </c>
      <c r="K1" s="427" t="s">
        <v>982</v>
      </c>
      <c r="L1" s="427" t="s">
        <v>676</v>
      </c>
      <c r="M1" s="427" t="s">
        <v>983</v>
      </c>
      <c r="N1" s="427" t="s">
        <v>984</v>
      </c>
      <c r="O1" s="427" t="s">
        <v>985</v>
      </c>
      <c r="P1" s="427" t="s">
        <v>669</v>
      </c>
      <c r="Q1" s="427" t="str">
        <f>_Fan!F1</f>
        <v>Mechanical Thermostat</v>
      </c>
      <c r="R1" s="427" t="str">
        <f>_Fan!G1</f>
        <v>Run On Timer</v>
      </c>
      <c r="S1" s="427" t="str">
        <f>_Fan!H1</f>
        <v>Time Clock</v>
      </c>
      <c r="T1" s="427" t="str">
        <f>_Fan!I1</f>
        <v>Local Switch</v>
      </c>
      <c r="U1" s="427" t="str">
        <f>_Fan!J1</f>
        <v>Run Status Light</v>
      </c>
      <c r="V1" s="427" t="str">
        <f>_Fan!K1</f>
        <v>Jet Fan</v>
      </c>
      <c r="W1" s="427" t="str">
        <f>_Fan!L1</f>
        <v>VSD or KEF</v>
      </c>
      <c r="X1" s="427" t="str">
        <f>_Fan!M1</f>
        <v>Run &amp; Fault LEDs</v>
      </c>
      <c r="Y1" s="428"/>
      <c r="Z1" s="299">
        <f>MAX('@MSSB'!AD:AD)</f>
        <v>0</v>
      </c>
    </row>
    <row r="2" spans="1:38" x14ac:dyDescent="0.4">
      <c r="A2" s="429" t="str">
        <f>IF(NOT(K2="N/A"),IF(COUNTBLANK(L2:U2)=0,"VALID","INVALID"),"INVALID")</f>
        <v>INVALID</v>
      </c>
      <c r="B2" s="430" t="str">
        <f>_xlfn.CONCAT("Fan ",(ROW()-1))</f>
        <v>Fan 1</v>
      </c>
      <c r="C2" s="431">
        <f>IFERROR(E2*I2,0)</f>
        <v>0</v>
      </c>
      <c r="D2" s="430">
        <f>IFERROR(IF(ISBLANK(G2),J2*E2,G2*E2),0)</f>
        <v>0</v>
      </c>
      <c r="E2" s="430"/>
      <c r="F2" s="430">
        <f t="shared" ref="F2:F24" si="0">IF(COUNTBLANK(H2)=0,H2,IF(L2="Local",5,20))</f>
        <v>5</v>
      </c>
      <c r="G2" s="430"/>
      <c r="H2" s="430"/>
      <c r="I2" s="430" t="e">
        <f>IF(NOT(W2="No"),VLOOKUP(W2,_Fan!N:P,2,FALSE) + IF(W2="VSD",F2*(VLOOKUP("Switchboard Cable 1mm",'Part List'!$A:$G,3,FALSE) + VLOOKUP("2.5mm Twin and Earth",'Part List'!$A:$G,3,FALSE)*2),F2*(VLOOKUP("7030 2 pair TCAS7302P",'Part List'!$A:$G,3,FALSE) + VLOOKUP("screened 4mm",'Part List'!$A:$G,3,FALSE) + VLOOKUP("4mm Cable 3 core and Earth",'Part List'!$A:$G,3,FALSE))),VLOOKUP(L2,_Fan!N:P,2,FALSE))
+VLOOKUP(O2,_Fan!N:P,2,FALSE)
+IF(X2="Yes", F2*(VLOOKUP("7030 2 pair TCAS7302P",'Part List'!$A:$G,3,FALSE)),0)
+IF(M2="YES",VLOOKUP(M$1,_Fan!N:P,2,FALSE),0)+IF(X2="YES",VLOOKUP(X$1,_Fan!N:P,2,FALSE),0)
+IF(N2="YES",VLOOKUP(N$1,_Fan!N:P,2,FALSE),0)
+IF(P2="YES",VLOOKUP(P$1,_Fan!N:P,2,FALSE),0)
+IF(Q2="YES",VLOOKUP(Q$1,_Fan!N:P,2,FALSE),0)
+IF(R2="YES",VLOOKUP(R$1,_Fan!N:P,2,FALSE),0)
+IF(S2="YES",VLOOKUP(S$1,_Fan!N:P,2,FALSE),0)
+IF(T2="YES",VLOOKUP(T$1,_Fan!N:P,2,FALSE),0)
+IF(U2="YES",VLOOKUP(U$1,_Fan!N:P,2,FALSE),0)</f>
        <v>#N/A</v>
      </c>
      <c r="J2" s="430" t="e">
        <f>IF(NOT(W2="No"),VLOOKUP(W2,_Fan!N:P,3,FALSE) + IF(W2="VSD",F2*(VLOOKUP("Switchboard Cable 1mm",'Part List'!$A:$G,5,FALSE) + VLOOKUP("2.5mm Twin and Earth",'Part List'!$A:$G,5,FALSE)*2),F2*(VLOOKUP("7030 2 pair TCAS7302P",'Part List'!$A:$G,5,FALSE) + VLOOKUP("screened 4mm",'Part List'!$A:$G,5,FALSE))),VLOOKUP(L2,_Fan!N:P,3,FALSE))
+VLOOKUP(O2,_Fan!N:P,3,FALSE)
+IF(X2="Yes", F2*(VLOOKUP("7030 2 pair TCAS7302P",'Part List'!$A:$G,5,FALSE)),0)
+IF(M2="YES",VLOOKUP(M$1,_Fan!N:P,3,FALSE),0)+IF(X2="YES",VLOOKUP(X$1,_Fan!N:P,3,FALSE),0)
+IF(N2="YES",VLOOKUP(N$1,_Fan!N:P,3,FALSE),0)
+IF(P2="YES",VLOOKUP(P$1,_Fan!N:P,3,FALSE),0)
+IF(Q2="YES",VLOOKUP(Q$1,_Fan!N:P,3,FALSE),0)
+IF(R2="YES",VLOOKUP(R$1,_Fan!N:P,3,FALSE),0)
+IF(S2="YES",VLOOKUP(S$1,_Fan!N:P,3,FALSE),0)
+IF(T2="YES",VLOOKUP(T$1,_Fan!N:P,3,FALSE),0)
+IF(U2="YES",VLOOKUP(U$1,_Fan!N:P,3,FALSE),0)</f>
        <v>#N/A</v>
      </c>
      <c r="K2" s="430" t="str">
        <f>IF(COUNTBLANK(L2:U2)=0,_xlfn.CONCAT("F",IF(L2="Local","L","M"),"-",IF(M2="Yes",1,0),IF(N2="Yes",1,0),IF(P2="Yes",1,0),IF(Q2="Yes",1,0),IF(R2="Yes",1,0),IF(S2="Yes",1,0),IF(T2="Yes",1,0),IF(U2="Yes",1,0), IF(O2 = "Interlock", "-I",
IF(O2 = "Interlock with Associated Units", "-IA",
IF(O2 = "Interlock with Lighting Circuit", "-IC",
IF(O2 = "Interlock with Local Switch", "-IS","")))),IF(V2="Yes","-J","")),"")</f>
        <v/>
      </c>
      <c r="L2" s="430" t="s">
        <v>991</v>
      </c>
      <c r="M2" s="430"/>
      <c r="N2" s="430"/>
      <c r="O2" s="430"/>
      <c r="P2" s="430"/>
      <c r="Q2" s="430"/>
      <c r="R2" s="430"/>
      <c r="S2" s="430"/>
      <c r="T2" s="430"/>
      <c r="U2" s="430"/>
      <c r="V2" s="430"/>
      <c r="W2" s="430"/>
      <c r="X2" s="430"/>
      <c r="Y2" s="432" t="str">
        <f>IF(A2="VALID",_xlfn.CONCAT("
",AF2,"
",REPT(" ",8),AG2,"
",REPT(" ",8),AH2,"
",REPT(" ", 8),AI2, "
"),"")</f>
        <v/>
      </c>
      <c r="Z2" s="114">
        <f xml:space="preserve"> IF(AND(E2&gt;0,A2="VALID"),Z1+1,Z1)</f>
        <v>0</v>
      </c>
      <c r="AA2" s="114" t="str">
        <f>_xlfn.CONCAT(E2," (",VLOOKUP(E2,[1]Backend!C:D,2,FALSE),")")</f>
        <v xml:space="preserve"> (Zero)</v>
      </c>
      <c r="AB2" s="114" t="str">
        <f>_xlfn.CONCAT(Z2," - Electrical power supply and controls to ",AA2,IF(V2="Yes"," Jet fan", " fan"))</f>
        <v>0 - Electrical power supply and controls to  (Zero) fan</v>
      </c>
      <c r="AC2" s="114" t="str">
        <f>IF((COUNTIF(M2:U2,"No") &lt; 9)," with: "," ")</f>
        <v xml:space="preserve"> with: </v>
      </c>
      <c r="AD2" s="114" t="str">
        <f>_xlfn.CONCAT(IF(M2 = "Yes",_xlfn.CONCAT($M$1, ", "),""),IF(N2 = "Yes",_xlfn.CONCAT($N$1, ", "),""),IF(P2 = "Yes",_xlfn.CONCAT($P$1, ", "),""),IF(Q2 = "Yes",_xlfn.CONCAT($Q$1, ", "),""),IF(R2 = "Yes",_xlfn.CONCAT($R$1, ", "),""),IF(S2 = "Yes",_xlfn.CONCAT($S$1, ", "),""),IF(T2 = "Yes",_xlfn.CONCAT($T$1, ", "),""),IF(U2 = "Yes",_xlfn.CONCAT($U$1, ", "),""),IF(NOT(O2 = "No"),_xlfn.CONCAT(O2, ", "),""))</f>
        <v xml:space="preserve">, </v>
      </c>
      <c r="AE2" s="114" t="str">
        <f>_xlfn.CONCAT("from ",L2, " Power Supply")</f>
        <v>from Local Power Supply</v>
      </c>
      <c r="AF2" s="114" t="str">
        <f>_xlfn.CONCAT(AB2,AC2,AD2,AE2)</f>
        <v>0 - Electrical power supply and controls to  (Zero) fan with: , from Local Power Supply</v>
      </c>
      <c r="AG2" s="114" t="str">
        <f>_xlfn.CONCAT(Z2,".1 - This includes supply and install of power and controls.")</f>
        <v>0.1 - This includes supply and install of power and controls.</v>
      </c>
      <c r="AH2" s="114" t="str">
        <f>_xlfn.CONCAT(Z2,".2 - Power for system includes: ",VLOOKUP(L2,_Fan!N:Q,4,FALSE))</f>
        <v xml:space="preserve">0.2 - Power for system includes: cabling to fan and control panel (from Builder's Electrician's isolator) and local isolator, </v>
      </c>
      <c r="AI2" s="114" t="e">
        <f t="shared" ref="AI2:AI22" si="1">IF(OR((L2="Local"),NOT(O2="No"),(COUNTIF(M2:U2,"Yes")&gt;0)),_xlfn.CONCAT(Z2,".3 - Controls for system includes: ",_xlfn.CONCAT(AJ2,IF(L2="Local","controls enclosure.","")),""),"")</f>
        <v>#N/A</v>
      </c>
      <c r="AJ2" s="114" t="e">
        <f>_xlfn.CONCAT(IF(M2="Yes",VLOOKUP(M$1,_Fan!N:AB,4,FALSE),""),IF(N2="Yes",VLOOKUP(N$1,_Fan!N:AB,4,FALSE),""),IF(NOT(O2="No"),VLOOKUP(O2,_Fan!N:AB,4,FALSE),""),IF(P2="Yes",VLOOKUP(P$1,_Fan!N:AB,4,FALSE),""),IF(Q2="Yes",VLOOKUP(Q$1,_Fan!N:AB,4,FALSE),""),IF(R2="Yes",VLOOKUP(R$1,_Fan!N:AB,4,FALSE),""),IF(S2="Yes",VLOOKUP(S$1,_Fan!N:AB,4,FALSE),""),IF(T2="Yes",VLOOKUP(T$1,_Fan!N:AB,4,FALSE),""),IF(U2="Yes",VLOOKUP(U$1,_Fan!N:AB,4,FALSE),""))</f>
        <v>#N/A</v>
      </c>
      <c r="AL2" s="114" t="str">
        <f>_xlfn.CONCAT(IF(V2="Yes","Jet fan","fan"),AC2,AD2)</f>
        <v xml:space="preserve">fan with: , </v>
      </c>
    </row>
    <row r="3" spans="1:38" x14ac:dyDescent="0.4">
      <c r="A3" s="429" t="str">
        <f>IF(NOT(K3="N/A"),IF(COUNTBLANK(L3:U3)=0,"VALID","INVALID"),"INVALID")</f>
        <v>INVALID</v>
      </c>
      <c r="B3" s="430" t="str">
        <f t="shared" ref="B3:B22" si="2">_xlfn.CONCAT("Fan ",(ROW()-1))</f>
        <v>Fan 2</v>
      </c>
      <c r="C3" s="431">
        <f t="shared" ref="C3:C22" si="3">IFERROR(E3*I3,0)</f>
        <v>0</v>
      </c>
      <c r="D3" s="430">
        <f t="shared" ref="D3:D22" si="4">IFERROR(IF(ISBLANK(G3),J3*E3,G3*E3),0)</f>
        <v>0</v>
      </c>
      <c r="E3" s="430"/>
      <c r="F3" s="430">
        <f t="shared" si="0"/>
        <v>5</v>
      </c>
      <c r="G3" s="430"/>
      <c r="H3" s="430"/>
      <c r="I3" s="430" t="e">
        <f>IF(NOT(W3="No"),VLOOKUP(W3,_Fan!N:P,2,FALSE) + IF(W3="VSD",F3*(VLOOKUP("Switchboard Cable 1mm",'Part List'!$A:$G,3,FALSE) + VLOOKUP("2.5mm Twin and Earth",'Part List'!$A:$G,3,FALSE)*2),F3*(VLOOKUP("7030 2 pair TCAS7302P",'Part List'!$A:$G,3,FALSE) + VLOOKUP("screened 4mm",'Part List'!$A:$G,3,FALSE) + VLOOKUP("4mm Cable 3 core and Earth",'Part List'!$A:$G,3,FALSE))),VLOOKUP(L3,_Fan!N:P,2,FALSE))
+VLOOKUP(O3,_Fan!N:P,2,FALSE)
+IF(X3="Yes", F3*(VLOOKUP("7030 2 pair TCAS7302P",'Part List'!$A:$G,3,FALSE)),0)
+IF(M3="YES",VLOOKUP(M$1,_Fan!N:P,2,FALSE),0)+IF(X3="YES",VLOOKUP(X$1,_Fan!N:P,2,FALSE),0)
+IF(N3="YES",VLOOKUP(N$1,_Fan!N:P,2,FALSE),0)
+IF(P3="YES",VLOOKUP(P$1,_Fan!N:P,2,FALSE),0)
+IF(Q3="YES",VLOOKUP(Q$1,_Fan!N:P,2,FALSE),0)
+IF(R3="YES",VLOOKUP(R$1,_Fan!N:P,2,FALSE),0)
+IF(S3="YES",VLOOKUP(S$1,_Fan!N:P,2,FALSE),0)
+IF(T3="YES",VLOOKUP(T$1,_Fan!N:P,2,FALSE),0)
+IF(U3="YES",VLOOKUP(U$1,_Fan!N:P,2,FALSE),0)</f>
        <v>#N/A</v>
      </c>
      <c r="J3" s="430" t="e">
        <f>IF(NOT(W3="No"),VLOOKUP(W3,_Fan!N:P,3,FALSE) + IF(W3="VSD",F3*(VLOOKUP("Switchboard Cable 1mm",'Part List'!$A:$G,5,FALSE) + VLOOKUP("2.5mm Twin and Earth",'Part List'!$A:$G,5,FALSE)*2),F3*(VLOOKUP("7030 2 pair TCAS7302P",'Part List'!$A:$G,5,FALSE) + VLOOKUP("screened 4mm",'Part List'!$A:$G,5,FALSE))),VLOOKUP(L3,_Fan!N:P,3,FALSE))
+VLOOKUP(O3,_Fan!N:P,3,FALSE)
+IF(X3="Yes", F3*(VLOOKUP("7030 2 pair TCAS7302P",'Part List'!$A:$G,5,FALSE)),0)
+IF(M3="YES",VLOOKUP(M$1,_Fan!N:P,3,FALSE),0)+IF(X3="YES",VLOOKUP(X$1,_Fan!N:P,3,FALSE),0)
+IF(N3="YES",VLOOKUP(N$1,_Fan!N:P,3,FALSE),0)
+IF(P3="YES",VLOOKUP(P$1,_Fan!N:P,3,FALSE),0)
+IF(Q3="YES",VLOOKUP(Q$1,_Fan!N:P,3,FALSE),0)
+IF(R3="YES",VLOOKUP(R$1,_Fan!N:P,3,FALSE),0)
+IF(S3="YES",VLOOKUP(S$1,_Fan!N:P,3,FALSE),0)
+IF(T3="YES",VLOOKUP(T$1,_Fan!N:P,3,FALSE),0)
+IF(U3="YES",VLOOKUP(U$1,_Fan!N:P,3,FALSE),0)</f>
        <v>#N/A</v>
      </c>
      <c r="K3" s="430" t="str">
        <f t="shared" ref="K3:K22" si="5">IF(COUNTBLANK(L3:U3)=0,_xlfn.CONCAT("F",IF(L3="Local","L","M"),"-",IF(M3="Yes",1,0),IF(N3="Yes",1,0),IF(P3="Yes",1,0),IF(Q3="Yes",1,0),IF(R3="Yes",1,0),IF(S3="Yes",1,0),IF(T3="Yes",1,0),IF(U3="Yes",1,0), IF(O3 = "Interlock", "-I",
IF(O3 = "Interlock with Associated Units", "-IA",
IF(O3 = "Interlock with Lighting Circuit", "-IC",
IF(O3 = "Interlock with Local Switch", "-IS","")))),IF(V3="Yes","-J","")),"")</f>
        <v/>
      </c>
      <c r="L3" s="430" t="s">
        <v>991</v>
      </c>
      <c r="M3" s="430"/>
      <c r="N3" s="430"/>
      <c r="O3" s="430"/>
      <c r="P3" s="430"/>
      <c r="Q3" s="430"/>
      <c r="R3" s="430"/>
      <c r="S3" s="430"/>
      <c r="T3" s="430"/>
      <c r="U3" s="430"/>
      <c r="V3" s="430"/>
      <c r="W3" s="430"/>
      <c r="X3" s="430"/>
      <c r="Y3" s="432" t="str">
        <f t="shared" ref="Y3:Y22" si="6">IF(A3="VALID",_xlfn.CONCAT("
",AF3,"
",REPT(" ",8),AG3,"
",REPT(" ",8),AH3,"
",REPT(" ", 8),AI3, "
"),"")</f>
        <v/>
      </c>
      <c r="Z3" s="114">
        <f t="shared" ref="Z3:Z22" si="7" xml:space="preserve"> IF(AND(E3&gt;0,A3="VALID"),Z2+1,Z2)</f>
        <v>0</v>
      </c>
      <c r="AA3" s="114" t="str">
        <f>_xlfn.CONCAT(E3," (",VLOOKUP(E3,[1]Backend!C:D,2,FALSE),")")</f>
        <v xml:space="preserve"> (Zero)</v>
      </c>
      <c r="AB3" s="114" t="str">
        <f t="shared" ref="AB3:AB22" si="8">_xlfn.CONCAT(Z3," - Electrical power supply and controls to ",AA3," fan")</f>
        <v>0 - Electrical power supply and controls to  (Zero) fan</v>
      </c>
      <c r="AC3" s="114" t="str">
        <f t="shared" ref="AC3:AC22" si="9">IF((COUNTIF(M3:U3,"No") &lt; 9)," with: "," ")</f>
        <v xml:space="preserve"> with: </v>
      </c>
      <c r="AD3" s="114" t="str">
        <f t="shared" ref="AD3:AD22" si="10">_xlfn.CONCAT(IF(M3 = "Yes",_xlfn.CONCAT($M$1, ", "),""),IF(N3 = "Yes",_xlfn.CONCAT($N$1, ", "),""),IF(P3 = "Yes",_xlfn.CONCAT($P$1, ", "),""),IF(Q3 = "Yes",_xlfn.CONCAT($Q$1, ", "),""),IF(R3 = "Yes",_xlfn.CONCAT($R$1, ", "),""),IF(S3 = "Yes",_xlfn.CONCAT($S$1, ", "),""),IF(T3 = "Yes",_xlfn.CONCAT($T$1, ", "),""),IF(U3 = "Yes",_xlfn.CONCAT($U$1, ", "),""),IF(NOT(O3 = "No"),_xlfn.CONCAT(O3, ", "),""))</f>
        <v xml:space="preserve">, </v>
      </c>
      <c r="AE3" s="114" t="str">
        <f t="shared" ref="AE3:AE22" si="11">_xlfn.CONCAT("from ",L3, " Power Supply")</f>
        <v>from Local Power Supply</v>
      </c>
      <c r="AF3" s="114" t="str">
        <f>_xlfn.CONCAT(AB3,AC3,AD3,AE3)</f>
        <v>0 - Electrical power supply and controls to  (Zero) fan with: , from Local Power Supply</v>
      </c>
      <c r="AG3" s="114" t="str">
        <f t="shared" ref="AG3:AG22" si="12">_xlfn.CONCAT(Z3,".1 - This includes supply and install of power and controls.")</f>
        <v>0.1 - This includes supply and install of power and controls.</v>
      </c>
      <c r="AH3" s="114" t="str">
        <f>_xlfn.CONCAT(Z3,".2 - Power for system includes: ",VLOOKUP(L3,_Fan!N:Q,4,FALSE))</f>
        <v xml:space="preserve">0.2 - Power for system includes: cabling to fan and control panel (from Builder's Electrician's isolator) and local isolator, </v>
      </c>
      <c r="AI3" s="114" t="e">
        <f t="shared" si="1"/>
        <v>#N/A</v>
      </c>
      <c r="AJ3" s="114" t="e">
        <f>_xlfn.CONCAT(IF(M3="Yes",VLOOKUP(M$1,_Fan!N:AB,4,FALSE),""),IF(N3="Yes",VLOOKUP(N$1,_Fan!N:AB,4,FALSE),""),IF(NOT(O3="No"),VLOOKUP(O3,_Fan!N:AB,4,FALSE),""),IF(P3="Yes",VLOOKUP(P$1,_Fan!N:AB,4,FALSE),""),IF(Q3="Yes",VLOOKUP(Q$1,_Fan!N:AB,4,FALSE),""),IF(R3="Yes",VLOOKUP(R$1,_Fan!N:AB,4,FALSE),""),IF(S3="Yes",VLOOKUP(S$1,_Fan!N:AB,4,FALSE),""),IF(T3="Yes",VLOOKUP(T$1,_Fan!N:AB,4,FALSE),""),IF(U3="Yes",VLOOKUP(U$1,_Fan!N:AB,4,FALSE),""))</f>
        <v>#N/A</v>
      </c>
      <c r="AL3" s="114" t="str">
        <f t="shared" ref="AL3:AL22" si="13">_xlfn.CONCAT(IF(V3="Yes","Jet fan","fan"),AC3,AD3)</f>
        <v xml:space="preserve">fan with: , </v>
      </c>
    </row>
    <row r="4" spans="1:38" x14ac:dyDescent="0.4">
      <c r="A4" s="429" t="str">
        <f t="shared" ref="A4:A22" si="14">IF(NOT(K4="N/A"),IF(COUNTBLANK(L4:U4)=0,"VALID","INVALID"),"INVALID")</f>
        <v>INVALID</v>
      </c>
      <c r="B4" s="430" t="str">
        <f t="shared" si="2"/>
        <v>Fan 3</v>
      </c>
      <c r="C4" s="431">
        <f t="shared" si="3"/>
        <v>0</v>
      </c>
      <c r="D4" s="430">
        <f t="shared" si="4"/>
        <v>0</v>
      </c>
      <c r="E4" s="430"/>
      <c r="F4" s="430">
        <f t="shared" si="0"/>
        <v>5</v>
      </c>
      <c r="G4" s="430"/>
      <c r="H4" s="430"/>
      <c r="I4" s="430" t="e">
        <f>IF(NOT(W4="No"),VLOOKUP(W4,_Fan!N:P,2,FALSE) + IF(W4="VSD",F4*(VLOOKUP("Switchboard Cable 1mm",'Part List'!$A:$G,3,FALSE) + VLOOKUP("2.5mm Twin and Earth",'Part List'!$A:$G,3,FALSE)*2),F4*(VLOOKUP("7030 2 pair TCAS7302P",'Part List'!$A:$G,3,FALSE) + VLOOKUP("screened 4mm",'Part List'!$A:$G,3,FALSE) + VLOOKUP("4mm Cable 3 core and Earth",'Part List'!$A:$G,3,FALSE))),VLOOKUP(L4,_Fan!N:P,2,FALSE))
+VLOOKUP(O4,_Fan!N:P,2,FALSE)
+IF(X4="Yes", F4*(VLOOKUP("7030 2 pair TCAS7302P",'Part List'!$A:$G,3,FALSE)),0)
+IF(M4="YES",VLOOKUP(M$1,_Fan!N:P,2,FALSE),0)+IF(X4="YES",VLOOKUP(X$1,_Fan!N:P,2,FALSE),0)
+IF(N4="YES",VLOOKUP(N$1,_Fan!N:P,2,FALSE),0)
+IF(P4="YES",VLOOKUP(P$1,_Fan!N:P,2,FALSE),0)
+IF(Q4="YES",VLOOKUP(Q$1,_Fan!N:P,2,FALSE),0)
+IF(R4="YES",VLOOKUP(R$1,_Fan!N:P,2,FALSE),0)
+IF(S4="YES",VLOOKUP(S$1,_Fan!N:P,2,FALSE),0)
+IF(T4="YES",VLOOKUP(T$1,_Fan!N:P,2,FALSE),0)
+IF(U4="YES",VLOOKUP(U$1,_Fan!N:P,2,FALSE),0)</f>
        <v>#N/A</v>
      </c>
      <c r="J4" s="430" t="e">
        <f>IF(NOT(W4="No"),VLOOKUP(W4,_Fan!N:P,3,FALSE) + IF(W4="VSD",F4*(VLOOKUP("Switchboard Cable 1mm",'Part List'!$A:$G,5,FALSE) + VLOOKUP("2.5mm Twin and Earth",'Part List'!$A:$G,5,FALSE)*2),F4*(VLOOKUP("7030 2 pair TCAS7302P",'Part List'!$A:$G,5,FALSE) + VLOOKUP("screened 4mm",'Part List'!$A:$G,5,FALSE))),VLOOKUP(L4,_Fan!N:P,3,FALSE))
+VLOOKUP(O4,_Fan!N:P,3,FALSE)
+IF(X4="Yes", F4*(VLOOKUP("7030 2 pair TCAS7302P",'Part List'!$A:$G,5,FALSE)),0)
+IF(M4="YES",VLOOKUP(M$1,_Fan!N:P,3,FALSE),0)+IF(X4="YES",VLOOKUP(X$1,_Fan!N:P,3,FALSE),0)
+IF(N4="YES",VLOOKUP(N$1,_Fan!N:P,3,FALSE),0)
+IF(P4="YES",VLOOKUP(P$1,_Fan!N:P,3,FALSE),0)
+IF(Q4="YES",VLOOKUP(Q$1,_Fan!N:P,3,FALSE),0)
+IF(R4="YES",VLOOKUP(R$1,_Fan!N:P,3,FALSE),0)
+IF(S4="YES",VLOOKUP(S$1,_Fan!N:P,3,FALSE),0)
+IF(T4="YES",VLOOKUP(T$1,_Fan!N:P,3,FALSE),0)
+IF(U4="YES",VLOOKUP(U$1,_Fan!N:P,3,FALSE),0)</f>
        <v>#N/A</v>
      </c>
      <c r="K4" s="430" t="str">
        <f t="shared" si="5"/>
        <v/>
      </c>
      <c r="L4" s="430" t="s">
        <v>991</v>
      </c>
      <c r="M4" s="430"/>
      <c r="N4" s="430"/>
      <c r="O4" s="430"/>
      <c r="P4" s="430"/>
      <c r="Q4" s="430"/>
      <c r="R4" s="430"/>
      <c r="S4" s="430"/>
      <c r="T4" s="430"/>
      <c r="U4" s="430"/>
      <c r="V4" s="430"/>
      <c r="W4" s="430"/>
      <c r="X4" s="430"/>
      <c r="Y4" s="432" t="str">
        <f t="shared" si="6"/>
        <v/>
      </c>
      <c r="Z4" s="114">
        <f t="shared" si="7"/>
        <v>0</v>
      </c>
      <c r="AA4" s="114" t="str">
        <f>_xlfn.CONCAT(E4," (",VLOOKUP(E4,[1]Backend!C:D,2,FALSE),")")</f>
        <v xml:space="preserve"> (Zero)</v>
      </c>
      <c r="AB4" s="114" t="str">
        <f t="shared" si="8"/>
        <v>0 - Electrical power supply and controls to  (Zero) fan</v>
      </c>
      <c r="AC4" s="114" t="str">
        <f t="shared" si="9"/>
        <v xml:space="preserve"> with: </v>
      </c>
      <c r="AD4" s="114" t="str">
        <f t="shared" si="10"/>
        <v xml:space="preserve">, </v>
      </c>
      <c r="AE4" s="114" t="str">
        <f t="shared" si="11"/>
        <v>from Local Power Supply</v>
      </c>
      <c r="AF4" s="114" t="str">
        <f>_xlfn.CONCAT(AB4,AC4,AD4,AE4)</f>
        <v>0 - Electrical power supply and controls to  (Zero) fan with: , from Local Power Supply</v>
      </c>
      <c r="AG4" s="114" t="str">
        <f t="shared" si="12"/>
        <v>0.1 - This includes supply and install of power and controls.</v>
      </c>
      <c r="AH4" s="114" t="str">
        <f>_xlfn.CONCAT(Z4,".2 - Power for system includes: ",VLOOKUP(L4,_Fan!N:Q,4,FALSE))</f>
        <v xml:space="preserve">0.2 - Power for system includes: cabling to fan and control panel (from Builder's Electrician's isolator) and local isolator, </v>
      </c>
      <c r="AI4" s="114" t="e">
        <f t="shared" si="1"/>
        <v>#N/A</v>
      </c>
      <c r="AJ4" s="114" t="e">
        <f>_xlfn.CONCAT(IF(M4="Yes",VLOOKUP(M$1,_Fan!N:AB,4,FALSE),""),IF(N4="Yes",VLOOKUP(N$1,_Fan!N:AB,4,FALSE),""),IF(NOT(O4="No"),VLOOKUP(O4,_Fan!N:AB,4,FALSE),""),IF(P4="Yes",VLOOKUP(P$1,_Fan!N:AB,4,FALSE),""),IF(Q4="Yes",VLOOKUP(Q$1,_Fan!N:AB,4,FALSE),""),IF(R4="Yes",VLOOKUP(R$1,_Fan!N:AB,4,FALSE),""),IF(S4="Yes",VLOOKUP(S$1,_Fan!N:AB,4,FALSE),""),IF(T4="Yes",VLOOKUP(T$1,_Fan!N:AB,4,FALSE),""),IF(U4="Yes",VLOOKUP(U$1,_Fan!N:AB,4,FALSE),""))</f>
        <v>#N/A</v>
      </c>
      <c r="AL4" s="114" t="str">
        <f t="shared" si="13"/>
        <v xml:space="preserve">fan with: , </v>
      </c>
    </row>
    <row r="5" spans="1:38" x14ac:dyDescent="0.4">
      <c r="A5" s="429" t="str">
        <f t="shared" si="14"/>
        <v>INVALID</v>
      </c>
      <c r="B5" s="430" t="str">
        <f t="shared" si="2"/>
        <v>Fan 4</v>
      </c>
      <c r="C5" s="431">
        <f t="shared" si="3"/>
        <v>0</v>
      </c>
      <c r="D5" s="430">
        <f t="shared" si="4"/>
        <v>0</v>
      </c>
      <c r="E5" s="430"/>
      <c r="F5" s="430">
        <f t="shared" si="0"/>
        <v>5</v>
      </c>
      <c r="G5" s="430"/>
      <c r="H5" s="430"/>
      <c r="I5" s="430" t="e">
        <f>IF(NOT(W5="No"),VLOOKUP(W5,_Fan!N:P,2,FALSE) + IF(W5="VSD",F5*(VLOOKUP("Switchboard Cable 1mm",'Part List'!$A:$G,3,FALSE) + VLOOKUP("2.5mm Twin and Earth",'Part List'!$A:$G,3,FALSE)*2),F5*(VLOOKUP("7030 2 pair TCAS7302P",'Part List'!$A:$G,3,FALSE) + VLOOKUP("screened 4mm",'Part List'!$A:$G,3,FALSE) + VLOOKUP("4mm Cable 3 core and Earth",'Part List'!$A:$G,3,FALSE))),VLOOKUP(L5,_Fan!N:P,2,FALSE))
+VLOOKUP(O5,_Fan!N:P,2,FALSE)
+IF(X5="Yes", F5*(VLOOKUP("7030 2 pair TCAS7302P",'Part List'!$A:$G,3,FALSE)),0)
+IF(M5="YES",VLOOKUP(M$1,_Fan!N:P,2,FALSE),0)+IF(X5="YES",VLOOKUP(X$1,_Fan!N:P,2,FALSE),0)
+IF(N5="YES",VLOOKUP(N$1,_Fan!N:P,2,FALSE),0)
+IF(P5="YES",VLOOKUP(P$1,_Fan!N:P,2,FALSE),0)
+IF(Q5="YES",VLOOKUP(Q$1,_Fan!N:P,2,FALSE),0)
+IF(R5="YES",VLOOKUP(R$1,_Fan!N:P,2,FALSE),0)
+IF(S5="YES",VLOOKUP(S$1,_Fan!N:P,2,FALSE),0)
+IF(T5="YES",VLOOKUP(T$1,_Fan!N:P,2,FALSE),0)
+IF(U5="YES",VLOOKUP(U$1,_Fan!N:P,2,FALSE),0)</f>
        <v>#N/A</v>
      </c>
      <c r="J5" s="430" t="e">
        <f>IF(NOT(W5="No"),VLOOKUP(W5,_Fan!N:P,3,FALSE) + IF(W5="VSD",F5*(VLOOKUP("Switchboard Cable 1mm",'Part List'!$A:$G,5,FALSE) + VLOOKUP("2.5mm Twin and Earth",'Part List'!$A:$G,5,FALSE)*2),F5*(VLOOKUP("7030 2 pair TCAS7302P",'Part List'!$A:$G,5,FALSE) + VLOOKUP("screened 4mm",'Part List'!$A:$G,5,FALSE))),VLOOKUP(L5,_Fan!N:P,3,FALSE))
+VLOOKUP(O5,_Fan!N:P,3,FALSE)
+IF(X5="Yes", F5*(VLOOKUP("7030 2 pair TCAS7302P",'Part List'!$A:$G,5,FALSE)),0)
+IF(M5="YES",VLOOKUP(M$1,_Fan!N:P,3,FALSE),0)+IF(X5="YES",VLOOKUP(X$1,_Fan!N:P,3,FALSE),0)
+IF(N5="YES",VLOOKUP(N$1,_Fan!N:P,3,FALSE),0)
+IF(P5="YES",VLOOKUP(P$1,_Fan!N:P,3,FALSE),0)
+IF(Q5="YES",VLOOKUP(Q$1,_Fan!N:P,3,FALSE),0)
+IF(R5="YES",VLOOKUP(R$1,_Fan!N:P,3,FALSE),0)
+IF(S5="YES",VLOOKUP(S$1,_Fan!N:P,3,FALSE),0)
+IF(T5="YES",VLOOKUP(T$1,_Fan!N:P,3,FALSE),0)
+IF(U5="YES",VLOOKUP(U$1,_Fan!N:P,3,FALSE),0)</f>
        <v>#N/A</v>
      </c>
      <c r="K5" s="430" t="str">
        <f t="shared" si="5"/>
        <v/>
      </c>
      <c r="L5" s="430" t="s">
        <v>991</v>
      </c>
      <c r="M5" s="430"/>
      <c r="N5" s="430"/>
      <c r="O5" s="430"/>
      <c r="P5" s="430"/>
      <c r="Q5" s="430"/>
      <c r="R5" s="430"/>
      <c r="S5" s="430"/>
      <c r="T5" s="430"/>
      <c r="U5" s="430"/>
      <c r="V5" s="430"/>
      <c r="W5" s="430"/>
      <c r="X5" s="430"/>
      <c r="Y5" s="432" t="str">
        <f t="shared" si="6"/>
        <v/>
      </c>
      <c r="Z5" s="114">
        <f t="shared" si="7"/>
        <v>0</v>
      </c>
      <c r="AA5" s="114" t="str">
        <f>_xlfn.CONCAT(E5," (",VLOOKUP(E5,[1]Backend!C:D,2,FALSE),")")</f>
        <v xml:space="preserve"> (Zero)</v>
      </c>
      <c r="AB5" s="114" t="str">
        <f t="shared" si="8"/>
        <v>0 - Electrical power supply and controls to  (Zero) fan</v>
      </c>
      <c r="AC5" s="114" t="str">
        <f t="shared" si="9"/>
        <v xml:space="preserve"> with: </v>
      </c>
      <c r="AD5" s="114" t="str">
        <f t="shared" si="10"/>
        <v xml:space="preserve">, </v>
      </c>
      <c r="AE5" s="114" t="str">
        <f t="shared" si="11"/>
        <v>from Local Power Supply</v>
      </c>
      <c r="AF5" s="114" t="str">
        <f>_xlfn.CONCAT(AB5,AC5,AD5,AE5)</f>
        <v>0 - Electrical power supply and controls to  (Zero) fan with: , from Local Power Supply</v>
      </c>
      <c r="AG5" s="114" t="str">
        <f t="shared" si="12"/>
        <v>0.1 - This includes supply and install of power and controls.</v>
      </c>
      <c r="AH5" s="114" t="str">
        <f>_xlfn.CONCAT(Z5,".2 - Power for system includes: ",VLOOKUP(L5,_Fan!N:Q,4,FALSE))</f>
        <v xml:space="preserve">0.2 - Power for system includes: cabling to fan and control panel (from Builder's Electrician's isolator) and local isolator, </v>
      </c>
      <c r="AI5" s="114" t="e">
        <f t="shared" si="1"/>
        <v>#N/A</v>
      </c>
      <c r="AJ5" s="114" t="e">
        <f>_xlfn.CONCAT(IF(M5="Yes",VLOOKUP(M$1,_Fan!N:AB,4,FALSE),""),IF(N5="Yes",VLOOKUP(N$1,_Fan!N:AB,4,FALSE),""),IF(NOT(O5="No"),VLOOKUP(O5,_Fan!N:AB,4,FALSE),""),IF(P5="Yes",VLOOKUP(P$1,_Fan!N:AB,4,FALSE),""),IF(Q5="Yes",VLOOKUP(Q$1,_Fan!N:AB,4,FALSE),""),IF(R5="Yes",VLOOKUP(R$1,_Fan!N:AB,4,FALSE),""),IF(S5="Yes",VLOOKUP(S$1,_Fan!N:AB,4,FALSE),""),IF(T5="Yes",VLOOKUP(T$1,_Fan!N:AB,4,FALSE),""),IF(U5="Yes",VLOOKUP(U$1,_Fan!N:AB,4,FALSE),""))</f>
        <v>#N/A</v>
      </c>
      <c r="AL5" s="114" t="str">
        <f t="shared" si="13"/>
        <v xml:space="preserve">fan with: , </v>
      </c>
    </row>
    <row r="6" spans="1:38" x14ac:dyDescent="0.4">
      <c r="A6" s="429" t="str">
        <f t="shared" si="14"/>
        <v>INVALID</v>
      </c>
      <c r="B6" s="430" t="str">
        <f t="shared" si="2"/>
        <v>Fan 5</v>
      </c>
      <c r="C6" s="431">
        <f t="shared" si="3"/>
        <v>0</v>
      </c>
      <c r="D6" s="430">
        <f t="shared" si="4"/>
        <v>0</v>
      </c>
      <c r="E6" s="430"/>
      <c r="F6" s="430">
        <f t="shared" si="0"/>
        <v>20</v>
      </c>
      <c r="G6" s="430"/>
      <c r="H6" s="430"/>
      <c r="I6" s="430" t="e">
        <f>IF(NOT(W6="No"),VLOOKUP(W6,_Fan!N:P,2,FALSE) + IF(W6="VSD",F6*(VLOOKUP("Switchboard Cable 1mm",'Part List'!$A:$G,3,FALSE) + VLOOKUP("2.5mm Twin and Earth",'Part List'!$A:$G,3,FALSE)*2),F6*(VLOOKUP("7030 2 pair TCAS7302P",'Part List'!$A:$G,3,FALSE) + VLOOKUP("screened 4mm",'Part List'!$A:$G,3,FALSE) + VLOOKUP("4mm Cable 3 core and Earth",'Part List'!$A:$G,3,FALSE))),VLOOKUP(L6,_Fan!N:P,2,FALSE))
+VLOOKUP(O6,_Fan!N:P,2,FALSE)
+IF(X6="Yes", F6*(VLOOKUP("7030 2 pair TCAS7302P",'Part List'!$A:$G,3,FALSE)),0)
+IF(M6="YES",VLOOKUP(M$1,_Fan!N:P,2,FALSE),0)+IF(X6="YES",VLOOKUP(X$1,_Fan!N:P,2,FALSE),0)
+IF(N6="YES",VLOOKUP(N$1,_Fan!N:P,2,FALSE),0)
+IF(P6="YES",VLOOKUP(P$1,_Fan!N:P,2,FALSE),0)
+IF(Q6="YES",VLOOKUP(Q$1,_Fan!N:P,2,FALSE),0)
+IF(R6="YES",VLOOKUP(R$1,_Fan!N:P,2,FALSE),0)
+IF(S6="YES",VLOOKUP(S$1,_Fan!N:P,2,FALSE),0)
+IF(T6="YES",VLOOKUP(T$1,_Fan!N:P,2,FALSE),0)
+IF(U6="YES",VLOOKUP(U$1,_Fan!N:P,2,FALSE),0)</f>
        <v>#N/A</v>
      </c>
      <c r="J6" s="430" t="e">
        <f>IF(NOT(W6="No"),VLOOKUP(W6,_Fan!N:P,3,FALSE) + IF(W6="VSD",F6*(VLOOKUP("Switchboard Cable 1mm",'Part List'!$A:$G,5,FALSE) + VLOOKUP("2.5mm Twin and Earth",'Part List'!$A:$G,5,FALSE)*2),F6*(VLOOKUP("7030 2 pair TCAS7302P",'Part List'!$A:$G,5,FALSE) + VLOOKUP("screened 4mm",'Part List'!$A:$G,5,FALSE))),VLOOKUP(L6,_Fan!N:P,3,FALSE))
+VLOOKUP(O6,_Fan!N:P,3,FALSE)
+IF(X6="Yes", F6*(VLOOKUP("7030 2 pair TCAS7302P",'Part List'!$A:$G,5,FALSE)),0)
+IF(M6="YES",VLOOKUP(M$1,_Fan!N:P,3,FALSE),0)+IF(X6="YES",VLOOKUP(X$1,_Fan!N:P,3,FALSE),0)
+IF(N6="YES",VLOOKUP(N$1,_Fan!N:P,3,FALSE),0)
+IF(P6="YES",VLOOKUP(P$1,_Fan!N:P,3,FALSE),0)
+IF(Q6="YES",VLOOKUP(Q$1,_Fan!N:P,3,FALSE),0)
+IF(R6="YES",VLOOKUP(R$1,_Fan!N:P,3,FALSE),0)
+IF(S6="YES",VLOOKUP(S$1,_Fan!N:P,3,FALSE),0)
+IF(T6="YES",VLOOKUP(T$1,_Fan!N:P,3,FALSE),0)
+IF(U6="YES",VLOOKUP(U$1,_Fan!N:P,3,FALSE),0)</f>
        <v>#N/A</v>
      </c>
      <c r="K6" s="430" t="str">
        <f t="shared" si="5"/>
        <v/>
      </c>
      <c r="L6" s="430" t="s">
        <v>678</v>
      </c>
      <c r="M6" s="430"/>
      <c r="N6" s="430"/>
      <c r="O6" s="430"/>
      <c r="P6" s="430"/>
      <c r="Q6" s="430"/>
      <c r="R6" s="430"/>
      <c r="S6" s="430"/>
      <c r="T6" s="430"/>
      <c r="U6" s="430"/>
      <c r="V6" s="430"/>
      <c r="W6" s="430"/>
      <c r="X6" s="430"/>
      <c r="Y6" s="432" t="str">
        <f t="shared" si="6"/>
        <v/>
      </c>
      <c r="Z6" s="114">
        <f t="shared" si="7"/>
        <v>0</v>
      </c>
      <c r="AA6" s="114" t="str">
        <f>_xlfn.CONCAT(E6," (",VLOOKUP(E6,[1]Backend!C:D,2,FALSE),")")</f>
        <v xml:space="preserve"> (Zero)</v>
      </c>
      <c r="AB6" s="114" t="str">
        <f t="shared" si="8"/>
        <v>0 - Electrical power supply and controls to  (Zero) fan</v>
      </c>
      <c r="AC6" s="114" t="str">
        <f t="shared" si="9"/>
        <v xml:space="preserve"> with: </v>
      </c>
      <c r="AD6" s="114" t="str">
        <f t="shared" si="10"/>
        <v xml:space="preserve">, </v>
      </c>
      <c r="AE6" s="114" t="str">
        <f t="shared" si="11"/>
        <v>from MSSB Power Supply</v>
      </c>
      <c r="AF6" s="114" t="str">
        <f t="shared" ref="AF6:AF22" si="15">_xlfn.CONCAT(AB6,AC6,AD6,AE6)</f>
        <v>0 - Electrical power supply and controls to  (Zero) fan with: , from MSSB Power Supply</v>
      </c>
      <c r="AG6" s="114" t="str">
        <f t="shared" si="12"/>
        <v>0.1 - This includes supply and install of power and controls.</v>
      </c>
      <c r="AH6" s="114" t="str">
        <f>_xlfn.CONCAT(Z6,".2 - Power for system includes: ",VLOOKUP(L6,_Fan!N:Q,4,FALSE))</f>
        <v xml:space="preserve">0.2 - Power for system includes: CB and cabling to fan from MSSB, and local isolator, </v>
      </c>
      <c r="AI6" s="114" t="e">
        <f>IF(OR((L6="Local"),NOT(O6="No"),(COUNTIF(M6:U6,"Yes")&gt;0)),_xlfn.CONCAT(Z6,".3 - Controls for system includes: ",_xlfn.CONCAT(AJ6,IF(L6="Local","controls enclosure.","")),""),"")</f>
        <v>#N/A</v>
      </c>
      <c r="AJ6" s="114" t="e">
        <f>_xlfn.CONCAT(IF(M6="Yes",VLOOKUP(M$1,_Fan!N:AB,4,FALSE),""),IF(N6="Yes",VLOOKUP(N$1,_Fan!N:AB,4,FALSE),""),IF(NOT(O6="No"),VLOOKUP(O6,_Fan!N:AB,4,FALSE),""),IF(P6="Yes",VLOOKUP(P$1,_Fan!N:AB,4,FALSE),""),IF(Q6="Yes",VLOOKUP(Q$1,_Fan!N:AB,4,FALSE),""),IF(R6="Yes",VLOOKUP(R$1,_Fan!N:AB,4,FALSE),""),IF(S6="Yes",VLOOKUP(S$1,_Fan!N:AB,4,FALSE),""),IF(T6="Yes",VLOOKUP(T$1,_Fan!N:AB,4,FALSE),""),IF(U6="Yes",VLOOKUP(U$1,_Fan!N:AB,4,FALSE),""))</f>
        <v>#N/A</v>
      </c>
      <c r="AL6" s="114" t="str">
        <f t="shared" si="13"/>
        <v xml:space="preserve">fan with: , </v>
      </c>
    </row>
    <row r="7" spans="1:38" x14ac:dyDescent="0.4">
      <c r="A7" s="429" t="str">
        <f t="shared" si="14"/>
        <v>INVALID</v>
      </c>
      <c r="B7" s="430" t="str">
        <f t="shared" si="2"/>
        <v>Fan 6</v>
      </c>
      <c r="C7" s="431">
        <f t="shared" si="3"/>
        <v>0</v>
      </c>
      <c r="D7" s="430">
        <f t="shared" si="4"/>
        <v>0</v>
      </c>
      <c r="E7" s="430"/>
      <c r="F7" s="430">
        <f t="shared" si="0"/>
        <v>20</v>
      </c>
      <c r="G7" s="430"/>
      <c r="H7" s="430"/>
      <c r="I7" s="430" t="e">
        <f>IF(NOT(W7="No"),VLOOKUP(W7,_Fan!N:P,2,FALSE) + IF(W7="VSD",F7*(VLOOKUP("Switchboard Cable 1mm",'Part List'!$A:$G,3,FALSE) + VLOOKUP("2.5mm Twin and Earth",'Part List'!$A:$G,3,FALSE)*2),F7*(VLOOKUP("7030 2 pair TCAS7302P",'Part List'!$A:$G,3,FALSE) + VLOOKUP("screened 4mm",'Part List'!$A:$G,3,FALSE) + VLOOKUP("4mm Cable 3 core and Earth",'Part List'!$A:$G,3,FALSE))),VLOOKUP(L7,_Fan!N:P,2,FALSE))
+VLOOKUP(O7,_Fan!N:P,2,FALSE)
+IF(X7="Yes", F7*(VLOOKUP("7030 2 pair TCAS7302P",'Part List'!$A:$G,3,FALSE)),0)
+IF(M7="YES",VLOOKUP(M$1,_Fan!N:P,2,FALSE),0)+IF(X7="YES",VLOOKUP(X$1,_Fan!N:P,2,FALSE),0)
+IF(N7="YES",VLOOKUP(N$1,_Fan!N:P,2,FALSE),0)
+IF(P7="YES",VLOOKUP(P$1,_Fan!N:P,2,FALSE),0)
+IF(Q7="YES",VLOOKUP(Q$1,_Fan!N:P,2,FALSE),0)
+IF(R7="YES",VLOOKUP(R$1,_Fan!N:P,2,FALSE),0)
+IF(S7="YES",VLOOKUP(S$1,_Fan!N:P,2,FALSE),0)
+IF(T7="YES",VLOOKUP(T$1,_Fan!N:P,2,FALSE),0)
+IF(U7="YES",VLOOKUP(U$1,_Fan!N:P,2,FALSE),0)</f>
        <v>#N/A</v>
      </c>
      <c r="J7" s="430" t="e">
        <f>IF(NOT(W7="No"),VLOOKUP(W7,_Fan!N:P,3,FALSE) + IF(W7="VSD",F7*(VLOOKUP("Switchboard Cable 1mm",'Part List'!$A:$G,5,FALSE) + VLOOKUP("2.5mm Twin and Earth",'Part List'!$A:$G,5,FALSE)*2),F7*(VLOOKUP("7030 2 pair TCAS7302P",'Part List'!$A:$G,5,FALSE) + VLOOKUP("screened 4mm",'Part List'!$A:$G,5,FALSE))),VLOOKUP(L7,_Fan!N:P,3,FALSE))
+VLOOKUP(O7,_Fan!N:P,3,FALSE)
+IF(X7="Yes", F7*(VLOOKUP("7030 2 pair TCAS7302P",'Part List'!$A:$G,5,FALSE)),0)
+IF(M7="YES",VLOOKUP(M$1,_Fan!N:P,3,FALSE),0)+IF(X7="YES",VLOOKUP(X$1,_Fan!N:P,3,FALSE),0)
+IF(N7="YES",VLOOKUP(N$1,_Fan!N:P,3,FALSE),0)
+IF(P7="YES",VLOOKUP(P$1,_Fan!N:P,3,FALSE),0)
+IF(Q7="YES",VLOOKUP(Q$1,_Fan!N:P,3,FALSE),0)
+IF(R7="YES",VLOOKUP(R$1,_Fan!N:P,3,FALSE),0)
+IF(S7="YES",VLOOKUP(S$1,_Fan!N:P,3,FALSE),0)
+IF(T7="YES",VLOOKUP(T$1,_Fan!N:P,3,FALSE),0)
+IF(U7="YES",VLOOKUP(U$1,_Fan!N:P,3,FALSE),0)</f>
        <v>#N/A</v>
      </c>
      <c r="K7" s="430" t="str">
        <f t="shared" si="5"/>
        <v/>
      </c>
      <c r="L7" s="430" t="s">
        <v>678</v>
      </c>
      <c r="M7" s="430"/>
      <c r="N7" s="430"/>
      <c r="O7" s="430"/>
      <c r="P7" s="430"/>
      <c r="Q7" s="430"/>
      <c r="R7" s="430"/>
      <c r="S7" s="430"/>
      <c r="T7" s="430"/>
      <c r="U7" s="430"/>
      <c r="V7" s="430"/>
      <c r="W7" s="430"/>
      <c r="X7" s="430"/>
      <c r="Y7" s="432" t="str">
        <f t="shared" si="6"/>
        <v/>
      </c>
      <c r="Z7" s="114">
        <f t="shared" si="7"/>
        <v>0</v>
      </c>
      <c r="AA7" s="114" t="str">
        <f>_xlfn.CONCAT(E7," (",VLOOKUP(E7,[1]Backend!C:D,2,FALSE),")")</f>
        <v xml:space="preserve"> (Zero)</v>
      </c>
      <c r="AB7" s="114" t="str">
        <f t="shared" si="8"/>
        <v>0 - Electrical power supply and controls to  (Zero) fan</v>
      </c>
      <c r="AC7" s="114" t="str">
        <f t="shared" si="9"/>
        <v xml:space="preserve"> with: </v>
      </c>
      <c r="AD7" s="114" t="str">
        <f t="shared" si="10"/>
        <v xml:space="preserve">, </v>
      </c>
      <c r="AE7" s="114" t="str">
        <f t="shared" si="11"/>
        <v>from MSSB Power Supply</v>
      </c>
      <c r="AF7" s="114" t="str">
        <f t="shared" si="15"/>
        <v>0 - Electrical power supply and controls to  (Zero) fan with: , from MSSB Power Supply</v>
      </c>
      <c r="AG7" s="114" t="str">
        <f t="shared" si="12"/>
        <v>0.1 - This includes supply and install of power and controls.</v>
      </c>
      <c r="AH7" s="114" t="str">
        <f>_xlfn.CONCAT(Z7,".2 - Power for system includes: ",VLOOKUP(L7,_Fan!N:Q,4,FALSE))</f>
        <v xml:space="preserve">0.2 - Power for system includes: CB and cabling to fan from MSSB, and local isolator, </v>
      </c>
      <c r="AI7" s="114" t="e">
        <f t="shared" si="1"/>
        <v>#N/A</v>
      </c>
      <c r="AJ7" s="114" t="e">
        <f>_xlfn.CONCAT(IF(M7="Yes",VLOOKUP(M$1,_Fan!N:AB,4,FALSE),""),IF(N7="Yes",VLOOKUP(N$1,_Fan!N:AB,4,FALSE),""),IF(NOT(O7="No"),VLOOKUP(O7,_Fan!N:AB,4,FALSE),""),IF(P7="Yes",VLOOKUP(P$1,_Fan!N:AB,4,FALSE),""),IF(Q7="Yes",VLOOKUP(Q$1,_Fan!N:AB,4,FALSE),""),IF(R7="Yes",VLOOKUP(R$1,_Fan!N:AB,4,FALSE),""),IF(S7="Yes",VLOOKUP(S$1,_Fan!N:AB,4,FALSE),""),IF(T7="Yes",VLOOKUP(T$1,_Fan!N:AB,4,FALSE),""),IF(U7="Yes",VLOOKUP(U$1,_Fan!N:AB,4,FALSE),""))</f>
        <v>#N/A</v>
      </c>
      <c r="AL7" s="114" t="str">
        <f t="shared" si="13"/>
        <v xml:space="preserve">fan with: , </v>
      </c>
    </row>
    <row r="8" spans="1:38" x14ac:dyDescent="0.4">
      <c r="A8" s="429" t="str">
        <f t="shared" si="14"/>
        <v>INVALID</v>
      </c>
      <c r="B8" s="430" t="str">
        <f t="shared" si="2"/>
        <v>Fan 7</v>
      </c>
      <c r="C8" s="431">
        <f t="shared" si="3"/>
        <v>0</v>
      </c>
      <c r="D8" s="430">
        <f t="shared" si="4"/>
        <v>0</v>
      </c>
      <c r="E8" s="430"/>
      <c r="F8" s="430">
        <f t="shared" si="0"/>
        <v>20</v>
      </c>
      <c r="G8" s="430"/>
      <c r="H8" s="430"/>
      <c r="I8" s="430" t="e">
        <f>IF(NOT(W8="No"),VLOOKUP(W8,_Fan!N:P,2,FALSE) + IF(W8="VSD",F8*(VLOOKUP("Switchboard Cable 1mm",'Part List'!$A:$G,3,FALSE) + VLOOKUP("2.5mm Twin and Earth",'Part List'!$A:$G,3,FALSE)*2),F8*(VLOOKUP("7030 2 pair TCAS7302P",'Part List'!$A:$G,3,FALSE) + VLOOKUP("screened 4mm",'Part List'!$A:$G,3,FALSE) + VLOOKUP("4mm Cable 3 core and Earth",'Part List'!$A:$G,3,FALSE))),VLOOKUP(L8,_Fan!N:P,2,FALSE))
+VLOOKUP(O8,_Fan!N:P,2,FALSE)
+IF(X8="Yes", F8*(VLOOKUP("7030 2 pair TCAS7302P",'Part List'!$A:$G,3,FALSE)),0)
+IF(M8="YES",VLOOKUP(M$1,_Fan!N:P,2,FALSE),0)+IF(X8="YES",VLOOKUP(X$1,_Fan!N:P,2,FALSE),0)
+IF(N8="YES",VLOOKUP(N$1,_Fan!N:P,2,FALSE),0)
+IF(P8="YES",VLOOKUP(P$1,_Fan!N:P,2,FALSE),0)
+IF(Q8="YES",VLOOKUP(Q$1,_Fan!N:P,2,FALSE),0)
+IF(R8="YES",VLOOKUP(R$1,_Fan!N:P,2,FALSE),0)
+IF(S8="YES",VLOOKUP(S$1,_Fan!N:P,2,FALSE),0)
+IF(T8="YES",VLOOKUP(T$1,_Fan!N:P,2,FALSE),0)
+IF(U8="YES",VLOOKUP(U$1,_Fan!N:P,2,FALSE),0)</f>
        <v>#N/A</v>
      </c>
      <c r="J8" s="430" t="e">
        <f>IF(NOT(W8="No"),VLOOKUP(W8,_Fan!N:P,3,FALSE) + IF(W8="VSD",F8*(VLOOKUP("Switchboard Cable 1mm",'Part List'!$A:$G,5,FALSE) + VLOOKUP("2.5mm Twin and Earth",'Part List'!$A:$G,5,FALSE)*2),F8*(VLOOKUP("7030 2 pair TCAS7302P",'Part List'!$A:$G,5,FALSE) + VLOOKUP("screened 4mm",'Part List'!$A:$G,5,FALSE))),VLOOKUP(L8,_Fan!N:P,3,FALSE))
+VLOOKUP(O8,_Fan!N:P,3,FALSE)
+IF(X8="Yes", F8*(VLOOKUP("7030 2 pair TCAS7302P",'Part List'!$A:$G,5,FALSE)),0)
+IF(M8="YES",VLOOKUP(M$1,_Fan!N:P,3,FALSE),0)+IF(X8="YES",VLOOKUP(X$1,_Fan!N:P,3,FALSE),0)
+IF(N8="YES",VLOOKUP(N$1,_Fan!N:P,3,FALSE),0)
+IF(P8="YES",VLOOKUP(P$1,_Fan!N:P,3,FALSE),0)
+IF(Q8="YES",VLOOKUP(Q$1,_Fan!N:P,3,FALSE),0)
+IF(R8="YES",VLOOKUP(R$1,_Fan!N:P,3,FALSE),0)
+IF(S8="YES",VLOOKUP(S$1,_Fan!N:P,3,FALSE),0)
+IF(T8="YES",VLOOKUP(T$1,_Fan!N:P,3,FALSE),0)
+IF(U8="YES",VLOOKUP(U$1,_Fan!N:P,3,FALSE),0)</f>
        <v>#N/A</v>
      </c>
      <c r="K8" s="430" t="str">
        <f t="shared" si="5"/>
        <v/>
      </c>
      <c r="L8" s="430" t="s">
        <v>678</v>
      </c>
      <c r="M8" s="430"/>
      <c r="N8" s="430"/>
      <c r="O8" s="430"/>
      <c r="P8" s="430"/>
      <c r="Q8" s="430"/>
      <c r="R8" s="430"/>
      <c r="S8" s="430"/>
      <c r="T8" s="430"/>
      <c r="U8" s="430"/>
      <c r="V8" s="430"/>
      <c r="W8" s="430"/>
      <c r="X8" s="430"/>
      <c r="Y8" s="432" t="str">
        <f t="shared" si="6"/>
        <v/>
      </c>
      <c r="Z8" s="114">
        <f t="shared" si="7"/>
        <v>0</v>
      </c>
      <c r="AA8" s="114" t="str">
        <f>_xlfn.CONCAT(E8," (",VLOOKUP(E8,[1]Backend!C:D,2,FALSE),")")</f>
        <v xml:space="preserve"> (Zero)</v>
      </c>
      <c r="AB8" s="114" t="str">
        <f t="shared" si="8"/>
        <v>0 - Electrical power supply and controls to  (Zero) fan</v>
      </c>
      <c r="AC8" s="114" t="str">
        <f t="shared" si="9"/>
        <v xml:space="preserve"> with: </v>
      </c>
      <c r="AD8" s="114" t="str">
        <f t="shared" si="10"/>
        <v xml:space="preserve">, </v>
      </c>
      <c r="AE8" s="114" t="str">
        <f t="shared" si="11"/>
        <v>from MSSB Power Supply</v>
      </c>
      <c r="AF8" s="114" t="str">
        <f t="shared" si="15"/>
        <v>0 - Electrical power supply and controls to  (Zero) fan with: , from MSSB Power Supply</v>
      </c>
      <c r="AG8" s="114" t="str">
        <f t="shared" si="12"/>
        <v>0.1 - This includes supply and install of power and controls.</v>
      </c>
      <c r="AH8" s="114" t="str">
        <f>_xlfn.CONCAT(Z8,".2 - Power for system includes: ",VLOOKUP(L8,_Fan!N:Q,4,FALSE))</f>
        <v xml:space="preserve">0.2 - Power for system includes: CB and cabling to fan from MSSB, and local isolator, </v>
      </c>
      <c r="AI8" s="114" t="e">
        <f t="shared" si="1"/>
        <v>#N/A</v>
      </c>
      <c r="AJ8" s="114" t="e">
        <f>_xlfn.CONCAT(IF(M8="Yes",VLOOKUP(M$1,_Fan!N:AB,4,FALSE),""),IF(N8="Yes",VLOOKUP(N$1,_Fan!N:AB,4,FALSE),""),IF(NOT(O8="No"),VLOOKUP(O8,_Fan!N:AB,4,FALSE),""),IF(P8="Yes",VLOOKUP(P$1,_Fan!N:AB,4,FALSE),""),IF(Q8="Yes",VLOOKUP(Q$1,_Fan!N:AB,4,FALSE),""),IF(R8="Yes",VLOOKUP(R$1,_Fan!N:AB,4,FALSE),""),IF(S8="Yes",VLOOKUP(S$1,_Fan!N:AB,4,FALSE),""),IF(T8="Yes",VLOOKUP(T$1,_Fan!N:AB,4,FALSE),""),IF(U8="Yes",VLOOKUP(U$1,_Fan!N:AB,4,FALSE),""))</f>
        <v>#N/A</v>
      </c>
      <c r="AL8" s="114" t="str">
        <f t="shared" si="13"/>
        <v xml:space="preserve">fan with: , </v>
      </c>
    </row>
    <row r="9" spans="1:38" x14ac:dyDescent="0.4">
      <c r="A9" s="429" t="str">
        <f t="shared" si="14"/>
        <v>INVALID</v>
      </c>
      <c r="B9" s="430" t="str">
        <f t="shared" si="2"/>
        <v>Fan 8</v>
      </c>
      <c r="C9" s="431">
        <f t="shared" si="3"/>
        <v>0</v>
      </c>
      <c r="D9" s="430">
        <f t="shared" si="4"/>
        <v>0</v>
      </c>
      <c r="E9" s="430"/>
      <c r="F9" s="430">
        <f t="shared" si="0"/>
        <v>20</v>
      </c>
      <c r="G9" s="430"/>
      <c r="H9" s="430"/>
      <c r="I9" s="430" t="e">
        <f>IF(NOT(W9="No"),VLOOKUP(W9,_Fan!N:P,2,FALSE) + IF(W9="VSD",F9*(VLOOKUP("Switchboard Cable 1mm",'Part List'!$A:$G,3,FALSE) + VLOOKUP("2.5mm Twin and Earth",'Part List'!$A:$G,3,FALSE)*2),F9*(VLOOKUP("7030 2 pair TCAS7302P",'Part List'!$A:$G,3,FALSE) + VLOOKUP("screened 4mm",'Part List'!$A:$G,3,FALSE) + VLOOKUP("4mm Cable 3 core and Earth",'Part List'!$A:$G,3,FALSE))),VLOOKUP(L9,_Fan!N:P,2,FALSE))
+VLOOKUP(O9,_Fan!N:P,2,FALSE)
+IF(X9="Yes", F9*(VLOOKUP("7030 2 pair TCAS7302P",'Part List'!$A:$G,3,FALSE)),0)
+IF(M9="YES",VLOOKUP(M$1,_Fan!N:P,2,FALSE),0)+IF(X9="YES",VLOOKUP(X$1,_Fan!N:P,2,FALSE),0)
+IF(N9="YES",VLOOKUP(N$1,_Fan!N:P,2,FALSE),0)
+IF(P9="YES",VLOOKUP(P$1,_Fan!N:P,2,FALSE),0)
+IF(Q9="YES",VLOOKUP(Q$1,_Fan!N:P,2,FALSE),0)
+IF(R9="YES",VLOOKUP(R$1,_Fan!N:P,2,FALSE),0)
+IF(S9="YES",VLOOKUP(S$1,_Fan!N:P,2,FALSE),0)
+IF(T9="YES",VLOOKUP(T$1,_Fan!N:P,2,FALSE),0)
+IF(U9="YES",VLOOKUP(U$1,_Fan!N:P,2,FALSE),0)</f>
        <v>#N/A</v>
      </c>
      <c r="J9" s="430" t="e">
        <f>IF(NOT(W9="No"),VLOOKUP(W9,_Fan!N:P,3,FALSE) + IF(W9="VSD",F9*(VLOOKUP("Switchboard Cable 1mm",'Part List'!$A:$G,5,FALSE) + VLOOKUP("2.5mm Twin and Earth",'Part List'!$A:$G,5,FALSE)*2),F9*(VLOOKUP("7030 2 pair TCAS7302P",'Part List'!$A:$G,5,FALSE) + VLOOKUP("screened 4mm",'Part List'!$A:$G,5,FALSE))),VLOOKUP(L9,_Fan!N:P,3,FALSE))
+VLOOKUP(O9,_Fan!N:P,3,FALSE)
+IF(X9="Yes", F9*(VLOOKUP("7030 2 pair TCAS7302P",'Part List'!$A:$G,5,FALSE)),0)
+IF(M9="YES",VLOOKUP(M$1,_Fan!N:P,3,FALSE),0)+IF(X9="YES",VLOOKUP(X$1,_Fan!N:P,3,FALSE),0)
+IF(N9="YES",VLOOKUP(N$1,_Fan!N:P,3,FALSE),0)
+IF(P9="YES",VLOOKUP(P$1,_Fan!N:P,3,FALSE),0)
+IF(Q9="YES",VLOOKUP(Q$1,_Fan!N:P,3,FALSE),0)
+IF(R9="YES",VLOOKUP(R$1,_Fan!N:P,3,FALSE),0)
+IF(S9="YES",VLOOKUP(S$1,_Fan!N:P,3,FALSE),0)
+IF(T9="YES",VLOOKUP(T$1,_Fan!N:P,3,FALSE),0)
+IF(U9="YES",VLOOKUP(U$1,_Fan!N:P,3,FALSE),0)</f>
        <v>#N/A</v>
      </c>
      <c r="K9" s="430" t="str">
        <f t="shared" si="5"/>
        <v/>
      </c>
      <c r="L9" s="430" t="s">
        <v>678</v>
      </c>
      <c r="M9" s="430"/>
      <c r="N9" s="430"/>
      <c r="O9" s="430"/>
      <c r="P9" s="430"/>
      <c r="Q9" s="430"/>
      <c r="R9" s="430"/>
      <c r="S9" s="430"/>
      <c r="T9" s="430"/>
      <c r="U9" s="430"/>
      <c r="V9" s="430"/>
      <c r="W9" s="430"/>
      <c r="X9" s="430"/>
      <c r="Y9" s="432" t="str">
        <f t="shared" si="6"/>
        <v/>
      </c>
      <c r="Z9" s="114">
        <f t="shared" si="7"/>
        <v>0</v>
      </c>
      <c r="AA9" s="114" t="str">
        <f>_xlfn.CONCAT(E9," (",VLOOKUP(E9,[1]Backend!C:D,2,FALSE),")")</f>
        <v xml:space="preserve"> (Zero)</v>
      </c>
      <c r="AB9" s="114" t="str">
        <f t="shared" si="8"/>
        <v>0 - Electrical power supply and controls to  (Zero) fan</v>
      </c>
      <c r="AC9" s="114" t="str">
        <f t="shared" si="9"/>
        <v xml:space="preserve"> with: </v>
      </c>
      <c r="AD9" s="114" t="str">
        <f t="shared" si="10"/>
        <v xml:space="preserve">, </v>
      </c>
      <c r="AE9" s="114" t="str">
        <f t="shared" si="11"/>
        <v>from MSSB Power Supply</v>
      </c>
      <c r="AF9" s="114" t="str">
        <f t="shared" si="15"/>
        <v>0 - Electrical power supply and controls to  (Zero) fan with: , from MSSB Power Supply</v>
      </c>
      <c r="AG9" s="114" t="str">
        <f t="shared" si="12"/>
        <v>0.1 - This includes supply and install of power and controls.</v>
      </c>
      <c r="AH9" s="114" t="str">
        <f>_xlfn.CONCAT(Z9,".2 - Power for system includes: ",VLOOKUP(L9,_Fan!N:Q,4,FALSE))</f>
        <v xml:space="preserve">0.2 - Power for system includes: CB and cabling to fan from MSSB, and local isolator, </v>
      </c>
      <c r="AI9" s="114" t="e">
        <f t="shared" si="1"/>
        <v>#N/A</v>
      </c>
      <c r="AJ9" s="114" t="e">
        <f>_xlfn.CONCAT(IF(M9="Yes",VLOOKUP(M$1,_Fan!N:AB,4,FALSE),""),IF(N9="Yes",VLOOKUP(N$1,_Fan!N:AB,4,FALSE),""),IF(NOT(O9="No"),VLOOKUP(O9,_Fan!N:AB,4,FALSE),""),IF(P9="Yes",VLOOKUP(P$1,_Fan!N:AB,4,FALSE),""),IF(Q9="Yes",VLOOKUP(Q$1,_Fan!N:AB,4,FALSE),""),IF(R9="Yes",VLOOKUP(R$1,_Fan!N:AB,4,FALSE),""),IF(S9="Yes",VLOOKUP(S$1,_Fan!N:AB,4,FALSE),""),IF(T9="Yes",VLOOKUP(T$1,_Fan!N:AB,4,FALSE),""),IF(U9="Yes",VLOOKUP(U$1,_Fan!N:AB,4,FALSE),""))</f>
        <v>#N/A</v>
      </c>
      <c r="AL9" s="114" t="str">
        <f t="shared" si="13"/>
        <v xml:space="preserve">fan with: , </v>
      </c>
    </row>
    <row r="10" spans="1:38" x14ac:dyDescent="0.4">
      <c r="A10" s="429" t="str">
        <f t="shared" si="14"/>
        <v>INVALID</v>
      </c>
      <c r="B10" s="430" t="str">
        <f t="shared" si="2"/>
        <v>Fan 9</v>
      </c>
      <c r="C10" s="431">
        <f t="shared" si="3"/>
        <v>0</v>
      </c>
      <c r="D10" s="430">
        <f t="shared" si="4"/>
        <v>0</v>
      </c>
      <c r="E10" s="430"/>
      <c r="F10" s="430">
        <f t="shared" si="0"/>
        <v>20</v>
      </c>
      <c r="G10" s="430"/>
      <c r="H10" s="430"/>
      <c r="I10" s="430" t="e">
        <f>IF(NOT(W10="No"),VLOOKUP(W10,_Fan!N:P,2,FALSE) + IF(W10="VSD",F10*(VLOOKUP("Switchboard Cable 1mm",'Part List'!$A:$G,3,FALSE) + VLOOKUP("2.5mm Twin and Earth",'Part List'!$A:$G,3,FALSE)*2),F10*(VLOOKUP("7030 2 pair TCAS7302P",'Part List'!$A:$G,3,FALSE) + VLOOKUP("screened 4mm",'Part List'!$A:$G,3,FALSE) + VLOOKUP("4mm Cable 3 core and Earth",'Part List'!$A:$G,3,FALSE))),VLOOKUP(L10,_Fan!N:P,2,FALSE))
+VLOOKUP(O10,_Fan!N:P,2,FALSE)
+IF(X10="Yes", F10*(VLOOKUP("7030 2 pair TCAS7302P",'Part List'!$A:$G,3,FALSE)),0)
+IF(M10="YES",VLOOKUP(M$1,_Fan!N:P,2,FALSE),0)+IF(X10="YES",VLOOKUP(X$1,_Fan!N:P,2,FALSE),0)
+IF(N10="YES",VLOOKUP(N$1,_Fan!N:P,2,FALSE),0)
+IF(P10="YES",VLOOKUP(P$1,_Fan!N:P,2,FALSE),0)
+IF(Q10="YES",VLOOKUP(Q$1,_Fan!N:P,2,FALSE),0)
+IF(R10="YES",VLOOKUP(R$1,_Fan!N:P,2,FALSE),0)
+IF(S10="YES",VLOOKUP(S$1,_Fan!N:P,2,FALSE),0)
+IF(T10="YES",VLOOKUP(T$1,_Fan!N:P,2,FALSE),0)
+IF(U10="YES",VLOOKUP(U$1,_Fan!N:P,2,FALSE),0)</f>
        <v>#N/A</v>
      </c>
      <c r="J10" s="430" t="e">
        <f>IF(NOT(W10="No"),VLOOKUP(W10,_Fan!N:P,3,FALSE) + IF(W10="VSD",F10*(VLOOKUP("Switchboard Cable 1mm",'Part List'!$A:$G,5,FALSE) + VLOOKUP("2.5mm Twin and Earth",'Part List'!$A:$G,5,FALSE)*2),F10*(VLOOKUP("7030 2 pair TCAS7302P",'Part List'!$A:$G,5,FALSE) + VLOOKUP("screened 4mm",'Part List'!$A:$G,5,FALSE))),VLOOKUP(L10,_Fan!N:P,3,FALSE))
+VLOOKUP(O10,_Fan!N:P,3,FALSE)
+IF(X10="Yes", F10*(VLOOKUP("7030 2 pair TCAS7302P",'Part List'!$A:$G,5,FALSE)),0)
+IF(M10="YES",VLOOKUP(M$1,_Fan!N:P,3,FALSE),0)+IF(X10="YES",VLOOKUP(X$1,_Fan!N:P,3,FALSE),0)
+IF(N10="YES",VLOOKUP(N$1,_Fan!N:P,3,FALSE),0)
+IF(P10="YES",VLOOKUP(P$1,_Fan!N:P,3,FALSE),0)
+IF(Q10="YES",VLOOKUP(Q$1,_Fan!N:P,3,FALSE),0)
+IF(R10="YES",VLOOKUP(R$1,_Fan!N:P,3,FALSE),0)
+IF(S10="YES",VLOOKUP(S$1,_Fan!N:P,3,FALSE),0)
+IF(T10="YES",VLOOKUP(T$1,_Fan!N:P,3,FALSE),0)
+IF(U10="YES",VLOOKUP(U$1,_Fan!N:P,3,FALSE),0)</f>
        <v>#N/A</v>
      </c>
      <c r="K10" s="430" t="str">
        <f t="shared" si="5"/>
        <v/>
      </c>
      <c r="L10" s="430" t="s">
        <v>678</v>
      </c>
      <c r="M10" s="430"/>
      <c r="N10" s="430"/>
      <c r="O10" s="430"/>
      <c r="P10" s="430"/>
      <c r="Q10" s="430"/>
      <c r="R10" s="430"/>
      <c r="S10" s="430"/>
      <c r="T10" s="430"/>
      <c r="U10" s="430"/>
      <c r="V10" s="430"/>
      <c r="W10" s="430"/>
      <c r="X10" s="430"/>
      <c r="Y10" s="432" t="str">
        <f t="shared" si="6"/>
        <v/>
      </c>
      <c r="Z10" s="114">
        <f t="shared" si="7"/>
        <v>0</v>
      </c>
      <c r="AA10" s="114" t="str">
        <f>_xlfn.CONCAT(E10," (",VLOOKUP(E10,[1]Backend!C:D,2,FALSE),")")</f>
        <v xml:space="preserve"> (Zero)</v>
      </c>
      <c r="AB10" s="114" t="str">
        <f t="shared" si="8"/>
        <v>0 - Electrical power supply and controls to  (Zero) fan</v>
      </c>
      <c r="AC10" s="114" t="str">
        <f t="shared" si="9"/>
        <v xml:space="preserve"> with: </v>
      </c>
      <c r="AD10" s="114" t="str">
        <f t="shared" si="10"/>
        <v xml:space="preserve">, </v>
      </c>
      <c r="AE10" s="114" t="str">
        <f t="shared" si="11"/>
        <v>from MSSB Power Supply</v>
      </c>
      <c r="AF10" s="114" t="str">
        <f t="shared" si="15"/>
        <v>0 - Electrical power supply and controls to  (Zero) fan with: , from MSSB Power Supply</v>
      </c>
      <c r="AG10" s="114" t="str">
        <f t="shared" si="12"/>
        <v>0.1 - This includes supply and install of power and controls.</v>
      </c>
      <c r="AH10" s="114" t="str">
        <f>_xlfn.CONCAT(Z10,".2 - Power for system includes: ",VLOOKUP(L10,_Fan!N:Q,4,FALSE))</f>
        <v xml:space="preserve">0.2 - Power for system includes: CB and cabling to fan from MSSB, and local isolator, </v>
      </c>
      <c r="AI10" s="114" t="e">
        <f t="shared" si="1"/>
        <v>#N/A</v>
      </c>
      <c r="AJ10" s="114" t="e">
        <f>_xlfn.CONCAT(IF(M10="Yes",VLOOKUP(M$1,_Fan!N:AB,4,FALSE),""),IF(N10="Yes",VLOOKUP(N$1,_Fan!N:AB,4,FALSE),""),IF(NOT(O10="No"),VLOOKUP(O10,_Fan!N:AB,4,FALSE),""),IF(P10="Yes",VLOOKUP(P$1,_Fan!N:AB,4,FALSE),""),IF(Q10="Yes",VLOOKUP(Q$1,_Fan!N:AB,4,FALSE),""),IF(R10="Yes",VLOOKUP(R$1,_Fan!N:AB,4,FALSE),""),IF(S10="Yes",VLOOKUP(S$1,_Fan!N:AB,4,FALSE),""),IF(T10="Yes",VLOOKUP(T$1,_Fan!N:AB,4,FALSE),""),IF(U10="Yes",VLOOKUP(U$1,_Fan!N:AB,4,FALSE),""))</f>
        <v>#N/A</v>
      </c>
      <c r="AL10" s="114" t="str">
        <f t="shared" si="13"/>
        <v xml:space="preserve">fan with: , </v>
      </c>
    </row>
    <row r="11" spans="1:38" x14ac:dyDescent="0.4">
      <c r="A11" s="429" t="str">
        <f t="shared" si="14"/>
        <v>INVALID</v>
      </c>
      <c r="B11" s="430" t="str">
        <f t="shared" si="2"/>
        <v>Fan 10</v>
      </c>
      <c r="C11" s="431">
        <f t="shared" si="3"/>
        <v>0</v>
      </c>
      <c r="D11" s="430">
        <f t="shared" si="4"/>
        <v>0</v>
      </c>
      <c r="E11" s="430"/>
      <c r="F11" s="430">
        <f t="shared" si="0"/>
        <v>20</v>
      </c>
      <c r="G11" s="430"/>
      <c r="H11" s="430"/>
      <c r="I11" s="430" t="e">
        <f>IF(NOT(W11="No"),VLOOKUP(W11,_Fan!N:P,2,FALSE) + IF(W11="VSD",F11*(VLOOKUP("Switchboard Cable 1mm",'Part List'!$A:$G,3,FALSE) + VLOOKUP("2.5mm Twin and Earth",'Part List'!$A:$G,3,FALSE)*2),F11*(VLOOKUP("7030 2 pair TCAS7302P",'Part List'!$A:$G,3,FALSE) + VLOOKUP("screened 4mm",'Part List'!$A:$G,3,FALSE) + VLOOKUP("4mm Cable 3 core and Earth",'Part List'!$A:$G,3,FALSE))),VLOOKUP(L11,_Fan!N:P,2,FALSE))
+VLOOKUP(O11,_Fan!N:P,2,FALSE)
+IF(X11="Yes", F11*(VLOOKUP("7030 2 pair TCAS7302P",'Part List'!$A:$G,3,FALSE)),0)
+IF(M11="YES",VLOOKUP(M$1,_Fan!N:P,2,FALSE),0)+IF(X11="YES",VLOOKUP(X$1,_Fan!N:P,2,FALSE),0)
+IF(N11="YES",VLOOKUP(N$1,_Fan!N:P,2,FALSE),0)
+IF(P11="YES",VLOOKUP(P$1,_Fan!N:P,2,FALSE),0)
+IF(Q11="YES",VLOOKUP(Q$1,_Fan!N:P,2,FALSE),0)
+IF(R11="YES",VLOOKUP(R$1,_Fan!N:P,2,FALSE),0)
+IF(S11="YES",VLOOKUP(S$1,_Fan!N:P,2,FALSE),0)
+IF(T11="YES",VLOOKUP(T$1,_Fan!N:P,2,FALSE),0)
+IF(U11="YES",VLOOKUP(U$1,_Fan!N:P,2,FALSE),0)</f>
        <v>#N/A</v>
      </c>
      <c r="J11" s="430" t="e">
        <f>IF(NOT(W11="No"),VLOOKUP(W11,_Fan!N:P,3,FALSE) + IF(W11="VSD",F11*(VLOOKUP("Switchboard Cable 1mm",'Part List'!$A:$G,5,FALSE) + VLOOKUP("2.5mm Twin and Earth",'Part List'!$A:$G,5,FALSE)*2),F11*(VLOOKUP("7030 2 pair TCAS7302P",'Part List'!$A:$G,5,FALSE) + VLOOKUP("screened 4mm",'Part List'!$A:$G,5,FALSE))),VLOOKUP(L11,_Fan!N:P,3,FALSE))
+VLOOKUP(O11,_Fan!N:P,3,FALSE)
+IF(X11="Yes", F11*(VLOOKUP("7030 2 pair TCAS7302P",'Part List'!$A:$G,5,FALSE)),0)
+IF(M11="YES",VLOOKUP(M$1,_Fan!N:P,3,FALSE),0)+IF(X11="YES",VLOOKUP(X$1,_Fan!N:P,3,FALSE),0)
+IF(N11="YES",VLOOKUP(N$1,_Fan!N:P,3,FALSE),0)
+IF(P11="YES",VLOOKUP(P$1,_Fan!N:P,3,FALSE),0)
+IF(Q11="YES",VLOOKUP(Q$1,_Fan!N:P,3,FALSE),0)
+IF(R11="YES",VLOOKUP(R$1,_Fan!N:P,3,FALSE),0)
+IF(S11="YES",VLOOKUP(S$1,_Fan!N:P,3,FALSE),0)
+IF(T11="YES",VLOOKUP(T$1,_Fan!N:P,3,FALSE),0)
+IF(U11="YES",VLOOKUP(U$1,_Fan!N:P,3,FALSE),0)</f>
        <v>#N/A</v>
      </c>
      <c r="K11" s="430" t="str">
        <f t="shared" si="5"/>
        <v/>
      </c>
      <c r="L11" s="430" t="s">
        <v>678</v>
      </c>
      <c r="M11" s="430"/>
      <c r="N11" s="430"/>
      <c r="O11" s="430"/>
      <c r="P11" s="430"/>
      <c r="Q11" s="430"/>
      <c r="R11" s="430"/>
      <c r="S11" s="430"/>
      <c r="T11" s="430"/>
      <c r="U11" s="430"/>
      <c r="V11" s="430"/>
      <c r="W11" s="430"/>
      <c r="X11" s="430"/>
      <c r="Y11" s="432" t="str">
        <f t="shared" si="6"/>
        <v/>
      </c>
      <c r="Z11" s="114">
        <f t="shared" si="7"/>
        <v>0</v>
      </c>
      <c r="AA11" s="114" t="str">
        <f>_xlfn.CONCAT(E11," (",VLOOKUP(E11,[1]Backend!C:D,2,FALSE),")")</f>
        <v xml:space="preserve"> (Zero)</v>
      </c>
      <c r="AB11" s="114" t="str">
        <f t="shared" si="8"/>
        <v>0 - Electrical power supply and controls to  (Zero) fan</v>
      </c>
      <c r="AC11" s="114" t="str">
        <f t="shared" si="9"/>
        <v xml:space="preserve"> with: </v>
      </c>
      <c r="AD11" s="114" t="str">
        <f t="shared" si="10"/>
        <v xml:space="preserve">, </v>
      </c>
      <c r="AE11" s="114" t="str">
        <f t="shared" si="11"/>
        <v>from MSSB Power Supply</v>
      </c>
      <c r="AF11" s="114" t="str">
        <f t="shared" si="15"/>
        <v>0 - Electrical power supply and controls to  (Zero) fan with: , from MSSB Power Supply</v>
      </c>
      <c r="AG11" s="114" t="str">
        <f t="shared" si="12"/>
        <v>0.1 - This includes supply and install of power and controls.</v>
      </c>
      <c r="AH11" s="114" t="str">
        <f>_xlfn.CONCAT(Z11,".2 - Power for system includes: ",VLOOKUP(L11,_Fan!N:Q,4,FALSE))</f>
        <v xml:space="preserve">0.2 - Power for system includes: CB and cabling to fan from MSSB, and local isolator, </v>
      </c>
      <c r="AI11" s="114" t="e">
        <f t="shared" si="1"/>
        <v>#N/A</v>
      </c>
      <c r="AJ11" s="114" t="e">
        <f>_xlfn.CONCAT(IF(M11="Yes",VLOOKUP(M$1,_Fan!N:AB,4,FALSE),""),IF(N11="Yes",VLOOKUP(N$1,_Fan!N:AB,4,FALSE),""),IF(NOT(O11="No"),VLOOKUP(O11,_Fan!N:AB,4,FALSE),""),IF(P11="Yes",VLOOKUP(P$1,_Fan!N:AB,4,FALSE),""),IF(Q11="Yes",VLOOKUP(Q$1,_Fan!N:AB,4,FALSE),""),IF(R11="Yes",VLOOKUP(R$1,_Fan!N:AB,4,FALSE),""),IF(S11="Yes",VLOOKUP(S$1,_Fan!N:AB,4,FALSE),""),IF(T11="Yes",VLOOKUP(T$1,_Fan!N:AB,4,FALSE),""),IF(U11="Yes",VLOOKUP(U$1,_Fan!N:AB,4,FALSE),""))</f>
        <v>#N/A</v>
      </c>
      <c r="AL11" s="114" t="str">
        <f t="shared" si="13"/>
        <v xml:space="preserve">fan with: , </v>
      </c>
    </row>
    <row r="12" spans="1:38" x14ac:dyDescent="0.4">
      <c r="A12" s="429" t="str">
        <f t="shared" si="14"/>
        <v>INVALID</v>
      </c>
      <c r="B12" s="430" t="str">
        <f t="shared" si="2"/>
        <v>Fan 11</v>
      </c>
      <c r="C12" s="431">
        <f t="shared" si="3"/>
        <v>0</v>
      </c>
      <c r="D12" s="430">
        <f t="shared" si="4"/>
        <v>0</v>
      </c>
      <c r="E12" s="430"/>
      <c r="F12" s="430">
        <f t="shared" si="0"/>
        <v>20</v>
      </c>
      <c r="G12" s="430"/>
      <c r="H12" s="430"/>
      <c r="I12" s="430" t="e">
        <f>IF(NOT(W12="No"),VLOOKUP(W12,_Fan!N:P,2,FALSE) + IF(W12="VSD",F12*(VLOOKUP("Switchboard Cable 1mm",'Part List'!$A:$G,3,FALSE) + VLOOKUP("2.5mm Twin and Earth",'Part List'!$A:$G,3,FALSE)*2),F12*(VLOOKUP("7030 2 pair TCAS7302P",'Part List'!$A:$G,3,FALSE) + VLOOKUP("screened 4mm",'Part List'!$A:$G,3,FALSE) + VLOOKUP("4mm Cable 3 core and Earth",'Part List'!$A:$G,3,FALSE))),VLOOKUP(L12,_Fan!N:P,2,FALSE))
+VLOOKUP(O12,_Fan!N:P,2,FALSE)
+IF(X12="Yes", F12*(VLOOKUP("7030 2 pair TCAS7302P",'Part List'!$A:$G,3,FALSE)),0)
+IF(M12="YES",VLOOKUP(M$1,_Fan!N:P,2,FALSE),0)+IF(X12="YES",VLOOKUP(X$1,_Fan!N:P,2,FALSE),0)
+IF(N12="YES",VLOOKUP(N$1,_Fan!N:P,2,FALSE),0)
+IF(P12="YES",VLOOKUP(P$1,_Fan!N:P,2,FALSE),0)
+IF(Q12="YES",VLOOKUP(Q$1,_Fan!N:P,2,FALSE),0)
+IF(R12="YES",VLOOKUP(R$1,_Fan!N:P,2,FALSE),0)
+IF(S12="YES",VLOOKUP(S$1,_Fan!N:P,2,FALSE),0)
+IF(T12="YES",VLOOKUP(T$1,_Fan!N:P,2,FALSE),0)
+IF(U12="YES",VLOOKUP(U$1,_Fan!N:P,2,FALSE),0)</f>
        <v>#N/A</v>
      </c>
      <c r="J12" s="430" t="e">
        <f>IF(NOT(W12="No"),VLOOKUP(W12,_Fan!N:P,3,FALSE) + IF(W12="VSD",F12*(VLOOKUP("Switchboard Cable 1mm",'Part List'!$A:$G,5,FALSE) + VLOOKUP("2.5mm Twin and Earth",'Part List'!$A:$G,5,FALSE)*2),F12*(VLOOKUP("7030 2 pair TCAS7302P",'Part List'!$A:$G,5,FALSE) + VLOOKUP("screened 4mm",'Part List'!$A:$G,5,FALSE))),VLOOKUP(L12,_Fan!N:P,3,FALSE))
+VLOOKUP(O12,_Fan!N:P,3,FALSE)
+IF(X12="Yes", F12*(VLOOKUP("7030 2 pair TCAS7302P",'Part List'!$A:$G,5,FALSE)),0)
+IF(M12="YES",VLOOKUP(M$1,_Fan!N:P,3,FALSE),0)+IF(X12="YES",VLOOKUP(X$1,_Fan!N:P,3,FALSE),0)
+IF(N12="YES",VLOOKUP(N$1,_Fan!N:P,3,FALSE),0)
+IF(P12="YES",VLOOKUP(P$1,_Fan!N:P,3,FALSE),0)
+IF(Q12="YES",VLOOKUP(Q$1,_Fan!N:P,3,FALSE),0)
+IF(R12="YES",VLOOKUP(R$1,_Fan!N:P,3,FALSE),0)
+IF(S12="YES",VLOOKUP(S$1,_Fan!N:P,3,FALSE),0)
+IF(T12="YES",VLOOKUP(T$1,_Fan!N:P,3,FALSE),0)
+IF(U12="YES",VLOOKUP(U$1,_Fan!N:P,3,FALSE),0)</f>
        <v>#N/A</v>
      </c>
      <c r="K12" s="430" t="str">
        <f t="shared" si="5"/>
        <v/>
      </c>
      <c r="L12" s="430" t="s">
        <v>678</v>
      </c>
      <c r="M12" s="430"/>
      <c r="N12" s="430"/>
      <c r="O12" s="430"/>
      <c r="P12" s="430"/>
      <c r="Q12" s="430"/>
      <c r="R12" s="430"/>
      <c r="S12" s="430"/>
      <c r="T12" s="430"/>
      <c r="U12" s="430"/>
      <c r="V12" s="430"/>
      <c r="W12" s="430"/>
      <c r="X12" s="430"/>
      <c r="Y12" s="432" t="str">
        <f t="shared" si="6"/>
        <v/>
      </c>
      <c r="Z12" s="114">
        <f t="shared" si="7"/>
        <v>0</v>
      </c>
      <c r="AA12" s="114" t="str">
        <f>_xlfn.CONCAT(E12," (",VLOOKUP(E12,[1]Backend!C:D,2,FALSE),")")</f>
        <v xml:space="preserve"> (Zero)</v>
      </c>
      <c r="AB12" s="114" t="str">
        <f t="shared" si="8"/>
        <v>0 - Electrical power supply and controls to  (Zero) fan</v>
      </c>
      <c r="AC12" s="114" t="str">
        <f t="shared" si="9"/>
        <v xml:space="preserve"> with: </v>
      </c>
      <c r="AD12" s="114" t="str">
        <f t="shared" si="10"/>
        <v xml:space="preserve">, </v>
      </c>
      <c r="AE12" s="114" t="str">
        <f t="shared" si="11"/>
        <v>from MSSB Power Supply</v>
      </c>
      <c r="AF12" s="114" t="str">
        <f t="shared" si="15"/>
        <v>0 - Electrical power supply and controls to  (Zero) fan with: , from MSSB Power Supply</v>
      </c>
      <c r="AG12" s="114" t="str">
        <f t="shared" si="12"/>
        <v>0.1 - This includes supply and install of power and controls.</v>
      </c>
      <c r="AH12" s="114" t="str">
        <f>_xlfn.CONCAT(Z12,".2 - Power for system includes: ",VLOOKUP(L12,_Fan!N:Q,4,FALSE))</f>
        <v xml:space="preserve">0.2 - Power for system includes: CB and cabling to fan from MSSB, and local isolator, </v>
      </c>
      <c r="AI12" s="114" t="e">
        <f t="shared" si="1"/>
        <v>#N/A</v>
      </c>
      <c r="AJ12" s="114" t="e">
        <f>_xlfn.CONCAT(IF(M12="Yes",VLOOKUP(M$1,_Fan!N:AB,4,FALSE),""),IF(N12="Yes",VLOOKUP(N$1,_Fan!N:AB,4,FALSE),""),IF(NOT(O12="No"),VLOOKUP(O12,_Fan!N:AB,4,FALSE),""),IF(P12="Yes",VLOOKUP(P$1,_Fan!N:AB,4,FALSE),""),IF(Q12="Yes",VLOOKUP(Q$1,_Fan!N:AB,4,FALSE),""),IF(R12="Yes",VLOOKUP(R$1,_Fan!N:AB,4,FALSE),""),IF(S12="Yes",VLOOKUP(S$1,_Fan!N:AB,4,FALSE),""),IF(T12="Yes",VLOOKUP(T$1,_Fan!N:AB,4,FALSE),""),IF(U12="Yes",VLOOKUP(U$1,_Fan!N:AB,4,FALSE),""))</f>
        <v>#N/A</v>
      </c>
      <c r="AL12" s="114" t="str">
        <f t="shared" si="13"/>
        <v xml:space="preserve">fan with: , </v>
      </c>
    </row>
    <row r="13" spans="1:38" x14ac:dyDescent="0.4">
      <c r="A13" s="429" t="str">
        <f t="shared" si="14"/>
        <v>INVALID</v>
      </c>
      <c r="B13" s="430" t="str">
        <f t="shared" si="2"/>
        <v>Fan 12</v>
      </c>
      <c r="C13" s="431">
        <f t="shared" si="3"/>
        <v>0</v>
      </c>
      <c r="D13" s="430">
        <f t="shared" si="4"/>
        <v>0</v>
      </c>
      <c r="E13" s="430"/>
      <c r="F13" s="430">
        <f t="shared" si="0"/>
        <v>20</v>
      </c>
      <c r="G13" s="430"/>
      <c r="H13" s="430"/>
      <c r="I13" s="430" t="e">
        <f>IF(NOT(W13="No"),VLOOKUP(W13,_Fan!N:P,2,FALSE) + IF(W13="VSD",F13*(VLOOKUP("Switchboard Cable 1mm",'Part List'!$A:$G,3,FALSE) + VLOOKUP("2.5mm Twin and Earth",'Part List'!$A:$G,3,FALSE)*2),F13*(VLOOKUP("7030 2 pair TCAS7302P",'Part List'!$A:$G,3,FALSE) + VLOOKUP("screened 4mm",'Part List'!$A:$G,3,FALSE) + VLOOKUP("4mm Cable 3 core and Earth",'Part List'!$A:$G,3,FALSE))),VLOOKUP(L13,_Fan!N:P,2,FALSE))
+VLOOKUP(O13,_Fan!N:P,2,FALSE)
+IF(X13="Yes", F13*(VLOOKUP("7030 2 pair TCAS7302P",'Part List'!$A:$G,3,FALSE)),0)
+IF(M13="YES",VLOOKUP(M$1,_Fan!N:P,2,FALSE),0)+IF(X13="YES",VLOOKUP(X$1,_Fan!N:P,2,FALSE),0)
+IF(N13="YES",VLOOKUP(N$1,_Fan!N:P,2,FALSE),0)
+IF(P13="YES",VLOOKUP(P$1,_Fan!N:P,2,FALSE),0)
+IF(Q13="YES",VLOOKUP(Q$1,_Fan!N:P,2,FALSE),0)
+IF(R13="YES",VLOOKUP(R$1,_Fan!N:P,2,FALSE),0)
+IF(S13="YES",VLOOKUP(S$1,_Fan!N:P,2,FALSE),0)
+IF(T13="YES",VLOOKUP(T$1,_Fan!N:P,2,FALSE),0)
+IF(U13="YES",VLOOKUP(U$1,_Fan!N:P,2,FALSE),0)</f>
        <v>#N/A</v>
      </c>
      <c r="J13" s="430" t="e">
        <f>IF(NOT(W13="No"),VLOOKUP(W13,_Fan!N:P,3,FALSE) + IF(W13="VSD",F13*(VLOOKUP("Switchboard Cable 1mm",'Part List'!$A:$G,5,FALSE) + VLOOKUP("2.5mm Twin and Earth",'Part List'!$A:$G,5,FALSE)*2),F13*(VLOOKUP("7030 2 pair TCAS7302P",'Part List'!$A:$G,5,FALSE) + VLOOKUP("screened 4mm",'Part List'!$A:$G,5,FALSE))),VLOOKUP(L13,_Fan!N:P,3,FALSE))
+VLOOKUP(O13,_Fan!N:P,3,FALSE)
+IF(X13="Yes", F13*(VLOOKUP("7030 2 pair TCAS7302P",'Part List'!$A:$G,5,FALSE)),0)
+IF(M13="YES",VLOOKUP(M$1,_Fan!N:P,3,FALSE),0)+IF(X13="YES",VLOOKUP(X$1,_Fan!N:P,3,FALSE),0)
+IF(N13="YES",VLOOKUP(N$1,_Fan!N:P,3,FALSE),0)
+IF(P13="YES",VLOOKUP(P$1,_Fan!N:P,3,FALSE),0)
+IF(Q13="YES",VLOOKUP(Q$1,_Fan!N:P,3,FALSE),0)
+IF(R13="YES",VLOOKUP(R$1,_Fan!N:P,3,FALSE),0)
+IF(S13="YES",VLOOKUP(S$1,_Fan!N:P,3,FALSE),0)
+IF(T13="YES",VLOOKUP(T$1,_Fan!N:P,3,FALSE),0)
+IF(U13="YES",VLOOKUP(U$1,_Fan!N:P,3,FALSE),0)</f>
        <v>#N/A</v>
      </c>
      <c r="K13" s="430" t="str">
        <f t="shared" si="5"/>
        <v/>
      </c>
      <c r="L13" s="430" t="s">
        <v>678</v>
      </c>
      <c r="M13" s="430"/>
      <c r="N13" s="430"/>
      <c r="O13" s="430"/>
      <c r="P13" s="430"/>
      <c r="Q13" s="430"/>
      <c r="R13" s="430"/>
      <c r="S13" s="430"/>
      <c r="T13" s="430"/>
      <c r="U13" s="430"/>
      <c r="V13" s="430"/>
      <c r="W13" s="430"/>
      <c r="X13" s="430"/>
      <c r="Y13" s="432" t="str">
        <f t="shared" si="6"/>
        <v/>
      </c>
      <c r="Z13" s="114">
        <f t="shared" si="7"/>
        <v>0</v>
      </c>
      <c r="AA13" s="114" t="str">
        <f>_xlfn.CONCAT(E13," (",VLOOKUP(E13,[1]Backend!C:D,2,FALSE),")")</f>
        <v xml:space="preserve"> (Zero)</v>
      </c>
      <c r="AB13" s="114" t="str">
        <f t="shared" si="8"/>
        <v>0 - Electrical power supply and controls to  (Zero) fan</v>
      </c>
      <c r="AC13" s="114" t="str">
        <f t="shared" si="9"/>
        <v xml:space="preserve"> with: </v>
      </c>
      <c r="AD13" s="114" t="str">
        <f t="shared" si="10"/>
        <v xml:space="preserve">, </v>
      </c>
      <c r="AE13" s="114" t="str">
        <f t="shared" si="11"/>
        <v>from MSSB Power Supply</v>
      </c>
      <c r="AF13" s="114" t="str">
        <f t="shared" si="15"/>
        <v>0 - Electrical power supply and controls to  (Zero) fan with: , from MSSB Power Supply</v>
      </c>
      <c r="AG13" s="114" t="str">
        <f t="shared" si="12"/>
        <v>0.1 - This includes supply and install of power and controls.</v>
      </c>
      <c r="AH13" s="114" t="str">
        <f>_xlfn.CONCAT(Z13,".2 - Power for system includes: ",VLOOKUP(L13,_Fan!N:Q,4,FALSE))</f>
        <v xml:space="preserve">0.2 - Power for system includes: CB and cabling to fan from MSSB, and local isolator, </v>
      </c>
      <c r="AI13" s="114" t="e">
        <f t="shared" si="1"/>
        <v>#N/A</v>
      </c>
      <c r="AJ13" s="114" t="e">
        <f>_xlfn.CONCAT(IF(M13="Yes",VLOOKUP(M$1,_Fan!N:AB,4,FALSE),""),IF(N13="Yes",VLOOKUP(N$1,_Fan!N:AB,4,FALSE),""),IF(NOT(O13="No"),VLOOKUP(O13,_Fan!N:AB,4,FALSE),""),IF(P13="Yes",VLOOKUP(P$1,_Fan!N:AB,4,FALSE),""),IF(Q13="Yes",VLOOKUP(Q$1,_Fan!N:AB,4,FALSE),""),IF(R13="Yes",VLOOKUP(R$1,_Fan!N:AB,4,FALSE),""),IF(S13="Yes",VLOOKUP(S$1,_Fan!N:AB,4,FALSE),""),IF(T13="Yes",VLOOKUP(T$1,_Fan!N:AB,4,FALSE),""),IF(U13="Yes",VLOOKUP(U$1,_Fan!N:AB,4,FALSE),""))</f>
        <v>#N/A</v>
      </c>
      <c r="AL13" s="114" t="str">
        <f t="shared" si="13"/>
        <v xml:space="preserve">fan with: , </v>
      </c>
    </row>
    <row r="14" spans="1:38" x14ac:dyDescent="0.4">
      <c r="A14" s="429" t="str">
        <f t="shared" si="14"/>
        <v>INVALID</v>
      </c>
      <c r="B14" s="430" t="str">
        <f t="shared" si="2"/>
        <v>Fan 13</v>
      </c>
      <c r="C14" s="431">
        <f t="shared" si="3"/>
        <v>0</v>
      </c>
      <c r="D14" s="430">
        <f t="shared" si="4"/>
        <v>0</v>
      </c>
      <c r="E14" s="430"/>
      <c r="F14" s="430">
        <f t="shared" si="0"/>
        <v>20</v>
      </c>
      <c r="G14" s="430"/>
      <c r="H14" s="430"/>
      <c r="I14" s="430" t="e">
        <f>IF(NOT(W14="No"),VLOOKUP(W14,_Fan!N:P,2,FALSE) + IF(W14="VSD",F14*(VLOOKUP("Switchboard Cable 1mm",'Part List'!$A:$G,3,FALSE) + VLOOKUP("2.5mm Twin and Earth",'Part List'!$A:$G,3,FALSE)*2),F14*(VLOOKUP("7030 2 pair TCAS7302P",'Part List'!$A:$G,3,FALSE) + VLOOKUP("screened 4mm",'Part List'!$A:$G,3,FALSE) + VLOOKUP("4mm Cable 3 core and Earth",'Part List'!$A:$G,3,FALSE))),VLOOKUP(L14,_Fan!N:P,2,FALSE))
+VLOOKUP(O14,_Fan!N:P,2,FALSE)
+IF(X14="Yes", F14*(VLOOKUP("7030 2 pair TCAS7302P",'Part List'!$A:$G,3,FALSE)),0)
+IF(M14="YES",VLOOKUP(M$1,_Fan!N:P,2,FALSE),0)+IF(X14="YES",VLOOKUP(X$1,_Fan!N:P,2,FALSE),0)
+IF(N14="YES",VLOOKUP(N$1,_Fan!N:P,2,FALSE),0)
+IF(P14="YES",VLOOKUP(P$1,_Fan!N:P,2,FALSE),0)
+IF(Q14="YES",VLOOKUP(Q$1,_Fan!N:P,2,FALSE),0)
+IF(R14="YES",VLOOKUP(R$1,_Fan!N:P,2,FALSE),0)
+IF(S14="YES",VLOOKUP(S$1,_Fan!N:P,2,FALSE),0)
+IF(T14="YES",VLOOKUP(T$1,_Fan!N:P,2,FALSE),0)
+IF(U14="YES",VLOOKUP(U$1,_Fan!N:P,2,FALSE),0)</f>
        <v>#N/A</v>
      </c>
      <c r="J14" s="430" t="e">
        <f>IF(NOT(W14="No"),VLOOKUP(W14,_Fan!N:P,3,FALSE) + IF(W14="VSD",F14*(VLOOKUP("Switchboard Cable 1mm",'Part List'!$A:$G,5,FALSE) + VLOOKUP("2.5mm Twin and Earth",'Part List'!$A:$G,5,FALSE)*2),F14*(VLOOKUP("7030 2 pair TCAS7302P",'Part List'!$A:$G,5,FALSE) + VLOOKUP("screened 4mm",'Part List'!$A:$G,5,FALSE))),VLOOKUP(L14,_Fan!N:P,3,FALSE))
+VLOOKUP(O14,_Fan!N:P,3,FALSE)
+IF(X14="Yes", F14*(VLOOKUP("7030 2 pair TCAS7302P",'Part List'!$A:$G,5,FALSE)),0)
+IF(M14="YES",VLOOKUP(M$1,_Fan!N:P,3,FALSE),0)+IF(X14="YES",VLOOKUP(X$1,_Fan!N:P,3,FALSE),0)
+IF(N14="YES",VLOOKUP(N$1,_Fan!N:P,3,FALSE),0)
+IF(P14="YES",VLOOKUP(P$1,_Fan!N:P,3,FALSE),0)
+IF(Q14="YES",VLOOKUP(Q$1,_Fan!N:P,3,FALSE),0)
+IF(R14="YES",VLOOKUP(R$1,_Fan!N:P,3,FALSE),0)
+IF(S14="YES",VLOOKUP(S$1,_Fan!N:P,3,FALSE),0)
+IF(T14="YES",VLOOKUP(T$1,_Fan!N:P,3,FALSE),0)
+IF(U14="YES",VLOOKUP(U$1,_Fan!N:P,3,FALSE),0)</f>
        <v>#N/A</v>
      </c>
      <c r="K14" s="430" t="str">
        <f t="shared" si="5"/>
        <v/>
      </c>
      <c r="L14" s="430" t="s">
        <v>678</v>
      </c>
      <c r="M14" s="430"/>
      <c r="N14" s="430"/>
      <c r="O14" s="430"/>
      <c r="P14" s="430"/>
      <c r="Q14" s="430"/>
      <c r="R14" s="430"/>
      <c r="S14" s="430"/>
      <c r="T14" s="430"/>
      <c r="U14" s="430"/>
      <c r="V14" s="430"/>
      <c r="W14" s="430"/>
      <c r="X14" s="430"/>
      <c r="Y14" s="432" t="str">
        <f t="shared" si="6"/>
        <v/>
      </c>
      <c r="Z14" s="114">
        <f t="shared" si="7"/>
        <v>0</v>
      </c>
      <c r="AA14" s="114" t="str">
        <f>_xlfn.CONCAT(E14," (",VLOOKUP(E14,[1]Backend!C:D,2,FALSE),")")</f>
        <v xml:space="preserve"> (Zero)</v>
      </c>
      <c r="AB14" s="114" t="str">
        <f t="shared" si="8"/>
        <v>0 - Electrical power supply and controls to  (Zero) fan</v>
      </c>
      <c r="AC14" s="114" t="str">
        <f t="shared" si="9"/>
        <v xml:space="preserve"> with: </v>
      </c>
      <c r="AD14" s="114" t="str">
        <f t="shared" si="10"/>
        <v xml:space="preserve">, </v>
      </c>
      <c r="AE14" s="114" t="str">
        <f t="shared" si="11"/>
        <v>from MSSB Power Supply</v>
      </c>
      <c r="AF14" s="114" t="str">
        <f t="shared" si="15"/>
        <v>0 - Electrical power supply and controls to  (Zero) fan with: , from MSSB Power Supply</v>
      </c>
      <c r="AG14" s="114" t="str">
        <f t="shared" si="12"/>
        <v>0.1 - This includes supply and install of power and controls.</v>
      </c>
      <c r="AH14" s="114" t="str">
        <f>_xlfn.CONCAT(Z14,".2 - Power for system includes: ",VLOOKUP(L14,_Fan!N:Q,4,FALSE))</f>
        <v xml:space="preserve">0.2 - Power for system includes: CB and cabling to fan from MSSB, and local isolator, </v>
      </c>
      <c r="AI14" s="114" t="e">
        <f t="shared" si="1"/>
        <v>#N/A</v>
      </c>
      <c r="AJ14" s="114" t="e">
        <f>_xlfn.CONCAT(IF(M14="Yes",VLOOKUP(M$1,_Fan!N:AB,4,FALSE),""),IF(N14="Yes",VLOOKUP(N$1,_Fan!N:AB,4,FALSE),""),IF(NOT(O14="No"),VLOOKUP(O14,_Fan!N:AB,4,FALSE),""),IF(P14="Yes",VLOOKUP(P$1,_Fan!N:AB,4,FALSE),""),IF(Q14="Yes",VLOOKUP(Q$1,_Fan!N:AB,4,FALSE),""),IF(R14="Yes",VLOOKUP(R$1,_Fan!N:AB,4,FALSE),""),IF(S14="Yes",VLOOKUP(S$1,_Fan!N:AB,4,FALSE),""),IF(T14="Yes",VLOOKUP(T$1,_Fan!N:AB,4,FALSE),""),IF(U14="Yes",VLOOKUP(U$1,_Fan!N:AB,4,FALSE),""))</f>
        <v>#N/A</v>
      </c>
      <c r="AL14" s="114" t="str">
        <f t="shared" si="13"/>
        <v xml:space="preserve">fan with: , </v>
      </c>
    </row>
    <row r="15" spans="1:38" x14ac:dyDescent="0.4">
      <c r="A15" s="429" t="str">
        <f t="shared" si="14"/>
        <v>INVALID</v>
      </c>
      <c r="B15" s="430" t="str">
        <f t="shared" si="2"/>
        <v>Fan 14</v>
      </c>
      <c r="C15" s="431">
        <f t="shared" si="3"/>
        <v>0</v>
      </c>
      <c r="D15" s="430">
        <f t="shared" si="4"/>
        <v>0</v>
      </c>
      <c r="E15" s="430"/>
      <c r="F15" s="430">
        <f t="shared" si="0"/>
        <v>20</v>
      </c>
      <c r="G15" s="430"/>
      <c r="H15" s="430"/>
      <c r="I15" s="430" t="e">
        <f>IF(NOT(W15="No"),VLOOKUP(W15,_Fan!N:P,2,FALSE) + IF(W15="VSD",F15*(VLOOKUP("Switchboard Cable 1mm",'Part List'!$A:$G,3,FALSE) + VLOOKUP("2.5mm Twin and Earth",'Part List'!$A:$G,3,FALSE)*2),F15*(VLOOKUP("7030 2 pair TCAS7302P",'Part List'!$A:$G,3,FALSE) + VLOOKUP("screened 4mm",'Part List'!$A:$G,3,FALSE) + VLOOKUP("4mm Cable 3 core and Earth",'Part List'!$A:$G,3,FALSE))),VLOOKUP(L15,_Fan!N:P,2,FALSE))
+VLOOKUP(O15,_Fan!N:P,2,FALSE)
+IF(X15="Yes", F15*(VLOOKUP("7030 2 pair TCAS7302P",'Part List'!$A:$G,3,FALSE)),0)
+IF(M15="YES",VLOOKUP(M$1,_Fan!N:P,2,FALSE),0)+IF(X15="YES",VLOOKUP(X$1,_Fan!N:P,2,FALSE),0)
+IF(N15="YES",VLOOKUP(N$1,_Fan!N:P,2,FALSE),0)
+IF(P15="YES",VLOOKUP(P$1,_Fan!N:P,2,FALSE),0)
+IF(Q15="YES",VLOOKUP(Q$1,_Fan!N:P,2,FALSE),0)
+IF(R15="YES",VLOOKUP(R$1,_Fan!N:P,2,FALSE),0)
+IF(S15="YES",VLOOKUP(S$1,_Fan!N:P,2,FALSE),0)
+IF(T15="YES",VLOOKUP(T$1,_Fan!N:P,2,FALSE),0)
+IF(U15="YES",VLOOKUP(U$1,_Fan!N:P,2,FALSE),0)</f>
        <v>#N/A</v>
      </c>
      <c r="J15" s="430" t="e">
        <f>IF(NOT(W15="No"),VLOOKUP(W15,_Fan!N:P,3,FALSE) + IF(W15="VSD",F15*(VLOOKUP("Switchboard Cable 1mm",'Part List'!$A:$G,5,FALSE) + VLOOKUP("2.5mm Twin and Earth",'Part List'!$A:$G,5,FALSE)*2),F15*(VLOOKUP("7030 2 pair TCAS7302P",'Part List'!$A:$G,5,FALSE) + VLOOKUP("screened 4mm",'Part List'!$A:$G,5,FALSE))),VLOOKUP(L15,_Fan!N:P,3,FALSE))
+VLOOKUP(O15,_Fan!N:P,3,FALSE)
+IF(X15="Yes", F15*(VLOOKUP("7030 2 pair TCAS7302P",'Part List'!$A:$G,5,FALSE)),0)
+IF(M15="YES",VLOOKUP(M$1,_Fan!N:P,3,FALSE),0)+IF(X15="YES",VLOOKUP(X$1,_Fan!N:P,3,FALSE),0)
+IF(N15="YES",VLOOKUP(N$1,_Fan!N:P,3,FALSE),0)
+IF(P15="YES",VLOOKUP(P$1,_Fan!N:P,3,FALSE),0)
+IF(Q15="YES",VLOOKUP(Q$1,_Fan!N:P,3,FALSE),0)
+IF(R15="YES",VLOOKUP(R$1,_Fan!N:P,3,FALSE),0)
+IF(S15="YES",VLOOKUP(S$1,_Fan!N:P,3,FALSE),0)
+IF(T15="YES",VLOOKUP(T$1,_Fan!N:P,3,FALSE),0)
+IF(U15="YES",VLOOKUP(U$1,_Fan!N:P,3,FALSE),0)</f>
        <v>#N/A</v>
      </c>
      <c r="K15" s="430" t="str">
        <f t="shared" si="5"/>
        <v/>
      </c>
      <c r="L15" s="430" t="s">
        <v>678</v>
      </c>
      <c r="M15" s="430"/>
      <c r="N15" s="430"/>
      <c r="O15" s="430"/>
      <c r="P15" s="430"/>
      <c r="Q15" s="430"/>
      <c r="R15" s="430"/>
      <c r="S15" s="430"/>
      <c r="T15" s="430"/>
      <c r="U15" s="430"/>
      <c r="V15" s="430"/>
      <c r="W15" s="430"/>
      <c r="X15" s="430"/>
      <c r="Y15" s="432" t="str">
        <f t="shared" si="6"/>
        <v/>
      </c>
      <c r="Z15" s="114">
        <f t="shared" si="7"/>
        <v>0</v>
      </c>
      <c r="AA15" s="114" t="str">
        <f>_xlfn.CONCAT(E15," (",VLOOKUP(E15,[1]Backend!C:D,2,FALSE),")")</f>
        <v xml:space="preserve"> (Zero)</v>
      </c>
      <c r="AB15" s="114" t="str">
        <f t="shared" si="8"/>
        <v>0 - Electrical power supply and controls to  (Zero) fan</v>
      </c>
      <c r="AC15" s="114" t="str">
        <f t="shared" si="9"/>
        <v xml:space="preserve"> with: </v>
      </c>
      <c r="AD15" s="114" t="str">
        <f t="shared" si="10"/>
        <v xml:space="preserve">, </v>
      </c>
      <c r="AE15" s="114" t="str">
        <f t="shared" si="11"/>
        <v>from MSSB Power Supply</v>
      </c>
      <c r="AF15" s="114" t="str">
        <f t="shared" si="15"/>
        <v>0 - Electrical power supply and controls to  (Zero) fan with: , from MSSB Power Supply</v>
      </c>
      <c r="AG15" s="114" t="str">
        <f t="shared" si="12"/>
        <v>0.1 - This includes supply and install of power and controls.</v>
      </c>
      <c r="AH15" s="114" t="str">
        <f>_xlfn.CONCAT(Z15,".2 - Power for system includes: ",VLOOKUP(L15,_Fan!N:Q,4,FALSE))</f>
        <v xml:space="preserve">0.2 - Power for system includes: CB and cabling to fan from MSSB, and local isolator, </v>
      </c>
      <c r="AI15" s="114" t="e">
        <f t="shared" si="1"/>
        <v>#N/A</v>
      </c>
      <c r="AJ15" s="114" t="e">
        <f>_xlfn.CONCAT(IF(M15="Yes",VLOOKUP(M$1,_Fan!N:AB,4,FALSE),""),IF(N15="Yes",VLOOKUP(N$1,_Fan!N:AB,4,FALSE),""),IF(NOT(O15="No"),VLOOKUP(O15,_Fan!N:AB,4,FALSE),""),IF(P15="Yes",VLOOKUP(P$1,_Fan!N:AB,4,FALSE),""),IF(Q15="Yes",VLOOKUP(Q$1,_Fan!N:AB,4,FALSE),""),IF(R15="Yes",VLOOKUP(R$1,_Fan!N:AB,4,FALSE),""),IF(S15="Yes",VLOOKUP(S$1,_Fan!N:AB,4,FALSE),""),IF(T15="Yes",VLOOKUP(T$1,_Fan!N:AB,4,FALSE),""),IF(U15="Yes",VLOOKUP(U$1,_Fan!N:AB,4,FALSE),""))</f>
        <v>#N/A</v>
      </c>
      <c r="AL15" s="114" t="str">
        <f t="shared" si="13"/>
        <v xml:space="preserve">fan with: , </v>
      </c>
    </row>
    <row r="16" spans="1:38" x14ac:dyDescent="0.4">
      <c r="A16" s="429" t="str">
        <f t="shared" si="14"/>
        <v>INVALID</v>
      </c>
      <c r="B16" s="430" t="str">
        <f t="shared" si="2"/>
        <v>Fan 15</v>
      </c>
      <c r="C16" s="431">
        <f t="shared" si="3"/>
        <v>0</v>
      </c>
      <c r="D16" s="430">
        <f t="shared" si="4"/>
        <v>0</v>
      </c>
      <c r="E16" s="430"/>
      <c r="F16" s="430">
        <f t="shared" si="0"/>
        <v>20</v>
      </c>
      <c r="G16" s="430"/>
      <c r="H16" s="430"/>
      <c r="I16" s="430" t="e">
        <f>IF(NOT(W16="No"),VLOOKUP(W16,_Fan!N:P,2,FALSE) + IF(W16="VSD",F16*(VLOOKUP("Switchboard Cable 1mm",'Part List'!$A:$G,3,FALSE) + VLOOKUP("2.5mm Twin and Earth",'Part List'!$A:$G,3,FALSE)*2),F16*(VLOOKUP("7030 2 pair TCAS7302P",'Part List'!$A:$G,3,FALSE) + VLOOKUP("screened 4mm",'Part List'!$A:$G,3,FALSE) + VLOOKUP("4mm Cable 3 core and Earth",'Part List'!$A:$G,3,FALSE))),VLOOKUP(L16,_Fan!N:P,2,FALSE))
+VLOOKUP(O16,_Fan!N:P,2,FALSE)
+IF(X16="Yes", F16*(VLOOKUP("7030 2 pair TCAS7302P",'Part List'!$A:$G,3,FALSE)),0)
+IF(M16="YES",VLOOKUP(M$1,_Fan!N:P,2,FALSE),0)+IF(X16="YES",VLOOKUP(X$1,_Fan!N:P,2,FALSE),0)
+IF(N16="YES",VLOOKUP(N$1,_Fan!N:P,2,FALSE),0)
+IF(P16="YES",VLOOKUP(P$1,_Fan!N:P,2,FALSE),0)
+IF(Q16="YES",VLOOKUP(Q$1,_Fan!N:P,2,FALSE),0)
+IF(R16="YES",VLOOKUP(R$1,_Fan!N:P,2,FALSE),0)
+IF(S16="YES",VLOOKUP(S$1,_Fan!N:P,2,FALSE),0)
+IF(T16="YES",VLOOKUP(T$1,_Fan!N:P,2,FALSE),0)
+IF(U16="YES",VLOOKUP(U$1,_Fan!N:P,2,FALSE),0)</f>
        <v>#N/A</v>
      </c>
      <c r="J16" s="430" t="e">
        <f>IF(NOT(W16="No"),VLOOKUP(W16,_Fan!N:P,3,FALSE) + IF(W16="VSD",F16*(VLOOKUP("Switchboard Cable 1mm",'Part List'!$A:$G,5,FALSE) + VLOOKUP("2.5mm Twin and Earth",'Part List'!$A:$G,5,FALSE)*2),F16*(VLOOKUP("7030 2 pair TCAS7302P",'Part List'!$A:$G,5,FALSE) + VLOOKUP("screened 4mm",'Part List'!$A:$G,5,FALSE))),VLOOKUP(L16,_Fan!N:P,3,FALSE))
+VLOOKUP(O16,_Fan!N:P,3,FALSE)
+IF(X16="Yes", F16*(VLOOKUP("7030 2 pair TCAS7302P",'Part List'!$A:$G,5,FALSE)),0)
+IF(M16="YES",VLOOKUP(M$1,_Fan!N:P,3,FALSE),0)+IF(X16="YES",VLOOKUP(X$1,_Fan!N:P,3,FALSE),0)
+IF(N16="YES",VLOOKUP(N$1,_Fan!N:P,3,FALSE),0)
+IF(P16="YES",VLOOKUP(P$1,_Fan!N:P,3,FALSE),0)
+IF(Q16="YES",VLOOKUP(Q$1,_Fan!N:P,3,FALSE),0)
+IF(R16="YES",VLOOKUP(R$1,_Fan!N:P,3,FALSE),0)
+IF(S16="YES",VLOOKUP(S$1,_Fan!N:P,3,FALSE),0)
+IF(T16="YES",VLOOKUP(T$1,_Fan!N:P,3,FALSE),0)
+IF(U16="YES",VLOOKUP(U$1,_Fan!N:P,3,FALSE),0)</f>
        <v>#N/A</v>
      </c>
      <c r="K16" s="430" t="str">
        <f t="shared" si="5"/>
        <v/>
      </c>
      <c r="L16" s="430" t="s">
        <v>678</v>
      </c>
      <c r="M16" s="430"/>
      <c r="N16" s="430"/>
      <c r="O16" s="430"/>
      <c r="P16" s="430"/>
      <c r="Q16" s="430"/>
      <c r="R16" s="430"/>
      <c r="S16" s="430"/>
      <c r="T16" s="430"/>
      <c r="U16" s="430"/>
      <c r="V16" s="430"/>
      <c r="W16" s="430"/>
      <c r="X16" s="430"/>
      <c r="Y16" s="432" t="str">
        <f t="shared" si="6"/>
        <v/>
      </c>
      <c r="Z16" s="114">
        <f t="shared" si="7"/>
        <v>0</v>
      </c>
      <c r="AA16" s="114" t="str">
        <f>_xlfn.CONCAT(E16," (",VLOOKUP(E16,[1]Backend!C:D,2,FALSE),")")</f>
        <v xml:space="preserve"> (Zero)</v>
      </c>
      <c r="AB16" s="114" t="str">
        <f t="shared" si="8"/>
        <v>0 - Electrical power supply and controls to  (Zero) fan</v>
      </c>
      <c r="AC16" s="114" t="str">
        <f t="shared" si="9"/>
        <v xml:space="preserve"> with: </v>
      </c>
      <c r="AD16" s="114" t="str">
        <f t="shared" si="10"/>
        <v xml:space="preserve">, </v>
      </c>
      <c r="AE16" s="114" t="str">
        <f t="shared" si="11"/>
        <v>from MSSB Power Supply</v>
      </c>
      <c r="AF16" s="114" t="str">
        <f t="shared" si="15"/>
        <v>0 - Electrical power supply and controls to  (Zero) fan with: , from MSSB Power Supply</v>
      </c>
      <c r="AG16" s="114" t="str">
        <f t="shared" si="12"/>
        <v>0.1 - This includes supply and install of power and controls.</v>
      </c>
      <c r="AH16" s="114" t="str">
        <f>_xlfn.CONCAT(Z16,".2 - Power for system includes: ",VLOOKUP(L16,_Fan!N:Q,4,FALSE))</f>
        <v xml:space="preserve">0.2 - Power for system includes: CB and cabling to fan from MSSB, and local isolator, </v>
      </c>
      <c r="AI16" s="114" t="e">
        <f t="shared" si="1"/>
        <v>#N/A</v>
      </c>
      <c r="AJ16" s="114" t="e">
        <f>_xlfn.CONCAT(IF(M16="Yes",VLOOKUP(M$1,_Fan!N:AB,4,FALSE),""),IF(N16="Yes",VLOOKUP(N$1,_Fan!N:AB,4,FALSE),""),IF(NOT(O16="No"),VLOOKUP(O16,_Fan!N:AB,4,FALSE),""),IF(P16="Yes",VLOOKUP(P$1,_Fan!N:AB,4,FALSE),""),IF(Q16="Yes",VLOOKUP(Q$1,_Fan!N:AB,4,FALSE),""),IF(R16="Yes",VLOOKUP(R$1,_Fan!N:AB,4,FALSE),""),IF(S16="Yes",VLOOKUP(S$1,_Fan!N:AB,4,FALSE),""),IF(T16="Yes",VLOOKUP(T$1,_Fan!N:AB,4,FALSE),""),IF(U16="Yes",VLOOKUP(U$1,_Fan!N:AB,4,FALSE),""))</f>
        <v>#N/A</v>
      </c>
      <c r="AL16" s="114" t="str">
        <f t="shared" si="13"/>
        <v xml:space="preserve">fan with: , </v>
      </c>
    </row>
    <row r="17" spans="1:38" x14ac:dyDescent="0.4">
      <c r="A17" s="429" t="str">
        <f t="shared" si="14"/>
        <v>INVALID</v>
      </c>
      <c r="B17" s="430" t="str">
        <f t="shared" si="2"/>
        <v>Fan 16</v>
      </c>
      <c r="C17" s="431">
        <f t="shared" si="3"/>
        <v>0</v>
      </c>
      <c r="D17" s="430">
        <f t="shared" si="4"/>
        <v>0</v>
      </c>
      <c r="E17" s="430"/>
      <c r="F17" s="430">
        <f t="shared" si="0"/>
        <v>20</v>
      </c>
      <c r="G17" s="430"/>
      <c r="H17" s="430"/>
      <c r="I17" s="430" t="e">
        <f>IF(NOT(W17="No"),VLOOKUP(W17,_Fan!N:P,2,FALSE) + IF(W17="VSD",F17*(VLOOKUP("Switchboard Cable 1mm",'Part List'!$A:$G,3,FALSE) + VLOOKUP("2.5mm Twin and Earth",'Part List'!$A:$G,3,FALSE)*2),F17*(VLOOKUP("7030 2 pair TCAS7302P",'Part List'!$A:$G,3,FALSE) + VLOOKUP("screened 4mm",'Part List'!$A:$G,3,FALSE) + VLOOKUP("4mm Cable 3 core and Earth",'Part List'!$A:$G,3,FALSE))),VLOOKUP(L17,_Fan!N:P,2,FALSE))
+VLOOKUP(O17,_Fan!N:P,2,FALSE)
+IF(X17="Yes", F17*(VLOOKUP("7030 2 pair TCAS7302P",'Part List'!$A:$G,3,FALSE)),0)
+IF(M17="YES",VLOOKUP(M$1,_Fan!N:P,2,FALSE),0)+IF(X17="YES",VLOOKUP(X$1,_Fan!N:P,2,FALSE),0)
+IF(N17="YES",VLOOKUP(N$1,_Fan!N:P,2,FALSE),0)
+IF(P17="YES",VLOOKUP(P$1,_Fan!N:P,2,FALSE),0)
+IF(Q17="YES",VLOOKUP(Q$1,_Fan!N:P,2,FALSE),0)
+IF(R17="YES",VLOOKUP(R$1,_Fan!N:P,2,FALSE),0)
+IF(S17="YES",VLOOKUP(S$1,_Fan!N:P,2,FALSE),0)
+IF(T17="YES",VLOOKUP(T$1,_Fan!N:P,2,FALSE),0)
+IF(U17="YES",VLOOKUP(U$1,_Fan!N:P,2,FALSE),0)</f>
        <v>#N/A</v>
      </c>
      <c r="J17" s="430" t="e">
        <f>IF(NOT(W17="No"),VLOOKUP(W17,_Fan!N:P,3,FALSE) + IF(W17="VSD",F17*(VLOOKUP("Switchboard Cable 1mm",'Part List'!$A:$G,5,FALSE) + VLOOKUP("2.5mm Twin and Earth",'Part List'!$A:$G,5,FALSE)*2),F17*(VLOOKUP("7030 2 pair TCAS7302P",'Part List'!$A:$G,5,FALSE) + VLOOKUP("screened 4mm",'Part List'!$A:$G,5,FALSE))),VLOOKUP(L17,_Fan!N:P,3,FALSE))
+VLOOKUP(O17,_Fan!N:P,3,FALSE)
+IF(X17="Yes", F17*(VLOOKUP("7030 2 pair TCAS7302P",'Part List'!$A:$G,5,FALSE)),0)
+IF(M17="YES",VLOOKUP(M$1,_Fan!N:P,3,FALSE),0)+IF(X17="YES",VLOOKUP(X$1,_Fan!N:P,3,FALSE),0)
+IF(N17="YES",VLOOKUP(N$1,_Fan!N:P,3,FALSE),0)
+IF(P17="YES",VLOOKUP(P$1,_Fan!N:P,3,FALSE),0)
+IF(Q17="YES",VLOOKUP(Q$1,_Fan!N:P,3,FALSE),0)
+IF(R17="YES",VLOOKUP(R$1,_Fan!N:P,3,FALSE),0)
+IF(S17="YES",VLOOKUP(S$1,_Fan!N:P,3,FALSE),0)
+IF(T17="YES",VLOOKUP(T$1,_Fan!N:P,3,FALSE),0)
+IF(U17="YES",VLOOKUP(U$1,_Fan!N:P,3,FALSE),0)</f>
        <v>#N/A</v>
      </c>
      <c r="K17" s="430" t="str">
        <f t="shared" si="5"/>
        <v/>
      </c>
      <c r="L17" s="430" t="s">
        <v>678</v>
      </c>
      <c r="M17" s="430"/>
      <c r="N17" s="430"/>
      <c r="O17" s="430"/>
      <c r="P17" s="430"/>
      <c r="Q17" s="430"/>
      <c r="R17" s="430"/>
      <c r="S17" s="430"/>
      <c r="T17" s="430"/>
      <c r="U17" s="430"/>
      <c r="V17" s="430"/>
      <c r="W17" s="430"/>
      <c r="X17" s="430"/>
      <c r="Y17" s="432" t="str">
        <f t="shared" si="6"/>
        <v/>
      </c>
      <c r="Z17" s="114">
        <f t="shared" si="7"/>
        <v>0</v>
      </c>
      <c r="AA17" s="114" t="str">
        <f>_xlfn.CONCAT(E17," (",VLOOKUP(E17,[1]Backend!C:D,2,FALSE),")")</f>
        <v xml:space="preserve"> (Zero)</v>
      </c>
      <c r="AB17" s="114" t="str">
        <f t="shared" si="8"/>
        <v>0 - Electrical power supply and controls to  (Zero) fan</v>
      </c>
      <c r="AC17" s="114" t="str">
        <f t="shared" si="9"/>
        <v xml:space="preserve"> with: </v>
      </c>
      <c r="AD17" s="114" t="str">
        <f t="shared" si="10"/>
        <v xml:space="preserve">, </v>
      </c>
      <c r="AE17" s="114" t="str">
        <f t="shared" si="11"/>
        <v>from MSSB Power Supply</v>
      </c>
      <c r="AF17" s="114" t="str">
        <f t="shared" si="15"/>
        <v>0 - Electrical power supply and controls to  (Zero) fan with: , from MSSB Power Supply</v>
      </c>
      <c r="AG17" s="114" t="str">
        <f t="shared" si="12"/>
        <v>0.1 - This includes supply and install of power and controls.</v>
      </c>
      <c r="AH17" s="114" t="str">
        <f>_xlfn.CONCAT(Z17,".2 - Power for system includes: ",VLOOKUP(L17,_Fan!N:Q,4,FALSE))</f>
        <v xml:space="preserve">0.2 - Power for system includes: CB and cabling to fan from MSSB, and local isolator, </v>
      </c>
      <c r="AI17" s="114" t="e">
        <f t="shared" si="1"/>
        <v>#N/A</v>
      </c>
      <c r="AJ17" s="114" t="e">
        <f>_xlfn.CONCAT(IF(M17="Yes",VLOOKUP(M$1,_Fan!N:AB,4,FALSE),""),IF(N17="Yes",VLOOKUP(N$1,_Fan!N:AB,4,FALSE),""),IF(NOT(O17="No"),VLOOKUP(O17,_Fan!N:AB,4,FALSE),""),IF(P17="Yes",VLOOKUP(P$1,_Fan!N:AB,4,FALSE),""),IF(Q17="Yes",VLOOKUP(Q$1,_Fan!N:AB,4,FALSE),""),IF(R17="Yes",VLOOKUP(R$1,_Fan!N:AB,4,FALSE),""),IF(S17="Yes",VLOOKUP(S$1,_Fan!N:AB,4,FALSE),""),IF(T17="Yes",VLOOKUP(T$1,_Fan!N:AB,4,FALSE),""),IF(U17="Yes",VLOOKUP(U$1,_Fan!N:AB,4,FALSE),""))</f>
        <v>#N/A</v>
      </c>
      <c r="AL17" s="114" t="str">
        <f t="shared" si="13"/>
        <v xml:space="preserve">fan with: , </v>
      </c>
    </row>
    <row r="18" spans="1:38" x14ac:dyDescent="0.4">
      <c r="A18" s="429" t="str">
        <f t="shared" si="14"/>
        <v>INVALID</v>
      </c>
      <c r="B18" s="430" t="str">
        <f t="shared" si="2"/>
        <v>Fan 17</v>
      </c>
      <c r="C18" s="431">
        <f t="shared" si="3"/>
        <v>0</v>
      </c>
      <c r="D18" s="430">
        <f t="shared" si="4"/>
        <v>0</v>
      </c>
      <c r="E18" s="430"/>
      <c r="F18" s="430">
        <f t="shared" si="0"/>
        <v>20</v>
      </c>
      <c r="G18" s="430"/>
      <c r="H18" s="430"/>
      <c r="I18" s="430" t="e">
        <f>IF(NOT(W18="No"),VLOOKUP(W18,_Fan!N:P,2,FALSE) + IF(W18="VSD",F18*(VLOOKUP("Switchboard Cable 1mm",'Part List'!$A:$G,3,FALSE) + VLOOKUP("2.5mm Twin and Earth",'Part List'!$A:$G,3,FALSE)*2),F18*(VLOOKUP("7030 2 pair TCAS7302P",'Part List'!$A:$G,3,FALSE) + VLOOKUP("screened 4mm",'Part List'!$A:$G,3,FALSE) + VLOOKUP("4mm Cable 3 core and Earth",'Part List'!$A:$G,3,FALSE))),VLOOKUP(L18,_Fan!N:P,2,FALSE))
+VLOOKUP(O18,_Fan!N:P,2,FALSE)
+IF(X18="Yes", F18*(VLOOKUP("7030 2 pair TCAS7302P",'Part List'!$A:$G,3,FALSE)),0)
+IF(M18="YES",VLOOKUP(M$1,_Fan!N:P,2,FALSE),0)+IF(X18="YES",VLOOKUP(X$1,_Fan!N:P,2,FALSE),0)
+IF(N18="YES",VLOOKUP(N$1,_Fan!N:P,2,FALSE),0)
+IF(P18="YES",VLOOKUP(P$1,_Fan!N:P,2,FALSE),0)
+IF(Q18="YES",VLOOKUP(Q$1,_Fan!N:P,2,FALSE),0)
+IF(R18="YES",VLOOKUP(R$1,_Fan!N:P,2,FALSE),0)
+IF(S18="YES",VLOOKUP(S$1,_Fan!N:P,2,FALSE),0)
+IF(T18="YES",VLOOKUP(T$1,_Fan!N:P,2,FALSE),0)
+IF(U18="YES",VLOOKUP(U$1,_Fan!N:P,2,FALSE),0)</f>
        <v>#N/A</v>
      </c>
      <c r="J18" s="430" t="e">
        <f>IF(NOT(W18="No"),VLOOKUP(W18,_Fan!N:P,3,FALSE) + IF(W18="VSD",F18*(VLOOKUP("Switchboard Cable 1mm",'Part List'!$A:$G,5,FALSE) + VLOOKUP("2.5mm Twin and Earth",'Part List'!$A:$G,5,FALSE)*2),F18*(VLOOKUP("7030 2 pair TCAS7302P",'Part List'!$A:$G,5,FALSE) + VLOOKUP("screened 4mm",'Part List'!$A:$G,5,FALSE))),VLOOKUP(L18,_Fan!N:P,3,FALSE))
+VLOOKUP(O18,_Fan!N:P,3,FALSE)
+IF(X18="Yes", F18*(VLOOKUP("7030 2 pair TCAS7302P",'Part List'!$A:$G,5,FALSE)),0)
+IF(M18="YES",VLOOKUP(M$1,_Fan!N:P,3,FALSE),0)+IF(X18="YES",VLOOKUP(X$1,_Fan!N:P,3,FALSE),0)
+IF(N18="YES",VLOOKUP(N$1,_Fan!N:P,3,FALSE),0)
+IF(P18="YES",VLOOKUP(P$1,_Fan!N:P,3,FALSE),0)
+IF(Q18="YES",VLOOKUP(Q$1,_Fan!N:P,3,FALSE),0)
+IF(R18="YES",VLOOKUP(R$1,_Fan!N:P,3,FALSE),0)
+IF(S18="YES",VLOOKUP(S$1,_Fan!N:P,3,FALSE),0)
+IF(T18="YES",VLOOKUP(T$1,_Fan!N:P,3,FALSE),0)
+IF(U18="YES",VLOOKUP(U$1,_Fan!N:P,3,FALSE),0)</f>
        <v>#N/A</v>
      </c>
      <c r="K18" s="430" t="str">
        <f t="shared" si="5"/>
        <v/>
      </c>
      <c r="L18" s="430" t="s">
        <v>678</v>
      </c>
      <c r="M18" s="430"/>
      <c r="N18" s="430"/>
      <c r="O18" s="430"/>
      <c r="P18" s="430"/>
      <c r="Q18" s="430"/>
      <c r="R18" s="430"/>
      <c r="S18" s="430"/>
      <c r="T18" s="430"/>
      <c r="U18" s="430"/>
      <c r="V18" s="430"/>
      <c r="W18" s="430"/>
      <c r="X18" s="430"/>
      <c r="Y18" s="432" t="str">
        <f t="shared" si="6"/>
        <v/>
      </c>
      <c r="Z18" s="114">
        <f t="shared" si="7"/>
        <v>0</v>
      </c>
      <c r="AA18" s="114" t="str">
        <f>_xlfn.CONCAT(E18," (",VLOOKUP(E18,[1]Backend!C:D,2,FALSE),")")</f>
        <v xml:space="preserve"> (Zero)</v>
      </c>
      <c r="AB18" s="114" t="str">
        <f t="shared" si="8"/>
        <v>0 - Electrical power supply and controls to  (Zero) fan</v>
      </c>
      <c r="AC18" s="114" t="str">
        <f t="shared" si="9"/>
        <v xml:space="preserve"> with: </v>
      </c>
      <c r="AD18" s="114" t="str">
        <f t="shared" si="10"/>
        <v xml:space="preserve">, </v>
      </c>
      <c r="AE18" s="114" t="str">
        <f t="shared" si="11"/>
        <v>from MSSB Power Supply</v>
      </c>
      <c r="AF18" s="114" t="str">
        <f t="shared" si="15"/>
        <v>0 - Electrical power supply and controls to  (Zero) fan with: , from MSSB Power Supply</v>
      </c>
      <c r="AG18" s="114" t="str">
        <f t="shared" si="12"/>
        <v>0.1 - This includes supply and install of power and controls.</v>
      </c>
      <c r="AH18" s="114" t="str">
        <f>_xlfn.CONCAT(Z18,".2 - Power for system includes: ",VLOOKUP(L18,_Fan!N:Q,4,FALSE))</f>
        <v xml:space="preserve">0.2 - Power for system includes: CB and cabling to fan from MSSB, and local isolator, </v>
      </c>
      <c r="AI18" s="114" t="e">
        <f t="shared" si="1"/>
        <v>#N/A</v>
      </c>
      <c r="AJ18" s="114" t="e">
        <f>_xlfn.CONCAT(IF(M18="Yes",VLOOKUP(M$1,_Fan!N:AB,4,FALSE),""),IF(N18="Yes",VLOOKUP(N$1,_Fan!N:AB,4,FALSE),""),IF(NOT(O18="No"),VLOOKUP(O18,_Fan!N:AB,4,FALSE),""),IF(P18="Yes",VLOOKUP(P$1,_Fan!N:AB,4,FALSE),""),IF(Q18="Yes",VLOOKUP(Q$1,_Fan!N:AB,4,FALSE),""),IF(R18="Yes",VLOOKUP(R$1,_Fan!N:AB,4,FALSE),""),IF(S18="Yes",VLOOKUP(S$1,_Fan!N:AB,4,FALSE),""),IF(T18="Yes",VLOOKUP(T$1,_Fan!N:AB,4,FALSE),""),IF(U18="Yes",VLOOKUP(U$1,_Fan!N:AB,4,FALSE),""))</f>
        <v>#N/A</v>
      </c>
      <c r="AL18" s="114" t="str">
        <f t="shared" si="13"/>
        <v xml:space="preserve">fan with: , </v>
      </c>
    </row>
    <row r="19" spans="1:38" x14ac:dyDescent="0.4">
      <c r="A19" s="429" t="str">
        <f t="shared" si="14"/>
        <v>INVALID</v>
      </c>
      <c r="B19" s="430" t="str">
        <f t="shared" si="2"/>
        <v>Fan 18</v>
      </c>
      <c r="C19" s="431">
        <f t="shared" si="3"/>
        <v>0</v>
      </c>
      <c r="D19" s="430">
        <f t="shared" si="4"/>
        <v>0</v>
      </c>
      <c r="E19" s="430"/>
      <c r="F19" s="430">
        <f t="shared" si="0"/>
        <v>20</v>
      </c>
      <c r="G19" s="430"/>
      <c r="H19" s="430"/>
      <c r="I19" s="430" t="e">
        <f>IF(NOT(W19="No"),VLOOKUP(W19,_Fan!N:P,2,FALSE) + IF(W19="VSD",F19*(VLOOKUP("Switchboard Cable 1mm",'Part List'!$A:$G,3,FALSE) + VLOOKUP("2.5mm Twin and Earth",'Part List'!$A:$G,3,FALSE)*2),F19*(VLOOKUP("7030 2 pair TCAS7302P",'Part List'!$A:$G,3,FALSE) + VLOOKUP("screened 4mm",'Part List'!$A:$G,3,FALSE) + VLOOKUP("4mm Cable 3 core and Earth",'Part List'!$A:$G,3,FALSE))),VLOOKUP(L19,_Fan!N:P,2,FALSE))
+VLOOKUP(O19,_Fan!N:P,2,FALSE)
+IF(X19="Yes", F19*(VLOOKUP("7030 2 pair TCAS7302P",'Part List'!$A:$G,3,FALSE)),0)
+IF(M19="YES",VLOOKUP(M$1,_Fan!N:P,2,FALSE),0)+IF(X19="YES",VLOOKUP(X$1,_Fan!N:P,2,FALSE),0)
+IF(N19="YES",VLOOKUP(N$1,_Fan!N:P,2,FALSE),0)
+IF(P19="YES",VLOOKUP(P$1,_Fan!N:P,2,FALSE),0)
+IF(Q19="YES",VLOOKUP(Q$1,_Fan!N:P,2,FALSE),0)
+IF(R19="YES",VLOOKUP(R$1,_Fan!N:P,2,FALSE),0)
+IF(S19="YES",VLOOKUP(S$1,_Fan!N:P,2,FALSE),0)
+IF(T19="YES",VLOOKUP(T$1,_Fan!N:P,2,FALSE),0)
+IF(U19="YES",VLOOKUP(U$1,_Fan!N:P,2,FALSE),0)</f>
        <v>#N/A</v>
      </c>
      <c r="J19" s="430" t="e">
        <f>IF(NOT(W19="No"),VLOOKUP(W19,_Fan!N:P,3,FALSE) + IF(W19="VSD",F19*(VLOOKUP("Switchboard Cable 1mm",'Part List'!$A:$G,5,FALSE) + VLOOKUP("2.5mm Twin and Earth",'Part List'!$A:$G,5,FALSE)*2),F19*(VLOOKUP("7030 2 pair TCAS7302P",'Part List'!$A:$G,5,FALSE) + VLOOKUP("screened 4mm",'Part List'!$A:$G,5,FALSE))),VLOOKUP(L19,_Fan!N:P,3,FALSE))
+VLOOKUP(O19,_Fan!N:P,3,FALSE)
+IF(X19="Yes", F19*(VLOOKUP("7030 2 pair TCAS7302P",'Part List'!$A:$G,5,FALSE)),0)
+IF(M19="YES",VLOOKUP(M$1,_Fan!N:P,3,FALSE),0)+IF(X19="YES",VLOOKUP(X$1,_Fan!N:P,3,FALSE),0)
+IF(N19="YES",VLOOKUP(N$1,_Fan!N:P,3,FALSE),0)
+IF(P19="YES",VLOOKUP(P$1,_Fan!N:P,3,FALSE),0)
+IF(Q19="YES",VLOOKUP(Q$1,_Fan!N:P,3,FALSE),0)
+IF(R19="YES",VLOOKUP(R$1,_Fan!N:P,3,FALSE),0)
+IF(S19="YES",VLOOKUP(S$1,_Fan!N:P,3,FALSE),0)
+IF(T19="YES",VLOOKUP(T$1,_Fan!N:P,3,FALSE),0)
+IF(U19="YES",VLOOKUP(U$1,_Fan!N:P,3,FALSE),0)</f>
        <v>#N/A</v>
      </c>
      <c r="K19" s="430" t="str">
        <f t="shared" si="5"/>
        <v/>
      </c>
      <c r="L19" s="430" t="s">
        <v>678</v>
      </c>
      <c r="M19" s="430"/>
      <c r="N19" s="430"/>
      <c r="O19" s="430"/>
      <c r="P19" s="430"/>
      <c r="Q19" s="430"/>
      <c r="R19" s="430"/>
      <c r="S19" s="430"/>
      <c r="T19" s="430"/>
      <c r="U19" s="430"/>
      <c r="V19" s="430"/>
      <c r="W19" s="430"/>
      <c r="X19" s="430"/>
      <c r="Y19" s="432" t="str">
        <f t="shared" si="6"/>
        <v/>
      </c>
      <c r="Z19" s="114">
        <f t="shared" si="7"/>
        <v>0</v>
      </c>
      <c r="AA19" s="114" t="str">
        <f>_xlfn.CONCAT(E19," (",VLOOKUP(E19,[1]Backend!C:D,2,FALSE),")")</f>
        <v xml:space="preserve"> (Zero)</v>
      </c>
      <c r="AB19" s="114" t="str">
        <f t="shared" si="8"/>
        <v>0 - Electrical power supply and controls to  (Zero) fan</v>
      </c>
      <c r="AC19" s="114" t="str">
        <f t="shared" si="9"/>
        <v xml:space="preserve"> with: </v>
      </c>
      <c r="AD19" s="114" t="str">
        <f t="shared" si="10"/>
        <v xml:space="preserve">, </v>
      </c>
      <c r="AE19" s="114" t="str">
        <f t="shared" si="11"/>
        <v>from MSSB Power Supply</v>
      </c>
      <c r="AF19" s="114" t="str">
        <f t="shared" si="15"/>
        <v>0 - Electrical power supply and controls to  (Zero) fan with: , from MSSB Power Supply</v>
      </c>
      <c r="AG19" s="114" t="str">
        <f t="shared" si="12"/>
        <v>0.1 - This includes supply and install of power and controls.</v>
      </c>
      <c r="AH19" s="114" t="str">
        <f>_xlfn.CONCAT(Z19,".2 - Power for system includes: ",VLOOKUP(L19,_Fan!N:Q,4,FALSE))</f>
        <v xml:space="preserve">0.2 - Power for system includes: CB and cabling to fan from MSSB, and local isolator, </v>
      </c>
      <c r="AI19" s="114" t="e">
        <f t="shared" si="1"/>
        <v>#N/A</v>
      </c>
      <c r="AJ19" s="114" t="e">
        <f>_xlfn.CONCAT(IF(M19="Yes",VLOOKUP(M$1,_Fan!N:AB,4,FALSE),""),IF(N19="Yes",VLOOKUP(N$1,_Fan!N:AB,4,FALSE),""),IF(NOT(O19="No"),VLOOKUP(O19,_Fan!N:AB,4,FALSE),""),IF(P19="Yes",VLOOKUP(P$1,_Fan!N:AB,4,FALSE),""),IF(Q19="Yes",VLOOKUP(Q$1,_Fan!N:AB,4,FALSE),""),IF(R19="Yes",VLOOKUP(R$1,_Fan!N:AB,4,FALSE),""),IF(S19="Yes",VLOOKUP(S$1,_Fan!N:AB,4,FALSE),""),IF(T19="Yes",VLOOKUP(T$1,_Fan!N:AB,4,FALSE),""),IF(U19="Yes",VLOOKUP(U$1,_Fan!N:AB,4,FALSE),""))</f>
        <v>#N/A</v>
      </c>
      <c r="AL19" s="114" t="str">
        <f t="shared" si="13"/>
        <v xml:space="preserve">fan with: , </v>
      </c>
    </row>
    <row r="20" spans="1:38" x14ac:dyDescent="0.4">
      <c r="A20" s="429" t="str">
        <f t="shared" si="14"/>
        <v>INVALID</v>
      </c>
      <c r="B20" s="430" t="str">
        <f t="shared" si="2"/>
        <v>Fan 19</v>
      </c>
      <c r="C20" s="431">
        <f t="shared" si="3"/>
        <v>0</v>
      </c>
      <c r="D20" s="430">
        <f t="shared" si="4"/>
        <v>0</v>
      </c>
      <c r="E20" s="430"/>
      <c r="F20" s="430">
        <f t="shared" si="0"/>
        <v>20</v>
      </c>
      <c r="G20" s="430"/>
      <c r="H20" s="430"/>
      <c r="I20" s="430" t="e">
        <f>IF(NOT(W20="No"),VLOOKUP(W20,_Fan!N:P,2,FALSE) + IF(W20="VSD",F20*(VLOOKUP("Switchboard Cable 1mm",'Part List'!$A:$G,3,FALSE) + VLOOKUP("2.5mm Twin and Earth",'Part List'!$A:$G,3,FALSE)*2),F20*(VLOOKUP("7030 2 pair TCAS7302P",'Part List'!$A:$G,3,FALSE) + VLOOKUP("screened 4mm",'Part List'!$A:$G,3,FALSE) + VLOOKUP("4mm Cable 3 core and Earth",'Part List'!$A:$G,3,FALSE))),VLOOKUP(L20,_Fan!N:P,2,FALSE))
+VLOOKUP(O20,_Fan!N:P,2,FALSE)
+IF(X20="Yes", F20*(VLOOKUP("7030 2 pair TCAS7302P",'Part List'!$A:$G,3,FALSE)),0)
+IF(M20="YES",VLOOKUP(M$1,_Fan!N:P,2,FALSE),0)+IF(X20="YES",VLOOKUP(X$1,_Fan!N:P,2,FALSE),0)
+IF(N20="YES",VLOOKUP(N$1,_Fan!N:P,2,FALSE),0)
+IF(P20="YES",VLOOKUP(P$1,_Fan!N:P,2,FALSE),0)
+IF(Q20="YES",VLOOKUP(Q$1,_Fan!N:P,2,FALSE),0)
+IF(R20="YES",VLOOKUP(R$1,_Fan!N:P,2,FALSE),0)
+IF(S20="YES",VLOOKUP(S$1,_Fan!N:P,2,FALSE),0)
+IF(T20="YES",VLOOKUP(T$1,_Fan!N:P,2,FALSE),0)
+IF(U20="YES",VLOOKUP(U$1,_Fan!N:P,2,FALSE),0)</f>
        <v>#N/A</v>
      </c>
      <c r="J20" s="430" t="e">
        <f>IF(NOT(W20="No"),VLOOKUP(W20,_Fan!N:P,3,FALSE) + IF(W20="VSD",F20*(VLOOKUP("Switchboard Cable 1mm",'Part List'!$A:$G,5,FALSE) + VLOOKUP("2.5mm Twin and Earth",'Part List'!$A:$G,5,FALSE)*2),F20*(VLOOKUP("7030 2 pair TCAS7302P",'Part List'!$A:$G,5,FALSE) + VLOOKUP("screened 4mm",'Part List'!$A:$G,5,FALSE))),VLOOKUP(L20,_Fan!N:P,3,FALSE))
+VLOOKUP(O20,_Fan!N:P,3,FALSE)
+IF(X20="Yes", F20*(VLOOKUP("7030 2 pair TCAS7302P",'Part List'!$A:$G,5,FALSE)),0)
+IF(M20="YES",VLOOKUP(M$1,_Fan!N:P,3,FALSE),0)+IF(X20="YES",VLOOKUP(X$1,_Fan!N:P,3,FALSE),0)
+IF(N20="YES",VLOOKUP(N$1,_Fan!N:P,3,FALSE),0)
+IF(P20="YES",VLOOKUP(P$1,_Fan!N:P,3,FALSE),0)
+IF(Q20="YES",VLOOKUP(Q$1,_Fan!N:P,3,FALSE),0)
+IF(R20="YES",VLOOKUP(R$1,_Fan!N:P,3,FALSE),0)
+IF(S20="YES",VLOOKUP(S$1,_Fan!N:P,3,FALSE),0)
+IF(T20="YES",VLOOKUP(T$1,_Fan!N:P,3,FALSE),0)
+IF(U20="YES",VLOOKUP(U$1,_Fan!N:P,3,FALSE),0)</f>
        <v>#N/A</v>
      </c>
      <c r="K20" s="430" t="str">
        <f t="shared" si="5"/>
        <v/>
      </c>
      <c r="L20" s="430" t="s">
        <v>678</v>
      </c>
      <c r="M20" s="430"/>
      <c r="N20" s="430"/>
      <c r="O20" s="430"/>
      <c r="P20" s="430"/>
      <c r="Q20" s="430"/>
      <c r="R20" s="430"/>
      <c r="S20" s="430"/>
      <c r="T20" s="430"/>
      <c r="U20" s="430"/>
      <c r="V20" s="430"/>
      <c r="W20" s="430"/>
      <c r="X20" s="430"/>
      <c r="Y20" s="432" t="str">
        <f t="shared" si="6"/>
        <v/>
      </c>
      <c r="Z20" s="114">
        <f t="shared" si="7"/>
        <v>0</v>
      </c>
      <c r="AA20" s="114" t="str">
        <f>_xlfn.CONCAT(E20," (",VLOOKUP(E20,[1]Backend!C:D,2,FALSE),")")</f>
        <v xml:space="preserve"> (Zero)</v>
      </c>
      <c r="AB20" s="114" t="str">
        <f t="shared" si="8"/>
        <v>0 - Electrical power supply and controls to  (Zero) fan</v>
      </c>
      <c r="AC20" s="114" t="str">
        <f t="shared" si="9"/>
        <v xml:space="preserve"> with: </v>
      </c>
      <c r="AD20" s="114" t="str">
        <f t="shared" si="10"/>
        <v xml:space="preserve">, </v>
      </c>
      <c r="AE20" s="114" t="str">
        <f t="shared" si="11"/>
        <v>from MSSB Power Supply</v>
      </c>
      <c r="AF20" s="114" t="str">
        <f t="shared" si="15"/>
        <v>0 - Electrical power supply and controls to  (Zero) fan with: , from MSSB Power Supply</v>
      </c>
      <c r="AG20" s="114" t="str">
        <f t="shared" si="12"/>
        <v>0.1 - This includes supply and install of power and controls.</v>
      </c>
      <c r="AH20" s="114" t="str">
        <f>_xlfn.CONCAT(Z20,".2 - Power for system includes: ",VLOOKUP(L20,_Fan!N:Q,4,FALSE))</f>
        <v xml:space="preserve">0.2 - Power for system includes: CB and cabling to fan from MSSB, and local isolator, </v>
      </c>
      <c r="AI20" s="114" t="e">
        <f t="shared" si="1"/>
        <v>#N/A</v>
      </c>
      <c r="AJ20" s="114" t="e">
        <f>_xlfn.CONCAT(IF(M20="Yes",VLOOKUP(M$1,_Fan!N:AB,4,FALSE),""),IF(N20="Yes",VLOOKUP(N$1,_Fan!N:AB,4,FALSE),""),IF(NOT(O20="No"),VLOOKUP(O20,_Fan!N:AB,4,FALSE),""),IF(P20="Yes",VLOOKUP(P$1,_Fan!N:AB,4,FALSE),""),IF(Q20="Yes",VLOOKUP(Q$1,_Fan!N:AB,4,FALSE),""),IF(R20="Yes",VLOOKUP(R$1,_Fan!N:AB,4,FALSE),""),IF(S20="Yes",VLOOKUP(S$1,_Fan!N:AB,4,FALSE),""),IF(T20="Yes",VLOOKUP(T$1,_Fan!N:AB,4,FALSE),""),IF(U20="Yes",VLOOKUP(U$1,_Fan!N:AB,4,FALSE),""))</f>
        <v>#N/A</v>
      </c>
      <c r="AL20" s="114" t="str">
        <f t="shared" si="13"/>
        <v xml:space="preserve">fan with: , </v>
      </c>
    </row>
    <row r="21" spans="1:38" x14ac:dyDescent="0.4">
      <c r="A21" s="429" t="str">
        <f t="shared" si="14"/>
        <v>INVALID</v>
      </c>
      <c r="B21" s="430" t="str">
        <f t="shared" si="2"/>
        <v>Fan 20</v>
      </c>
      <c r="C21" s="431">
        <f t="shared" si="3"/>
        <v>0</v>
      </c>
      <c r="D21" s="430">
        <f t="shared" si="4"/>
        <v>0</v>
      </c>
      <c r="E21" s="430"/>
      <c r="F21" s="430">
        <f t="shared" si="0"/>
        <v>20</v>
      </c>
      <c r="G21" s="430"/>
      <c r="H21" s="430"/>
      <c r="I21" s="430" t="e">
        <f>IF(NOT(W21="No"),VLOOKUP(W21,_Fan!N:P,2,FALSE) + IF(W21="VSD",F21*(VLOOKUP("Switchboard Cable 1mm",'Part List'!$A:$G,3,FALSE) + VLOOKUP("2.5mm Twin and Earth",'Part List'!$A:$G,3,FALSE)*2),F21*(VLOOKUP("7030 2 pair TCAS7302P",'Part List'!$A:$G,3,FALSE) + VLOOKUP("screened 4mm",'Part List'!$A:$G,3,FALSE) + VLOOKUP("4mm Cable 3 core and Earth",'Part List'!$A:$G,3,FALSE))),VLOOKUP(L21,_Fan!N:P,2,FALSE))
+VLOOKUP(O21,_Fan!N:P,2,FALSE)
+IF(X21="Yes", F21*(VLOOKUP("7030 2 pair TCAS7302P",'Part List'!$A:$G,3,FALSE)),0)
+IF(M21="YES",VLOOKUP(M$1,_Fan!N:P,2,FALSE),0)+IF(X21="YES",VLOOKUP(X$1,_Fan!N:P,2,FALSE),0)
+IF(N21="YES",VLOOKUP(N$1,_Fan!N:P,2,FALSE),0)
+IF(P21="YES",VLOOKUP(P$1,_Fan!N:P,2,FALSE),0)
+IF(Q21="YES",VLOOKUP(Q$1,_Fan!N:P,2,FALSE),0)
+IF(R21="YES",VLOOKUP(R$1,_Fan!N:P,2,FALSE),0)
+IF(S21="YES",VLOOKUP(S$1,_Fan!N:P,2,FALSE),0)
+IF(T21="YES",VLOOKUP(T$1,_Fan!N:P,2,FALSE),0)
+IF(U21="YES",VLOOKUP(U$1,_Fan!N:P,2,FALSE),0)</f>
        <v>#N/A</v>
      </c>
      <c r="J21" s="430" t="e">
        <f>IF(NOT(W21="No"),VLOOKUP(W21,_Fan!N:P,3,FALSE) + IF(W21="VSD",F21*(VLOOKUP("Switchboard Cable 1mm",'Part List'!$A:$G,5,FALSE) + VLOOKUP("2.5mm Twin and Earth",'Part List'!$A:$G,5,FALSE)*2),F21*(VLOOKUP("7030 2 pair TCAS7302P",'Part List'!$A:$G,5,FALSE) + VLOOKUP("screened 4mm",'Part List'!$A:$G,5,FALSE))),VLOOKUP(L21,_Fan!N:P,3,FALSE))
+VLOOKUP(O21,_Fan!N:P,3,FALSE)
+IF(X21="Yes", F21*(VLOOKUP("7030 2 pair TCAS7302P",'Part List'!$A:$G,5,FALSE)),0)
+IF(M21="YES",VLOOKUP(M$1,_Fan!N:P,3,FALSE),0)+IF(X21="YES",VLOOKUP(X$1,_Fan!N:P,3,FALSE),0)
+IF(N21="YES",VLOOKUP(N$1,_Fan!N:P,3,FALSE),0)
+IF(P21="YES",VLOOKUP(P$1,_Fan!N:P,3,FALSE),0)
+IF(Q21="YES",VLOOKUP(Q$1,_Fan!N:P,3,FALSE),0)
+IF(R21="YES",VLOOKUP(R$1,_Fan!N:P,3,FALSE),0)
+IF(S21="YES",VLOOKUP(S$1,_Fan!N:P,3,FALSE),0)
+IF(T21="YES",VLOOKUP(T$1,_Fan!N:P,3,FALSE),0)
+IF(U21="YES",VLOOKUP(U$1,_Fan!N:P,3,FALSE),0)</f>
        <v>#N/A</v>
      </c>
      <c r="K21" s="430" t="str">
        <f t="shared" si="5"/>
        <v/>
      </c>
      <c r="L21" s="430" t="s">
        <v>678</v>
      </c>
      <c r="M21" s="430"/>
      <c r="N21" s="430"/>
      <c r="O21" s="430"/>
      <c r="P21" s="430"/>
      <c r="Q21" s="430"/>
      <c r="R21" s="430"/>
      <c r="S21" s="430"/>
      <c r="T21" s="430"/>
      <c r="U21" s="430"/>
      <c r="V21" s="430"/>
      <c r="W21" s="430"/>
      <c r="X21" s="430"/>
      <c r="Y21" s="432" t="str">
        <f t="shared" si="6"/>
        <v/>
      </c>
      <c r="Z21" s="114">
        <f t="shared" si="7"/>
        <v>0</v>
      </c>
      <c r="AA21" s="114" t="str">
        <f>_xlfn.CONCAT(E21," (",VLOOKUP(E21,[1]Backend!C:D,2,FALSE),")")</f>
        <v xml:space="preserve"> (Zero)</v>
      </c>
      <c r="AB21" s="114" t="str">
        <f t="shared" si="8"/>
        <v>0 - Electrical power supply and controls to  (Zero) fan</v>
      </c>
      <c r="AC21" s="114" t="str">
        <f t="shared" si="9"/>
        <v xml:space="preserve"> with: </v>
      </c>
      <c r="AD21" s="114" t="str">
        <f t="shared" si="10"/>
        <v xml:space="preserve">, </v>
      </c>
      <c r="AE21" s="114" t="str">
        <f t="shared" si="11"/>
        <v>from MSSB Power Supply</v>
      </c>
      <c r="AF21" s="114" t="str">
        <f t="shared" si="15"/>
        <v>0 - Electrical power supply and controls to  (Zero) fan with: , from MSSB Power Supply</v>
      </c>
      <c r="AG21" s="114" t="str">
        <f t="shared" si="12"/>
        <v>0.1 - This includes supply and install of power and controls.</v>
      </c>
      <c r="AH21" s="114" t="str">
        <f>_xlfn.CONCAT(Z21,".2 - Power for system includes: ",VLOOKUP(L21,_Fan!N:Q,4,FALSE))</f>
        <v xml:space="preserve">0.2 - Power for system includes: CB and cabling to fan from MSSB, and local isolator, </v>
      </c>
      <c r="AI21" s="114" t="e">
        <f t="shared" si="1"/>
        <v>#N/A</v>
      </c>
      <c r="AJ21" s="114" t="e">
        <f>_xlfn.CONCAT(IF(M21="Yes",VLOOKUP(M$1,_Fan!N:AB,4,FALSE),""),IF(N21="Yes",VLOOKUP(N$1,_Fan!N:AB,4,FALSE),""),IF(NOT(O21="No"),VLOOKUP(O21,_Fan!N:AB,4,FALSE),""),IF(P21="Yes",VLOOKUP(P$1,_Fan!N:AB,4,FALSE),""),IF(Q21="Yes",VLOOKUP(Q$1,_Fan!N:AB,4,FALSE),""),IF(R21="Yes",VLOOKUP(R$1,_Fan!N:AB,4,FALSE),""),IF(S21="Yes",VLOOKUP(S$1,_Fan!N:AB,4,FALSE),""),IF(T21="Yes",VLOOKUP(T$1,_Fan!N:AB,4,FALSE),""),IF(U21="Yes",VLOOKUP(U$1,_Fan!N:AB,4,FALSE),""))</f>
        <v>#N/A</v>
      </c>
      <c r="AL21" s="114" t="str">
        <f t="shared" si="13"/>
        <v xml:space="preserve">fan with: , </v>
      </c>
    </row>
    <row r="22" spans="1:38" x14ac:dyDescent="0.4">
      <c r="A22" s="429" t="str">
        <f t="shared" si="14"/>
        <v>INVALID</v>
      </c>
      <c r="B22" s="430" t="str">
        <f t="shared" si="2"/>
        <v>Fan 21</v>
      </c>
      <c r="C22" s="431">
        <f t="shared" si="3"/>
        <v>0</v>
      </c>
      <c r="D22" s="430">
        <f t="shared" si="4"/>
        <v>0</v>
      </c>
      <c r="E22" s="430"/>
      <c r="F22" s="430">
        <f t="shared" si="0"/>
        <v>20</v>
      </c>
      <c r="G22" s="430"/>
      <c r="H22" s="430"/>
      <c r="I22" s="430" t="e">
        <f>IF(NOT(W22="No"),VLOOKUP(W22,_Fan!N:P,2,FALSE) + IF(W22="VSD",F22*(VLOOKUP("Switchboard Cable 1mm",'Part List'!$A:$G,3,FALSE) + VLOOKUP("2.5mm Twin and Earth",'Part List'!$A:$G,3,FALSE)*2),F22*(VLOOKUP("7030 2 pair TCAS7302P",'Part List'!$A:$G,3,FALSE) + VLOOKUP("screened 4mm",'Part List'!$A:$G,3,FALSE) + VLOOKUP("4mm Cable 3 core and Earth",'Part List'!$A:$G,3,FALSE))),VLOOKUP(L22,_Fan!N:P,2,FALSE))
+VLOOKUP(O22,_Fan!N:P,2,FALSE)
+IF(X22="Yes", F22*(VLOOKUP("7030 2 pair TCAS7302P",'Part List'!$A:$G,3,FALSE)),0)
+IF(M22="YES",VLOOKUP(M$1,_Fan!N:P,2,FALSE),0)+IF(X22="YES",VLOOKUP(X$1,_Fan!N:P,2,FALSE),0)
+IF(N22="YES",VLOOKUP(N$1,_Fan!N:P,2,FALSE),0)
+IF(P22="YES",VLOOKUP(P$1,_Fan!N:P,2,FALSE),0)
+IF(Q22="YES",VLOOKUP(Q$1,_Fan!N:P,2,FALSE),0)
+IF(R22="YES",VLOOKUP(R$1,_Fan!N:P,2,FALSE),0)
+IF(S22="YES",VLOOKUP(S$1,_Fan!N:P,2,FALSE),0)
+IF(T22="YES",VLOOKUP(T$1,_Fan!N:P,2,FALSE),0)
+IF(U22="YES",VLOOKUP(U$1,_Fan!N:P,2,FALSE),0)</f>
        <v>#N/A</v>
      </c>
      <c r="J22" s="430" t="e">
        <f>IF(NOT(W22="No"),VLOOKUP(W22,_Fan!N:P,3,FALSE) + IF(W22="VSD",F22*(VLOOKUP("Switchboard Cable 1mm",'Part List'!$A:$G,5,FALSE) + VLOOKUP("2.5mm Twin and Earth",'Part List'!$A:$G,5,FALSE)*2),F22*(VLOOKUP("7030 2 pair TCAS7302P",'Part List'!$A:$G,5,FALSE) + VLOOKUP("screened 4mm",'Part List'!$A:$G,5,FALSE))),VLOOKUP(L22,_Fan!N:P,3,FALSE))
+VLOOKUP(O22,_Fan!N:P,3,FALSE)
+IF(X22="Yes", F22*(VLOOKUP("7030 2 pair TCAS7302P",'Part List'!$A:$G,5,FALSE)),0)
+IF(M22="YES",VLOOKUP(M$1,_Fan!N:P,3,FALSE),0)+IF(X22="YES",VLOOKUP(X$1,_Fan!N:P,3,FALSE),0)
+IF(N22="YES",VLOOKUP(N$1,_Fan!N:P,3,FALSE),0)
+IF(P22="YES",VLOOKUP(P$1,_Fan!N:P,3,FALSE),0)
+IF(Q22="YES",VLOOKUP(Q$1,_Fan!N:P,3,FALSE),0)
+IF(R22="YES",VLOOKUP(R$1,_Fan!N:P,3,FALSE),0)
+IF(S22="YES",VLOOKUP(S$1,_Fan!N:P,3,FALSE),0)
+IF(T22="YES",VLOOKUP(T$1,_Fan!N:P,3,FALSE),0)
+IF(U22="YES",VLOOKUP(U$1,_Fan!N:P,3,FALSE),0)</f>
        <v>#N/A</v>
      </c>
      <c r="K22" s="430" t="str">
        <f t="shared" si="5"/>
        <v/>
      </c>
      <c r="L22" s="430" t="s">
        <v>678</v>
      </c>
      <c r="M22" s="430"/>
      <c r="N22" s="430"/>
      <c r="O22" s="430"/>
      <c r="P22" s="430"/>
      <c r="Q22" s="430"/>
      <c r="R22" s="430"/>
      <c r="S22" s="430"/>
      <c r="T22" s="430"/>
      <c r="U22" s="430"/>
      <c r="V22" s="430"/>
      <c r="W22" s="430"/>
      <c r="X22" s="430"/>
      <c r="Y22" s="432" t="str">
        <f t="shared" si="6"/>
        <v/>
      </c>
      <c r="Z22" s="114">
        <f t="shared" si="7"/>
        <v>0</v>
      </c>
      <c r="AA22" s="114" t="str">
        <f>_xlfn.CONCAT(E22," (",VLOOKUP(E22,[1]Backend!C:D,2,FALSE),")")</f>
        <v xml:space="preserve"> (Zero)</v>
      </c>
      <c r="AB22" s="114" t="str">
        <f t="shared" si="8"/>
        <v>0 - Electrical power supply and controls to  (Zero) fan</v>
      </c>
      <c r="AC22" s="114" t="str">
        <f t="shared" si="9"/>
        <v xml:space="preserve"> with: </v>
      </c>
      <c r="AD22" s="114" t="str">
        <f t="shared" si="10"/>
        <v xml:space="preserve">, </v>
      </c>
      <c r="AE22" s="114" t="str">
        <f t="shared" si="11"/>
        <v>from MSSB Power Supply</v>
      </c>
      <c r="AF22" s="114" t="str">
        <f t="shared" si="15"/>
        <v>0 - Electrical power supply and controls to  (Zero) fan with: , from MSSB Power Supply</v>
      </c>
      <c r="AG22" s="114" t="str">
        <f t="shared" si="12"/>
        <v>0.1 - This includes supply and install of power and controls.</v>
      </c>
      <c r="AH22" s="114" t="str">
        <f>_xlfn.CONCAT(Z22,".2 - Power for system includes: ",VLOOKUP(L22,_Fan!N:Q,4,FALSE))</f>
        <v xml:space="preserve">0.2 - Power for system includes: CB and cabling to fan from MSSB, and local isolator, </v>
      </c>
      <c r="AI22" s="114" t="e">
        <f t="shared" si="1"/>
        <v>#N/A</v>
      </c>
      <c r="AJ22" s="114" t="e">
        <f>_xlfn.CONCAT(IF(M22="Yes",VLOOKUP(M$1,_Fan!N:AB,4,FALSE),""),IF(N22="Yes",VLOOKUP(N$1,_Fan!N:AB,4,FALSE),""),IF(NOT(O22="No"),VLOOKUP(O22,_Fan!N:AB,4,FALSE),""),IF(P22="Yes",VLOOKUP(P$1,_Fan!N:AB,4,FALSE),""),IF(Q22="Yes",VLOOKUP(Q$1,_Fan!N:AB,4,FALSE),""),IF(R22="Yes",VLOOKUP(R$1,_Fan!N:AB,4,FALSE),""),IF(S22="Yes",VLOOKUP(S$1,_Fan!N:AB,4,FALSE),""),IF(T22="Yes",VLOOKUP(T$1,_Fan!N:AB,4,FALSE),""),IF(U22="Yes",VLOOKUP(U$1,_Fan!N:AB,4,FALSE),""))</f>
        <v>#N/A</v>
      </c>
      <c r="AL22" s="114" t="str">
        <f t="shared" si="13"/>
        <v xml:space="preserve">fan with: , </v>
      </c>
    </row>
    <row r="23" spans="1:38" x14ac:dyDescent="0.4">
      <c r="B23" s="296"/>
      <c r="F23" s="430">
        <f>IF(COUNTBLANK(H23)=0,H23,IF(L23="Local",5,20))</f>
        <v>20</v>
      </c>
    </row>
    <row r="24" spans="1:38" x14ac:dyDescent="0.4">
      <c r="B24" s="296"/>
      <c r="F24" s="430">
        <f t="shared" si="0"/>
        <v>20</v>
      </c>
    </row>
    <row r="25" spans="1:38" x14ac:dyDescent="0.4">
      <c r="B25" s="296"/>
      <c r="U25" s="433"/>
      <c r="V25" s="433"/>
      <c r="W25" s="433"/>
      <c r="X25" s="433"/>
    </row>
  </sheetData>
  <conditionalFormatting sqref="A2:A22">
    <cfRule type="cellIs" dxfId="176" priority="29" operator="equal">
      <formula>"INVALID"</formula>
    </cfRule>
    <cfRule type="cellIs" dxfId="175" priority="30" operator="equal">
      <formula>"VALID"</formula>
    </cfRule>
  </conditionalFormatting>
  <conditionalFormatting sqref="L6:N22 L2:O2 P6:U22 O5:O22 L2:L5">
    <cfRule type="cellIs" dxfId="174" priority="28" operator="equal">
      <formula>$ZR$2</formula>
    </cfRule>
  </conditionalFormatting>
  <conditionalFormatting sqref="AI1:AI1048576">
    <cfRule type="colorScale" priority="27">
      <colorScale>
        <cfvo type="min"/>
        <cfvo type="max"/>
        <color rgb="FF63BE7B"/>
        <color rgb="FFFCFCFF"/>
      </colorScale>
    </cfRule>
  </conditionalFormatting>
  <conditionalFormatting sqref="V6:V22 X6:X22">
    <cfRule type="cellIs" dxfId="173" priority="26" operator="equal">
      <formula>$ZR$2</formula>
    </cfRule>
  </conditionalFormatting>
  <conditionalFormatting sqref="W2:W22">
    <cfRule type="cellIs" dxfId="172" priority="22" operator="equal">
      <formula>$ZR$2</formula>
    </cfRule>
  </conditionalFormatting>
  <conditionalFormatting sqref="M5:V5 X5">
    <cfRule type="cellIs" dxfId="171" priority="16" operator="equal">
      <formula>$ZR$2</formula>
    </cfRule>
  </conditionalFormatting>
  <conditionalFormatting sqref="R2">
    <cfRule type="cellIs" dxfId="170" priority="14" operator="equal">
      <formula>$ZR$2</formula>
    </cfRule>
  </conditionalFormatting>
  <conditionalFormatting sqref="P2:Q2">
    <cfRule type="cellIs" dxfId="169" priority="12" operator="equal">
      <formula>$ZR$2</formula>
    </cfRule>
  </conditionalFormatting>
  <conditionalFormatting sqref="S2:V2 X2">
    <cfRule type="cellIs" dxfId="168" priority="10" operator="equal">
      <formula>$ZR$2</formula>
    </cfRule>
  </conditionalFormatting>
  <conditionalFormatting sqref="O4">
    <cfRule type="cellIs" dxfId="167" priority="9" operator="equal">
      <formula>$ZR$2</formula>
    </cfRule>
  </conditionalFormatting>
  <conditionalFormatting sqref="N4">
    <cfRule type="cellIs" dxfId="166" priority="8" operator="equal">
      <formula>$ZR$2</formula>
    </cfRule>
  </conditionalFormatting>
  <conditionalFormatting sqref="M4">
    <cfRule type="cellIs" dxfId="165" priority="7" operator="equal">
      <formula>$ZR$2</formula>
    </cfRule>
  </conditionalFormatting>
  <conditionalFormatting sqref="P4:Q4">
    <cfRule type="cellIs" dxfId="164" priority="6" operator="equal">
      <formula>$ZR$2</formula>
    </cfRule>
  </conditionalFormatting>
  <conditionalFormatting sqref="R4:V4 X4">
    <cfRule type="cellIs" dxfId="163" priority="5" operator="equal">
      <formula>$ZR$2</formula>
    </cfRule>
  </conditionalFormatting>
  <conditionalFormatting sqref="M3:O3">
    <cfRule type="cellIs" dxfId="162" priority="4" operator="equal">
      <formula>$ZR$2</formula>
    </cfRule>
  </conditionalFormatting>
  <conditionalFormatting sqref="R3">
    <cfRule type="cellIs" dxfId="161" priority="3" operator="equal">
      <formula>$ZR$2</formula>
    </cfRule>
  </conditionalFormatting>
  <conditionalFormatting sqref="P3:Q3">
    <cfRule type="cellIs" dxfId="160" priority="2" operator="equal">
      <formula>$ZR$2</formula>
    </cfRule>
  </conditionalFormatting>
  <conditionalFormatting sqref="S3:V3 X3">
    <cfRule type="cellIs" dxfId="159" priority="1" operator="equal">
      <formula>$ZR$2</formula>
    </cfRule>
  </conditionalFormatting>
  <dataValidations count="1">
    <dataValidation type="decimal" operator="greaterThanOrEqual" allowBlank="1" showInputMessage="1" showErrorMessage="1" promptTitle="[OVERRIDE] Hours" prompt="Override the default hours for the unit_x000a_" sqref="J2:J22" xr:uid="{9404B34E-618C-4660-8B3C-C8569DADBA11}">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9556F34E-D66B-4600-A711-AAF619CEB765}">
          <x14:formula1>
            <xm:f>_Fan!D$2:D$6</xm:f>
          </x14:formula1>
          <xm:sqref>O2:O4 O6:O22</xm:sqref>
        </x14:dataValidation>
        <x14:dataValidation type="list" allowBlank="1" showInputMessage="1" showErrorMessage="1" xr:uid="{09319789-730F-428C-886B-F7B28E9DEBF1}">
          <x14:formula1>
            <xm:f>_Fan!A$2:A$3</xm:f>
          </x14:formula1>
          <xm:sqref>M5:V5 M6:N22 L2:L22 M2:N4 P6:V22 P2:V4 X2:X22</xm:sqref>
        </x14:dataValidation>
        <x14:dataValidation type="list" allowBlank="1" showInputMessage="1" showErrorMessage="1" xr:uid="{230CBC57-3B20-4378-969D-7E45D6899B52}">
          <x14:formula1>
            <xm:f>_Fan!L$2:L$4</xm:f>
          </x14:formula1>
          <xm:sqref>W2:W22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BA750-E3F7-4189-BC9A-A7FBD092F44A}">
  <dimension ref="A1:AF38"/>
  <sheetViews>
    <sheetView topLeftCell="T22" workbookViewId="0">
      <selection activeCell="U38" sqref="U38"/>
    </sheetView>
  </sheetViews>
  <sheetFormatPr defaultColWidth="9.3046875" defaultRowHeight="14.6" x14ac:dyDescent="0.4"/>
  <cols>
    <col min="1" max="3" width="12.3046875" style="114" customWidth="1"/>
    <col min="4" max="4" width="29.84375" style="114" customWidth="1"/>
    <col min="5" max="10" width="12.3046875" style="114" customWidth="1"/>
    <col min="11" max="13" width="9.3046875" style="114"/>
    <col min="14" max="14" width="27.69140625" style="114" customWidth="1"/>
    <col min="15" max="17" width="9.3046875" style="114"/>
    <col min="18" max="18" width="21.3828125" style="114" customWidth="1"/>
    <col min="19" max="19" width="28.15234375" style="114" customWidth="1"/>
    <col min="20" max="20" width="40.84375" style="114" customWidth="1"/>
    <col min="21" max="29" width="9.3046875" style="114"/>
    <col min="30" max="30" width="25" style="114" customWidth="1"/>
    <col min="31" max="31" width="27.3828125" style="114" customWidth="1"/>
    <col min="32" max="16384" width="9.3046875" style="114"/>
  </cols>
  <sheetData>
    <row r="1" spans="1:26" s="418" customFormat="1" ht="29.15" x14ac:dyDescent="0.4">
      <c r="A1" s="418" t="s">
        <v>676</v>
      </c>
      <c r="B1" s="418" t="s">
        <v>983</v>
      </c>
      <c r="C1" s="418" t="s">
        <v>984</v>
      </c>
      <c r="D1" s="418" t="s">
        <v>985</v>
      </c>
      <c r="E1" s="418" t="s">
        <v>669</v>
      </c>
      <c r="F1" s="418" t="s">
        <v>986</v>
      </c>
      <c r="G1" s="418" t="s">
        <v>987</v>
      </c>
      <c r="H1" s="418" t="s">
        <v>988</v>
      </c>
      <c r="I1" s="418" t="s">
        <v>989</v>
      </c>
      <c r="J1" s="418" t="s">
        <v>990</v>
      </c>
      <c r="K1" s="418" t="s">
        <v>1241</v>
      </c>
      <c r="L1" s="418" t="s">
        <v>1285</v>
      </c>
      <c r="M1" s="418" t="s">
        <v>1004</v>
      </c>
      <c r="N1" s="418" t="s">
        <v>995</v>
      </c>
      <c r="O1" s="418" t="s">
        <v>996</v>
      </c>
      <c r="P1" s="418" t="s">
        <v>997</v>
      </c>
    </row>
    <row r="2" spans="1:26" x14ac:dyDescent="0.4">
      <c r="A2" s="114" t="s">
        <v>991</v>
      </c>
      <c r="B2" s="114" t="s">
        <v>886</v>
      </c>
      <c r="C2" s="114" t="s">
        <v>886</v>
      </c>
      <c r="D2" s="114" t="s">
        <v>985</v>
      </c>
      <c r="E2" s="114" t="s">
        <v>886</v>
      </c>
      <c r="F2" s="114" t="s">
        <v>886</v>
      </c>
      <c r="G2" s="114" t="s">
        <v>886</v>
      </c>
      <c r="H2" s="114" t="s">
        <v>886</v>
      </c>
      <c r="I2" s="114" t="s">
        <v>886</v>
      </c>
      <c r="J2" s="114" t="s">
        <v>886</v>
      </c>
      <c r="K2" s="114" t="s">
        <v>886</v>
      </c>
      <c r="L2" s="114" t="s">
        <v>887</v>
      </c>
      <c r="M2" s="114" t="s">
        <v>886</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68.45</v>
      </c>
      <c r="P2" s="114">
        <v>2</v>
      </c>
      <c r="Q2" s="114" t="s">
        <v>998</v>
      </c>
      <c r="R2" s="114" t="s">
        <v>253</v>
      </c>
      <c r="S2" s="114" t="s">
        <v>999</v>
      </c>
      <c r="T2" s="114" t="s">
        <v>268</v>
      </c>
      <c r="U2" s="114" t="s">
        <v>1000</v>
      </c>
      <c r="V2" s="114" t="s">
        <v>1001</v>
      </c>
    </row>
    <row r="3" spans="1:26" x14ac:dyDescent="0.4">
      <c r="A3" s="114" t="s">
        <v>678</v>
      </c>
      <c r="B3" s="114" t="s">
        <v>887</v>
      </c>
      <c r="C3" s="114" t="s">
        <v>887</v>
      </c>
      <c r="D3" s="114" t="s">
        <v>993</v>
      </c>
      <c r="E3" s="114" t="s">
        <v>887</v>
      </c>
      <c r="F3" s="114" t="s">
        <v>887</v>
      </c>
      <c r="G3" s="114" t="s">
        <v>887</v>
      </c>
      <c r="H3" s="114" t="s">
        <v>887</v>
      </c>
      <c r="I3" s="114" t="s">
        <v>887</v>
      </c>
      <c r="J3" s="114" t="s">
        <v>887</v>
      </c>
      <c r="K3" s="114" t="s">
        <v>887</v>
      </c>
      <c r="L3" s="114" t="s">
        <v>1246</v>
      </c>
      <c r="M3" s="114" t="s">
        <v>887</v>
      </c>
      <c r="R3" s="114">
        <v>1</v>
      </c>
      <c r="S3" s="114">
        <v>0</v>
      </c>
      <c r="T3" s="114" t="s">
        <v>1002</v>
      </c>
      <c r="U3" s="114">
        <v>1</v>
      </c>
      <c r="V3" s="114">
        <v>1</v>
      </c>
    </row>
    <row r="4" spans="1:26" x14ac:dyDescent="0.4">
      <c r="D4" s="114" t="s">
        <v>992</v>
      </c>
      <c r="L4" s="114" t="s">
        <v>1286</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1003</v>
      </c>
      <c r="R4" s="114" t="s">
        <v>253</v>
      </c>
      <c r="S4" s="114" t="s">
        <v>999</v>
      </c>
      <c r="T4" s="114" t="s">
        <v>268</v>
      </c>
      <c r="U4" s="114" t="s">
        <v>304</v>
      </c>
      <c r="V4" s="114" t="s">
        <v>1341</v>
      </c>
      <c r="W4" s="114" t="s">
        <v>1004</v>
      </c>
      <c r="X4" s="114" t="s">
        <v>1005</v>
      </c>
      <c r="Y4" s="114" t="s">
        <v>1001</v>
      </c>
    </row>
    <row r="5" spans="1:26" x14ac:dyDescent="0.4">
      <c r="D5" s="114" t="s">
        <v>994</v>
      </c>
      <c r="R5" s="114">
        <v>1</v>
      </c>
      <c r="S5" s="114">
        <v>1</v>
      </c>
      <c r="T5" s="114" t="s">
        <v>1002</v>
      </c>
      <c r="U5" s="114">
        <v>1</v>
      </c>
      <c r="V5" s="114">
        <v>1</v>
      </c>
      <c r="W5" s="114">
        <v>1</v>
      </c>
      <c r="X5" s="114">
        <v>1</v>
      </c>
      <c r="Y5" s="114">
        <v>1</v>
      </c>
      <c r="Z5" s="114">
        <v>1</v>
      </c>
    </row>
    <row r="6" spans="1:26" x14ac:dyDescent="0.4">
      <c r="D6" s="114" t="s">
        <v>887</v>
      </c>
      <c r="N6" s="114" t="s">
        <v>983</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1006</v>
      </c>
      <c r="R6" s="114" t="s">
        <v>268</v>
      </c>
    </row>
    <row r="7" spans="1:26" x14ac:dyDescent="0.4">
      <c r="R7" s="114">
        <v>5</v>
      </c>
    </row>
    <row r="8" spans="1:26" x14ac:dyDescent="0.4">
      <c r="N8" s="114" t="s">
        <v>984</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91.899999999999991</v>
      </c>
      <c r="P8" s="114">
        <v>0.25</v>
      </c>
      <c r="Q8" s="114" t="s">
        <v>1007</v>
      </c>
      <c r="R8" s="114" t="s">
        <v>268</v>
      </c>
      <c r="S8" s="114" t="s">
        <v>1341</v>
      </c>
    </row>
    <row r="9" spans="1:26" x14ac:dyDescent="0.4">
      <c r="R9" s="114">
        <v>1</v>
      </c>
      <c r="S9" s="114">
        <v>1</v>
      </c>
    </row>
    <row r="10" spans="1:26" x14ac:dyDescent="0.4">
      <c r="N10" s="114" t="s">
        <v>985</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1008</v>
      </c>
      <c r="R10" s="114" t="s">
        <v>418</v>
      </c>
      <c r="S10" s="114" t="s">
        <v>326</v>
      </c>
    </row>
    <row r="11" spans="1:26" x14ac:dyDescent="0.4">
      <c r="R11" s="114">
        <v>1</v>
      </c>
      <c r="S11" s="114">
        <v>1</v>
      </c>
    </row>
    <row r="12" spans="1:26" x14ac:dyDescent="0.4">
      <c r="N12" s="114" t="s">
        <v>993</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v>0.5</v>
      </c>
      <c r="Q12" s="114" t="s">
        <v>1009</v>
      </c>
      <c r="R12" s="114" t="s">
        <v>832</v>
      </c>
      <c r="S12" s="114" t="s">
        <v>697</v>
      </c>
      <c r="T12" s="114" t="s">
        <v>418</v>
      </c>
    </row>
    <row r="13" spans="1:26" x14ac:dyDescent="0.4">
      <c r="R13" s="114">
        <v>1</v>
      </c>
      <c r="S13" s="114">
        <v>1</v>
      </c>
      <c r="T13" s="114">
        <v>1</v>
      </c>
    </row>
    <row r="14" spans="1:26" x14ac:dyDescent="0.4">
      <c r="A14" s="33" t="s">
        <v>975</v>
      </c>
      <c r="N14" s="114" t="s">
        <v>992</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v>0.5</v>
      </c>
      <c r="Q14" s="114" t="s">
        <v>1010</v>
      </c>
      <c r="R14" s="114" t="s">
        <v>418</v>
      </c>
      <c r="S14" s="114" t="s">
        <v>326</v>
      </c>
    </row>
    <row r="15" spans="1:26" x14ac:dyDescent="0.4">
      <c r="A15" s="114" t="s">
        <v>965</v>
      </c>
      <c r="B15" s="114" t="s">
        <v>977</v>
      </c>
      <c r="R15" s="114">
        <v>1</v>
      </c>
      <c r="S15" s="114">
        <v>1</v>
      </c>
    </row>
    <row r="16" spans="1:26" x14ac:dyDescent="0.4">
      <c r="A16" s="114" t="s">
        <v>978</v>
      </c>
      <c r="B16" s="114" t="s">
        <v>979</v>
      </c>
      <c r="N16" s="114" t="s">
        <v>994</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v>0.5</v>
      </c>
      <c r="Q16" s="114" t="s">
        <v>1011</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1012</v>
      </c>
      <c r="R18" s="114" t="s">
        <v>669</v>
      </c>
      <c r="S18" s="114" t="s">
        <v>418</v>
      </c>
      <c r="T18" s="114" t="s">
        <v>326</v>
      </c>
    </row>
    <row r="19" spans="14:29" x14ac:dyDescent="0.4">
      <c r="R19" s="114">
        <v>1</v>
      </c>
      <c r="S19" s="114">
        <v>1</v>
      </c>
      <c r="T19" s="114">
        <v>1</v>
      </c>
    </row>
    <row r="20" spans="14:29" x14ac:dyDescent="0.4">
      <c r="N20" s="114" t="s">
        <v>986</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1013</v>
      </c>
      <c r="R20" s="114" t="s">
        <v>986</v>
      </c>
      <c r="S20" s="114" t="s">
        <v>418</v>
      </c>
      <c r="T20" s="114" t="s">
        <v>326</v>
      </c>
    </row>
    <row r="21" spans="14:29" x14ac:dyDescent="0.4">
      <c r="R21" s="114">
        <v>1</v>
      </c>
      <c r="S21" s="114">
        <v>1</v>
      </c>
      <c r="T21" s="114">
        <v>1</v>
      </c>
    </row>
    <row r="22" spans="14:29" x14ac:dyDescent="0.4">
      <c r="N22" s="114" t="s">
        <v>987</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1014</v>
      </c>
      <c r="R22" s="114" t="s">
        <v>987</v>
      </c>
    </row>
    <row r="23" spans="14:29" x14ac:dyDescent="0.4">
      <c r="R23" s="114">
        <v>1</v>
      </c>
    </row>
    <row r="24" spans="14:29" x14ac:dyDescent="0.4">
      <c r="N24" s="114" t="s">
        <v>988</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1015</v>
      </c>
      <c r="R24" s="114" t="s">
        <v>588</v>
      </c>
    </row>
    <row r="25" spans="14:29" x14ac:dyDescent="0.4">
      <c r="R25" s="114">
        <v>1</v>
      </c>
    </row>
    <row r="26" spans="14:29" x14ac:dyDescent="0.4">
      <c r="N26" s="114" t="s">
        <v>989</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1016</v>
      </c>
      <c r="R26" s="114" t="s">
        <v>304</v>
      </c>
    </row>
    <row r="27" spans="14:29" x14ac:dyDescent="0.4">
      <c r="R27" s="114">
        <v>1</v>
      </c>
    </row>
    <row r="28" spans="14:29" x14ac:dyDescent="0.4">
      <c r="N28" s="114" t="s">
        <v>990</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1017</v>
      </c>
      <c r="R28" s="114" t="s">
        <v>269</v>
      </c>
      <c r="S28" s="114" t="s">
        <v>832</v>
      </c>
    </row>
    <row r="29" spans="14:29" x14ac:dyDescent="0.4">
      <c r="R29" s="114">
        <v>20</v>
      </c>
      <c r="S29" s="114">
        <v>1</v>
      </c>
    </row>
    <row r="30" spans="14:29" x14ac:dyDescent="0.4">
      <c r="N30" s="114" t="s">
        <v>887</v>
      </c>
      <c r="O30" s="114">
        <v>0</v>
      </c>
      <c r="P30" s="114">
        <v>0</v>
      </c>
      <c r="Q30" s="114" t="s">
        <v>1018</v>
      </c>
    </row>
    <row r="31" spans="14:29" x14ac:dyDescent="0.4">
      <c r="R31" s="114">
        <f>IFERROR(R33*VLOOKUP(R32,'Part List'!$A:$G,3,FALSE),0)</f>
        <v>0</v>
      </c>
      <c r="S31" s="114">
        <f>IFERROR(S33*VLOOKUP(S32,'Part List'!$A:$G,3,FALSE),0)</f>
        <v>0</v>
      </c>
      <c r="T31" s="114">
        <f>IFERROR(T33*VLOOKUP(T32,'Part List'!$A:$G,3,FALSE),0)</f>
        <v>0</v>
      </c>
      <c r="U31" s="114">
        <f>IFERROR(U33*VLOOKUP(U32,'Part List'!$A:$G,3,FALSE),0)</f>
        <v>541.20000000000005</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1246</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1173.2400000000002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3</v>
      </c>
      <c r="Q32" s="114" t="s">
        <v>1247</v>
      </c>
      <c r="R32" s="114" t="s">
        <v>268</v>
      </c>
      <c r="S32" s="114" t="s">
        <v>268</v>
      </c>
      <c r="T32" s="114" t="s">
        <v>418</v>
      </c>
      <c r="U32" s="114" t="s">
        <v>1304</v>
      </c>
      <c r="V32" s="114" t="s">
        <v>1041</v>
      </c>
      <c r="W32" s="114" t="s">
        <v>1341</v>
      </c>
      <c r="X32" s="117" t="s">
        <v>326</v>
      </c>
      <c r="Y32" s="114" t="s">
        <v>1004</v>
      </c>
      <c r="Z32" s="135" t="s">
        <v>832</v>
      </c>
      <c r="AA32" s="114" t="s">
        <v>304</v>
      </c>
      <c r="AB32" s="114" t="s">
        <v>1005</v>
      </c>
    </row>
    <row r="33" spans="14:32" x14ac:dyDescent="0.4">
      <c r="R33" s="114" t="s">
        <v>1002</v>
      </c>
      <c r="S33" s="114" t="s">
        <v>1002</v>
      </c>
      <c r="T33" s="114" t="s">
        <v>1002</v>
      </c>
      <c r="U33" s="114">
        <v>1</v>
      </c>
      <c r="V33" s="114">
        <v>1</v>
      </c>
      <c r="W33" s="117">
        <v>1</v>
      </c>
      <c r="X33" s="448">
        <v>1</v>
      </c>
      <c r="Y33" s="448">
        <v>2</v>
      </c>
      <c r="Z33" s="448">
        <v>1</v>
      </c>
      <c r="AA33" s="448">
        <v>1</v>
      </c>
      <c r="AB33" s="448">
        <v>1</v>
      </c>
    </row>
    <row r="34" spans="14:32" x14ac:dyDescent="0.4">
      <c r="N34" s="114" t="s">
        <v>1004</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832</v>
      </c>
      <c r="T34" s="114" t="s">
        <v>1004</v>
      </c>
    </row>
    <row r="35" spans="14:32" x14ac:dyDescent="0.4">
      <c r="R35" s="114" t="s">
        <v>1002</v>
      </c>
      <c r="S35" s="114">
        <v>1</v>
      </c>
      <c r="T35" s="114">
        <v>2</v>
      </c>
    </row>
    <row r="36" spans="14:32" x14ac:dyDescent="0.4">
      <c r="N36" s="114" t="s">
        <v>1286</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1305.76</v>
      </c>
      <c r="P36" s="114">
        <f>1+IFERROR(R37*VLOOKUP(R36,'Part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6.1</v>
      </c>
      <c r="Q36" s="114" t="s">
        <v>1287</v>
      </c>
      <c r="R36" s="114" t="s">
        <v>1041</v>
      </c>
      <c r="S36" s="114" t="s">
        <v>1040</v>
      </c>
      <c r="T36" s="114" t="s">
        <v>1304</v>
      </c>
      <c r="U36" s="114" t="s">
        <v>1000</v>
      </c>
      <c r="V36" s="114" t="s">
        <v>1288</v>
      </c>
      <c r="W36" s="114" t="s">
        <v>1289</v>
      </c>
      <c r="X36" s="114" t="s">
        <v>1004</v>
      </c>
      <c r="Y36" s="114" t="s">
        <v>1024</v>
      </c>
      <c r="Z36" s="114" t="s">
        <v>1290</v>
      </c>
      <c r="AA36" s="117" t="s">
        <v>326</v>
      </c>
      <c r="AB36" s="448" t="s">
        <v>322</v>
      </c>
      <c r="AC36" s="114" t="s">
        <v>1251</v>
      </c>
      <c r="AD36" s="114" t="s">
        <v>267</v>
      </c>
      <c r="AE36" s="448" t="s">
        <v>269</v>
      </c>
      <c r="AF36" s="448" t="s">
        <v>271</v>
      </c>
    </row>
    <row r="37" spans="14:32" x14ac:dyDescent="0.4">
      <c r="R37" s="114">
        <v>1</v>
      </c>
      <c r="S37" s="114">
        <v>1</v>
      </c>
      <c r="T37" s="114">
        <v>1</v>
      </c>
      <c r="U37" s="114">
        <v>1</v>
      </c>
      <c r="V37" s="114">
        <v>1</v>
      </c>
      <c r="W37" s="114">
        <v>1</v>
      </c>
      <c r="X37" s="114">
        <v>1</v>
      </c>
      <c r="Y37" s="114">
        <v>1</v>
      </c>
      <c r="Z37" s="114">
        <v>1</v>
      </c>
      <c r="AA37" s="114">
        <v>1</v>
      </c>
      <c r="AB37" s="114">
        <v>1</v>
      </c>
      <c r="AC37" s="114">
        <v>1</v>
      </c>
      <c r="AD37" s="114" t="s">
        <v>1002</v>
      </c>
      <c r="AE37" s="114" t="s">
        <v>1002</v>
      </c>
      <c r="AF37" s="114">
        <v>0</v>
      </c>
    </row>
    <row r="38" spans="14:32" x14ac:dyDescent="0.4">
      <c r="R38" s="114">
        <f>IFERROR(R37*VLOOKUP(R36,'Part List'!$A:$G,3,FALSE),0)</f>
        <v>43.44</v>
      </c>
      <c r="S38" s="114">
        <f>IFERROR(S37*VLOOKUP(S36,'Part List'!$A:$G,3,FALSE),0)</f>
        <v>46.46</v>
      </c>
      <c r="T38" s="114">
        <f>IFERROR(T37*VLOOKUP(T36,'Part List'!$A:$G,3,FALSE),0)</f>
        <v>541.20000000000005</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c r="AF38" s="114">
        <v>0</v>
      </c>
    </row>
  </sheetData>
  <conditionalFormatting sqref="W33:AB33">
    <cfRule type="expression" dxfId="158" priority="4">
      <formula>IF(ROW() = ROW(), TRUE, FALSE)</formula>
    </cfRule>
  </conditionalFormatting>
  <conditionalFormatting sqref="X32">
    <cfRule type="expression" dxfId="157" priority="3">
      <formula>IF(ROW() = ROW(), TRUE, FALSE)</formula>
    </cfRule>
  </conditionalFormatting>
  <conditionalFormatting sqref="AA36:AB36">
    <cfRule type="expression" dxfId="156" priority="2">
      <formula>IF(ROW() = ROW(), TRUE, FALSE)</formula>
    </cfRule>
  </conditionalFormatting>
  <conditionalFormatting sqref="AE36:AF36">
    <cfRule type="expression" dxfId="15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3A021622-D918-4FAA-8D3E-657F57E39B94}">
          <x14:formula1>
            <xm:f>'Part List'!$A:$A</xm:f>
          </x14:formula1>
          <xm:sqref>Y4 R8 R6 R10:S10 R14:S14 R16:S16 R12:T12 R18:T18 R24 R22 R20:T20 H23:H25 F23:F25 R26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74710-3A12-4FF7-8D90-46709D967A68}">
  <dimension ref="A1:BD25"/>
  <sheetViews>
    <sheetView workbookViewId="0">
      <selection activeCell="M2" sqref="M2:R11"/>
    </sheetView>
  </sheetViews>
  <sheetFormatPr defaultColWidth="9.3046875" defaultRowHeight="14.6" x14ac:dyDescent="0.4"/>
  <cols>
    <col min="1" max="1" width="7.53515625" style="422" bestFit="1" customWidth="1"/>
    <col min="2" max="2" width="7.3046875" style="114" bestFit="1" customWidth="1"/>
    <col min="3" max="3" width="13.53515625" style="423" bestFit="1" customWidth="1"/>
    <col min="4" max="4" width="6.3046875" style="114" bestFit="1" customWidth="1"/>
    <col min="5" max="5" width="4.15234375" style="114" bestFit="1" customWidth="1"/>
    <col min="6" max="6" width="9.3828125" style="114" customWidth="1"/>
    <col min="7" max="7" width="12.15234375" style="355" customWidth="1"/>
    <col min="8" max="8" width="12.15234375" style="319" customWidth="1"/>
    <col min="9" max="9" width="13.3046875" style="355" customWidth="1"/>
    <col min="10" max="10" width="13.3046875" style="319" customWidth="1"/>
    <col min="11" max="11" width="17.3828125" style="114" customWidth="1"/>
    <col min="12" max="13" width="14.69140625" style="424" customWidth="1"/>
    <col min="14" max="14" width="14.69140625" style="355" customWidth="1"/>
    <col min="15" max="17" width="14.69140625" style="318" customWidth="1"/>
    <col min="18" max="18" width="14.69140625" style="319" customWidth="1"/>
    <col min="19" max="38" width="12.3046875" style="114" hidden="1" customWidth="1"/>
    <col min="39" max="39" width="12.3828125" style="424" hidden="1" customWidth="1"/>
    <col min="40" max="40" width="18.69140625" style="114" hidden="1" customWidth="1"/>
    <col min="41" max="41" width="17.3046875" style="114" hidden="1" customWidth="1"/>
    <col min="42" max="42" width="71.69140625" style="114" hidden="1" customWidth="1"/>
    <col min="43" max="43" width="9.3046875" style="114" hidden="1" customWidth="1"/>
    <col min="44" max="44" width="21.3046875" style="114" hidden="1" customWidth="1"/>
    <col min="45" max="45" width="9.3828125" style="114" hidden="1" customWidth="1"/>
    <col min="46" max="46" width="55.69140625" style="114" hidden="1" customWidth="1"/>
    <col min="47" max="47" width="13.69140625" style="114" hidden="1" customWidth="1"/>
    <col min="48" max="48" width="146.84375" style="114" hidden="1" customWidth="1"/>
    <col min="49" max="49" width="151.84375" style="114" hidden="1" customWidth="1"/>
    <col min="50" max="56" width="9.3046875" style="114" hidden="1" customWidth="1"/>
    <col min="57" max="57" width="0" style="114" hidden="1" customWidth="1"/>
    <col min="58" max="16384" width="9.3046875" style="114"/>
  </cols>
  <sheetData>
    <row r="1" spans="1:52" s="299" customFormat="1" ht="29.15" x14ac:dyDescent="0.4">
      <c r="A1" s="425" t="s">
        <v>931</v>
      </c>
      <c r="B1" s="425" t="s">
        <v>932</v>
      </c>
      <c r="C1" s="426" t="s">
        <v>933</v>
      </c>
      <c r="D1" s="425" t="s">
        <v>934</v>
      </c>
      <c r="E1" s="425" t="s">
        <v>844</v>
      </c>
      <c r="F1" s="425" t="s">
        <v>1019</v>
      </c>
      <c r="G1" s="434" t="s">
        <v>980</v>
      </c>
      <c r="H1" s="435" t="s">
        <v>981</v>
      </c>
      <c r="I1" s="436" t="s">
        <v>936</v>
      </c>
      <c r="J1" s="437" t="s">
        <v>937</v>
      </c>
      <c r="K1" s="427" t="s">
        <v>982</v>
      </c>
      <c r="L1" s="438" t="str">
        <f>_VRF!A1</f>
        <v>Power Supply</v>
      </c>
      <c r="M1" s="438" t="str">
        <f>_VRF!B1</f>
        <v>Type</v>
      </c>
      <c r="N1" s="434" t="str">
        <f>_VRF!C1</f>
        <v>Run &amp; Fault Lights</v>
      </c>
      <c r="O1" s="439" t="str">
        <f>_VRF!D1</f>
        <v>Timeclock</v>
      </c>
      <c r="P1" s="439" t="str">
        <f>_VRF!E1</f>
        <v>Status to Other Units</v>
      </c>
      <c r="Q1" s="439" t="str">
        <f>_VRF!F1</f>
        <v>Push Button</v>
      </c>
      <c r="R1" s="435" t="str">
        <f>_VRF!G1</f>
        <v>Run Status Light</v>
      </c>
      <c r="S1" s="114"/>
      <c r="T1" s="114"/>
      <c r="U1" s="114"/>
      <c r="V1" s="428" t="s">
        <v>1020</v>
      </c>
      <c r="W1" s="299" t="s">
        <v>676</v>
      </c>
      <c r="X1" s="299" t="s">
        <v>1021</v>
      </c>
      <c r="Y1" s="299" t="s">
        <v>1022</v>
      </c>
      <c r="Z1" s="299" t="s">
        <v>1023</v>
      </c>
      <c r="AA1" s="299" t="s">
        <v>1024</v>
      </c>
      <c r="AB1" s="299" t="s">
        <v>990</v>
      </c>
      <c r="AC1" s="299" t="s">
        <v>1025</v>
      </c>
      <c r="AD1" s="299" t="s">
        <v>676</v>
      </c>
      <c r="AE1" s="299" t="s">
        <v>1021</v>
      </c>
      <c r="AF1" s="299" t="s">
        <v>1022</v>
      </c>
      <c r="AG1" s="299" t="s">
        <v>1023</v>
      </c>
      <c r="AH1" s="299" t="s">
        <v>1024</v>
      </c>
      <c r="AI1" s="299" t="s">
        <v>990</v>
      </c>
      <c r="AM1" s="299" t="s">
        <v>1026</v>
      </c>
      <c r="AN1" s="299">
        <f>MAX('@Fan'!Z:Z)</f>
        <v>0</v>
      </c>
    </row>
    <row r="2" spans="1:52" x14ac:dyDescent="0.4">
      <c r="A2" s="429" t="str">
        <f>IF(COUNTBLANK(N2:R2)=0,"VALID","INVALID")</f>
        <v>INVALID</v>
      </c>
      <c r="B2" s="430" t="str">
        <f>_xlfn.CONCAT("VRF ",(ROW()-1))</f>
        <v>VRF 1</v>
      </c>
      <c r="C2" s="431">
        <f>IFERROR(E2*I2,0)</f>
        <v>0</v>
      </c>
      <c r="D2" s="430">
        <f>IFERROR(IF(ISBLANK(G2),J2*E2,G2*E2),0)</f>
        <v>0</v>
      </c>
      <c r="E2" s="430"/>
      <c r="F2" s="430">
        <f t="shared" ref="F2:F23" si="0">IF(COUNTBLANK(H2)=0,H2,IF(M2="Indoor",10,IF(L2="Local",5,20)))</f>
        <v>5</v>
      </c>
      <c r="G2" s="440"/>
      <c r="H2" s="441"/>
      <c r="I2" s="440" t="e">
        <f>F2*VLOOKUP("7030 2 pair TCAS7302P",'Part List'!$A:$G,3,FALSE)*AE2
+IF(M2="Controller",VLOOKUP(M2,_VRF!L:N,2,FALSE)
+VLOOKUP($N$1,_VRF!L:N,2,FALSE)*AE2
+VLOOKUP($O$1,_VRF!L:N,2,FALSE)*AF2
+VLOOKUP($P$1,_VRF!L:N,2,FALSE)*AG2
+VLOOKUP($Q$1,_VRF!L:N,2,FALSE)*AH2
+VLOOKUP($R$1,_VRF!L:N,2,FALSE)*AI2
+(VLOOKUP("Network cable",'Part List'!$A:$G,3,FALSE)+VLOOKUP("2.5mm Twin and Earth",'Part List'!$A:$G,3,FALSE))*F2,
IF(M2="PAC",VLOOKUP(M2,_VRF!L:N,2,FALSE)
+VLOOKUP($N$1,_VRF!L:N,2,FALSE)*AE2
+VLOOKUP($O$1,_VRF!L:N,2,FALSE)*AF2
+VLOOKUP($P$1,_VRF!L:N,2,FALSE)*AG2
+VLOOKUP($Q$1,_VRF!L:N,2,FALSE)*AH2
+VLOOKUP($R$1,_VRF!L:N,2,FALSE)*AI2
+VLOOKUP("6mm Cable 3 core and Earth",'Part List'!$A:$G,3,FALSE)*F2,
IF(M2="Branch Box",VLOOKUP(M2,_VRF!L:N,2,FALSE)
+VLOOKUP($N$1,_VRF!L:N,2,FALSE)*AE2
+VLOOKUP($O$1,_VRF!L:N,2,FALSE)*AF2
+VLOOKUP($P$1,_VRF!L:N,2,FALSE)*AG2
+VLOOKUP($Q$1,_VRF!L:N,2,FALSE)*AH2
+VLOOKUP($R$1,_VRF!L:N,2,FALSE)*AI2
+(VLOOKUP("2.5mm Twin and Earth",'Part List'!$A:$G,3,FALSE)+VLOOKUP("7030 2 pair TCAS7302P",'Part List'!$A:$G,3,FALSE))*F2,
+IF(NOT(M2="Split"),IF(OR(M2="Outdoor",M2="Indoor"),0,VLOOKUP(AD2,_VRF!L:N,2,FALSE)+VLOOKUP(M2,_VRF!L:N,2,FALSE))
+VLOOKUP($N$1,_VRF!L:N,2,FALSE)*AE2
+VLOOKUP($O$1,_VRF!L:N,2,FALSE)*AF2
+VLOOKUP($P$1,_VRF!L:N,2,FALSE)*AG2
+VLOOKUP($Q$1,_VRF!L:N,2,FALSE)*AH2
+VLOOKUP($R$1,_VRF!L:N,2,FALSE)*AI2
+VLOOKUP(IF(M2="Outdoor","4mm Cable 3 core and Earth","2.5mm Twin and Earth"),'Part List'!$A:$G,3,FALSE)*F2
+IF(M2="Indoor",VLOOKUP("7030 2 pair TCAS7302P",'Part List'!$A:$G,3,FALSE),0)*F2
+VLOOKUP(IF(M2="Outdoor",IF(L2="Local","Outdoor_Local","Outdoor_MSSB"),0),_VRF!L:N,2,FALSE)
+IF(M2="Indoor",VLOOKUP(M2,_VRF!L:N,2,FALSE),0),
VLOOKUP(M2,_VRF!L:N,2,FALSE)
+(VLOOKUP("7030 2 pair TCAS7302P",'Part List'!$A:$G,3,FALSE)+2*VLOOKUP("2.5mm Twin and Earth",'Part List'!$A:$G,3,FALSE))*F2
+VLOOKUP($N$1,_VRF!L:N,2,FALSE)*AE2
+VLOOKUP($O$1,_VRF!L:N,2,FALSE)*AF2
+VLOOKUP($P$1,_VRF!L:N,2,FALSE)*AG2
+VLOOKUP($Q$1,_VRF!L:N,2,FALSE)*AH2
+VLOOKUP($R$1,_VRF!L:N,2,FALSE)*AI2))))</f>
        <v>#N/A</v>
      </c>
      <c r="J2" s="441" t="e">
        <f>F2*VLOOKUP("7030 2 pair TCAS7302P",'Part List'!$A:$G,5,FALSE)*AE2+
+
IF(M2="Controller",VLOOKUP(M2,_VRF!L:N,3,FALSE)
+VLOOKUP($N$1,_VRF!L:N,3,FALSE)*AE2
+VLOOKUP($O$1,_VRF!L:N,3,FALSE)*AF2
+VLOOKUP($P$1,_VRF!L:N,3,FALSE)*AG2
+VLOOKUP($Q$1,_VRF!L:N,3,FALSE)*AH2
+VLOOKUP($R$1,_VRF!L:N,3,FALSE)*AI2
+(VLOOKUP("Network cable",'Part List'!$A:$G,5,FALSE)+VLOOKUP("2.5mm Twin and Earth",'Part List'!$A:$G,5,FALSE))*F2,
IF(M2="PAC",VLOOKUP(M2,_VRF!L:N,3,FALSE)
+VLOOKUP($N$1,_VRF!L:N,3,FALSE)*AE2
+VLOOKUP($O$1,_VRF!L:N,3,FALSE)*AF2
+VLOOKUP($P$1,_VRF!L:N,3,FALSE)*AG2
+VLOOKUP($Q$1,_VRF!L:N,3,FALSE)*AH2
+VLOOKUP($R$1,_VRF!L:N,3,FALSE)*AI2
+VLOOKUP("6mm Cable 3 core and Earth",'Part List'!$A:$G,5,FALSE)*F2,
IF(M2="Branch Box",VLOOKUP(M2,_VRF!L:N,3,FALSE)
+VLOOKUP($N$1,_VRF!L:N,3,FALSE)*AE2
+VLOOKUP($O$1,_VRF!L:N,3,FALSE)*AF2
+VLOOKUP($P$1,_VRF!L:N,3,FALSE)*AG2
+VLOOKUP($Q$1,_VRF!L:N,3,FALSE)*AH2
+VLOOKUP($R$1,_VRF!L:N,3,FALSE)*AI2
+(VLOOKUP("2.5mm Twin and Earth",'Part List'!$A:$G,5,FALSE)+VLOOKUP("7030 2 pair TCAS7302P",'Part List'!$A:$G,5,FALSE))*F2,
+IF(NOT(M2="Split"),IF(OR(M2="Outdoor",M2="Indoor"),0,VLOOKUP(AD2,_VRF!L:N,3,FALSE)+VLOOKUP(M2,_VRF!L:N,3,FALSE))
+VLOOKUP($N$1,_VRF!L:N,3,FALSE)*AE2
+VLOOKUP($O$1,_VRF!L:N,3,FALSE)*AF2
+VLOOKUP($P$1,_VRF!L:N,3,FALSE)*AG2
+VLOOKUP($Q$1,_VRF!L:N,3,FALSE)*AH2
+VLOOKUP($R$1,_VRF!L:N,3,FALSE)*AI2
+VLOOKUP(IF(M2="Outdoor","4mm Cable 3 core and Earth","2.5mm Twin and Earth"),'Part List'!$A:$G,5,FALSE)*F2
+IF(M2="Indoor",VLOOKUP("7030 2 pair TCAS7302P",'Part List'!$A:$G,5,FALSE),0)*F2
+VLOOKUP(IF(M2="Outdoor",IF(L2="Local","Outdoor_Local","Outdoor_MSSB"),0),_VRF!L:N,3,FALSE)
+IF(M2="Indoor",VLOOKUP(M2,_VRF!L:N,3,FALSE),0),
VLOOKUP(M2,_VRF!L:N,3,FALSE)
+(VLOOKUP("7030 2 pair TCAS7302P",'Part List'!$A:$G,5,FALSE)+2*VLOOKUP("2.5mm Twin and Earth",'Part List'!$A:$G,5,FALSE))*F2
+VLOOKUP($N$1,_VRF!L:N,3,FALSE)*AE2
+VLOOKUP($O$1,_VRF!L:N,3,FALSE)*AF2
+VLOOKUP($P$1,_VRF!L:N,3,FALSE)*AG2
+VLOOKUP($Q$1,_VRF!L:N,3,FALSE)*AH2
+VLOOKUP($R$1,_VRF!L:N,3,FALSE)*AI2))))</f>
        <v>#N/A</v>
      </c>
      <c r="K2" s="430" t="e">
        <f>_xlfn.CONCAT(VLOOKUP(M2,_VRF!$A$39:$C$44,3,FALSE), "-",
IF(N2="Yes", 1, 0)*X2, IF(O2="Yes", 1, 0)*Y2, IF(P2="Yes", 1, 0)*Z2, AA2*IF(Q2="Yes", 1, 0),IF(R2="Yes", 1, 0)*AB2,IF(W2 = 1, IF(L2="Local", "-L", "-M"),""))</f>
        <v>#N/A</v>
      </c>
      <c r="L2" s="432" t="s">
        <v>991</v>
      </c>
      <c r="M2" s="432"/>
      <c r="N2" s="440"/>
      <c r="O2" s="440"/>
      <c r="P2" s="440"/>
      <c r="Q2" s="440"/>
      <c r="R2" s="440"/>
      <c r="S2" s="114" t="str">
        <f>IF(A2 = "VALID", AM2, "")</f>
        <v/>
      </c>
      <c r="W2" s="114" t="e">
        <f>VLOOKUP($M2,_VRF!$A$26:$G$31, 2, FALSE)</f>
        <v>#N/A</v>
      </c>
      <c r="X2" s="114" t="e">
        <f>VLOOKUP($M2,_VRF!$A$26:$G$31, 3, FALSE)</f>
        <v>#N/A</v>
      </c>
      <c r="Y2" s="114" t="e">
        <f>VLOOKUP($M2,_VRF!$A$26:$G$31, 4, FALSE)</f>
        <v>#N/A</v>
      </c>
      <c r="Z2" s="114" t="e">
        <f>VLOOKUP($M2,_VRF!$A$26:$G$31, 5, FALSE)</f>
        <v>#N/A</v>
      </c>
      <c r="AA2" s="114" t="e">
        <f>VLOOKUP($M2,_VRF!$A$26:$G$31, 6, FALSE)</f>
        <v>#N/A</v>
      </c>
      <c r="AB2" s="114" t="e">
        <f>VLOOKUP($M2,_VRF!$A$26:$G$31, 7, FALSE)</f>
        <v>#N/A</v>
      </c>
      <c r="AD2" s="114" t="e">
        <f>IF(W2=1,L2, 0)</f>
        <v>#N/A</v>
      </c>
      <c r="AE2" s="114">
        <f>IF(N2="Yes",X2, 0)</f>
        <v>0</v>
      </c>
      <c r="AF2" s="114">
        <f t="shared" ref="AF2:AI17" si="1">IF(O2="Yes",Y2, 0)</f>
        <v>0</v>
      </c>
      <c r="AG2" s="114">
        <f t="shared" si="1"/>
        <v>0</v>
      </c>
      <c r="AH2" s="114">
        <f t="shared" si="1"/>
        <v>0</v>
      </c>
      <c r="AI2" s="114">
        <f t="shared" si="1"/>
        <v>0</v>
      </c>
      <c r="AM2" s="432" t="str">
        <f>IF(A2="VALID",_xlfn.CONCAT("
",AT2,"
",REPT(" ",8),AU2,"
",REPT(" ",8),AV2,"
",REPT(" ", 8),AW2, "
"),"")</f>
        <v/>
      </c>
      <c r="AN2" s="114">
        <f t="shared" ref="AN2:AN22" si="2" xml:space="preserve"> IF(AND(E2&gt;0,A2="VALID"),AN1+1,AN1)</f>
        <v>0</v>
      </c>
      <c r="AO2" s="114" t="str">
        <f>_xlfn.CONCAT(E2," (",VLOOKUP(E2,[1]Backend!C:D,2,FALSE),")")</f>
        <v xml:space="preserve"> (Zero)</v>
      </c>
      <c r="AP2" s="114" t="str">
        <f>_xlfn.CONCAT(AN2," - Electrical power supply and controls to ",AO2," ",VLOOKUP(M2,_VRF!$A$39:$G$48,2,FALSE))</f>
        <v xml:space="preserve">0 - Electrical power supply and controls to  (Zero) </v>
      </c>
      <c r="AQ2" s="114" t="str">
        <f>IF(SUM(AE2:AI2)&gt;0," with: "," ")</f>
        <v xml:space="preserve"> </v>
      </c>
      <c r="AR2" s="114" t="str">
        <f>_xlfn.CONCAT(
IF(M2 = "Yes",_xlfn.CONCAT($M$1, ", "),""),
IF(N2 = "Yes",_xlfn.CONCAT($N$1, ", "),""),
IF(O2 = "Yes",_xlfn.CONCAT($O$1, ", "),""),
IF(P2 = "Yes",_xlfn.CONCAT($P$1, ", "),""),
IF(Q2 = "Yes",_xlfn.CONCAT($Q$1, ", "),""),
IF(R2 = "Yes",_xlfn.CONCAT($R$1, ", "),""))</f>
        <v/>
      </c>
      <c r="AS2" s="114" t="e">
        <f>IF(AD2=0,"",_xlfn.CONCAT("from ",L2, " Power Supply"))</f>
        <v>#N/A</v>
      </c>
      <c r="AT2" s="114" t="e">
        <f>_xlfn.CONCAT(AP2,AQ2,AR2,AS2)</f>
        <v>#N/A</v>
      </c>
      <c r="AU2" s="114" t="str">
        <f>_xlfn.CONCAT(AN2,".1 - This includes supply and install of power and controls.")</f>
        <v>0.1 - This includes supply and install of power and controls.</v>
      </c>
      <c r="AV2" s="114" t="str">
        <f>_xlfn.CONCAT(AN2,".2 - Power for system includes: ",VLOOKUP(L2,_VRF!L:O,4,FALSE))</f>
        <v xml:space="preserve">0.2 - Power for system includes: cabling to unit and control panel (from Builder's Electrician's isolator) and local isolator, </v>
      </c>
      <c r="AW2" s="114" t="e">
        <f>IF(OR((AD2="Local"),SUM(AE2:AI2)&gt;0),_xlfn.CONCAT(AN2,".3 - Controls for system includes: ",_xlfn.CONCAT(AX2,IF(AD2="Local","controls enclosure.","")),""),"")</f>
        <v>#N/A</v>
      </c>
      <c r="AX2" s="114" t="str">
        <f>_xlfn.CONCAT(
IF(M2="Yes",VLOOKUP(M$1,_VRF!L:Z,4,FALSE),""),
IF(N2="Yes",VLOOKUP(N$1,_VRF!L:Z,4,FALSE),""),
IF(O2="Yes",VLOOKUP(O$1,_VRF!L:Z,4,FALSE),""),
IF(P2="Yes",VLOOKUP(P$1,_VRF!L:Z,4,FALSE),""),
IF(Q2="Yes",VLOOKUP(Q$1,_VRF!L:Z,4,FALSE),""),
IF(R2="Yes",VLOOKUP(R$1,_VRF!L:Z,4,FALSE),""))</f>
        <v/>
      </c>
      <c r="AZ2" s="114" t="str">
        <f>_xlfn.CONCAT(VLOOKUP(M2,_VRF!$A$39:$G$48,2,FALSE),AQ2,AR2,)</f>
        <v xml:space="preserve"> </v>
      </c>
    </row>
    <row r="3" spans="1:52" x14ac:dyDescent="0.4">
      <c r="A3" s="429" t="str">
        <f t="shared" ref="A3:A23" si="3">IF(COUNTBLANK(N3:R3)=0,"VALID","INVALID")</f>
        <v>INVALID</v>
      </c>
      <c r="B3" s="430" t="str">
        <f t="shared" ref="B3:B23" si="4">_xlfn.CONCAT("VRF ",(ROW()-1))</f>
        <v>VRF 2</v>
      </c>
      <c r="C3" s="431">
        <f t="shared" ref="C3:C23" si="5">IFERROR(E3*I3,0)</f>
        <v>0</v>
      </c>
      <c r="D3" s="430">
        <f t="shared" ref="D3:D23" si="6">IFERROR(IF(ISBLANK(G3),J3*E3,G3*E3),0)</f>
        <v>0</v>
      </c>
      <c r="E3" s="430"/>
      <c r="F3" s="430">
        <f t="shared" si="0"/>
        <v>5</v>
      </c>
      <c r="G3" s="440"/>
      <c r="H3" s="441"/>
      <c r="I3" s="440" t="e">
        <f>F3*VLOOKUP("7030 2 pair TCAS7302P",'Part List'!$A:$G,3,FALSE)*AE3
+IF(M3="Controller",VLOOKUP(M3,_VRF!L:N,2,FALSE)
+VLOOKUP($N$1,_VRF!L:N,2,FALSE)*AE3
+VLOOKUP($O$1,_VRF!L:N,2,FALSE)*AF3
+VLOOKUP($P$1,_VRF!L:N,2,FALSE)*AG3
+VLOOKUP($Q$1,_VRF!L:N,2,FALSE)*AH3
+VLOOKUP($R$1,_VRF!L:N,2,FALSE)*AI3
+(VLOOKUP("Network cable",'Part List'!$A:$G,3,FALSE)+VLOOKUP("2.5mm Twin and Earth",'Part List'!$A:$G,3,FALSE))*F3,
IF(M3="PAC",VLOOKUP(M3,_VRF!L:N,2,FALSE)
+VLOOKUP($N$1,_VRF!L:N,2,FALSE)*AE3
+VLOOKUP($O$1,_VRF!L:N,2,FALSE)*AF3
+VLOOKUP($P$1,_VRF!L:N,2,FALSE)*AG3
+VLOOKUP($Q$1,_VRF!L:N,2,FALSE)*AH3
+VLOOKUP($R$1,_VRF!L:N,2,FALSE)*AI3
+VLOOKUP("6mm Cable 3 core and Earth",'Part List'!$A:$G,3,FALSE)*F3,
IF(M3="Branch Box",VLOOKUP(M3,_VRF!L:N,2,FALSE)
+VLOOKUP($N$1,_VRF!L:N,2,FALSE)*AE3
+VLOOKUP($O$1,_VRF!L:N,2,FALSE)*AF3
+VLOOKUP($P$1,_VRF!L:N,2,FALSE)*AG3
+VLOOKUP($Q$1,_VRF!L:N,2,FALSE)*AH3
+VLOOKUP($R$1,_VRF!L:N,2,FALSE)*AI3
+(VLOOKUP("2.5mm Twin and Earth",'Part List'!$A:$G,3,FALSE)+VLOOKUP("7030 2 pair TCAS7302P",'Part List'!$A:$G,3,FALSE))*F3,
+IF(NOT(M3="Split"),IF(OR(M3="Outdoor",M3="Indoor"),0,VLOOKUP(AD3,_VRF!L:N,2,FALSE)+VLOOKUP(M3,_VRF!L:N,2,FALSE))
+VLOOKUP($N$1,_VRF!L:N,2,FALSE)*AE3
+VLOOKUP($O$1,_VRF!L:N,2,FALSE)*AF3
+VLOOKUP($P$1,_VRF!L:N,2,FALSE)*AG3
+VLOOKUP($Q$1,_VRF!L:N,2,FALSE)*AH3
+VLOOKUP($R$1,_VRF!L:N,2,FALSE)*AI3
+VLOOKUP(IF(M3="Outdoor","4mm Cable 3 core and Earth","2.5mm Twin and Earth"),'Part List'!$A:$G,3,FALSE)*F3
+IF(M3="Indoor",VLOOKUP("7030 2 pair TCAS7302P",'Part List'!$A:$G,3,FALSE),0)*F3
+VLOOKUP(IF(M3="Outdoor",IF(L3="Local","Outdoor_Local","Outdoor_MSSB"),0),_VRF!L:N,2,FALSE)
+IF(M3="Indoor",VLOOKUP(M3,_VRF!L:N,2,FALSE),0),
VLOOKUP(M3,_VRF!L:N,2,FALSE)
+(VLOOKUP("7030 2 pair TCAS7302P",'Part List'!$A:$G,3,FALSE)+2*VLOOKUP("2.5mm Twin and Earth",'Part List'!$A:$G,3,FALSE))*F3
+VLOOKUP($N$1,_VRF!L:N,2,FALSE)*AE3
+VLOOKUP($O$1,_VRF!L:N,2,FALSE)*AF3
+VLOOKUP($P$1,_VRF!L:N,2,FALSE)*AG3
+VLOOKUP($Q$1,_VRF!L:N,2,FALSE)*AH3
+VLOOKUP($R$1,_VRF!L:N,2,FALSE)*AI3))))</f>
        <v>#N/A</v>
      </c>
      <c r="J3" s="441" t="e">
        <f>F3*VLOOKUP("7030 2 pair TCAS7302P",'Part List'!$A:$G,5,FALSE)*AE3+
+
IF(M3="Controller",VLOOKUP(M3,_VRF!L:N,3,FALSE)
+VLOOKUP($N$1,_VRF!L:N,3,FALSE)*AE3
+VLOOKUP($O$1,_VRF!L:N,3,FALSE)*AF3
+VLOOKUP($P$1,_VRF!L:N,3,FALSE)*AG3
+VLOOKUP($Q$1,_VRF!L:N,3,FALSE)*AH3
+VLOOKUP($R$1,_VRF!L:N,3,FALSE)*AI3
+(VLOOKUP("Network cable",'Part List'!$A:$G,5,FALSE)+VLOOKUP("2.5mm Twin and Earth",'Part List'!$A:$G,5,FALSE))*F3,
IF(M3="PAC",VLOOKUP(M3,_VRF!L:N,3,FALSE)
+VLOOKUP($N$1,_VRF!L:N,3,FALSE)*AE3
+VLOOKUP($O$1,_VRF!L:N,3,FALSE)*AF3
+VLOOKUP($P$1,_VRF!L:N,3,FALSE)*AG3
+VLOOKUP($Q$1,_VRF!L:N,3,FALSE)*AH3
+VLOOKUP($R$1,_VRF!L:N,3,FALSE)*AI3
+VLOOKUP("6mm Cable 3 core and Earth",'Part List'!$A:$G,5,FALSE)*F3,
IF(M3="Branch Box",VLOOKUP(M3,_VRF!L:N,3,FALSE)
+VLOOKUP($N$1,_VRF!L:N,3,FALSE)*AE3
+VLOOKUP($O$1,_VRF!L:N,3,FALSE)*AF3
+VLOOKUP($P$1,_VRF!L:N,3,FALSE)*AG3
+VLOOKUP($Q$1,_VRF!L:N,3,FALSE)*AH3
+VLOOKUP($R$1,_VRF!L:N,3,FALSE)*AI3
+(VLOOKUP("2.5mm Twin and Earth",'Part List'!$A:$G,5,FALSE)+VLOOKUP("7030 2 pair TCAS7302P",'Part List'!$A:$G,5,FALSE))*F3,
+IF(NOT(M3="Split"),IF(OR(M3="Outdoor",M3="Indoor"),0,VLOOKUP(AD3,_VRF!L:N,3,FALSE)+VLOOKUP(M3,_VRF!L:N,3,FALSE))
+VLOOKUP($N$1,_VRF!L:N,3,FALSE)*AE3
+VLOOKUP($O$1,_VRF!L:N,3,FALSE)*AF3
+VLOOKUP($P$1,_VRF!L:N,3,FALSE)*AG3
+VLOOKUP($Q$1,_VRF!L:N,3,FALSE)*AH3
+VLOOKUP($R$1,_VRF!L:N,3,FALSE)*AI3
+VLOOKUP(IF(M3="Outdoor","4mm Cable 3 core and Earth","2.5mm Twin and Earth"),'Part List'!$A:$G,5,FALSE)*F3
+IF(M3="Indoor",VLOOKUP("7030 2 pair TCAS7302P",'Part List'!$A:$G,5,FALSE),0)*F3
+VLOOKUP(IF(M3="Outdoor",IF(L3="Local","Outdoor_Local","Outdoor_MSSB"),0),_VRF!L:N,3,FALSE)
+IF(M3="Indoor",VLOOKUP(M3,_VRF!L:N,3,FALSE),0),
VLOOKUP(M3,_VRF!L:N,3,FALSE)
+(VLOOKUP("7030 2 pair TCAS7302P",'Part List'!$A:$G,5,FALSE)+2*VLOOKUP("2.5mm Twin and Earth",'Part List'!$A:$G,5,FALSE))*F3
+VLOOKUP($N$1,_VRF!L:N,3,FALSE)*AE3
+VLOOKUP($O$1,_VRF!L:N,3,FALSE)*AF3
+VLOOKUP($P$1,_VRF!L:N,3,FALSE)*AG3
+VLOOKUP($Q$1,_VRF!L:N,3,FALSE)*AH3
+VLOOKUP($R$1,_VRF!L:N,3,FALSE)*AI3))))</f>
        <v>#N/A</v>
      </c>
      <c r="K3" s="430" t="e">
        <f>_xlfn.CONCAT(VLOOKUP(M3,_VRF!$A$39:$C$44,3,FALSE), "-",
IF(N3="Yes", 1, 0)*X3, IF(O3="Yes", 1, 0)*Y3, IF(P3="Yes", 1, 0)*Z3, AA3*IF(Q3="Yes", 1, 0),IF(R3="Yes", 1, 0)*AB3,IF(W3 = 1, IF(L3="Local", "-L", "-M"),""))</f>
        <v>#N/A</v>
      </c>
      <c r="L3" s="432" t="s">
        <v>991</v>
      </c>
      <c r="M3" s="432"/>
      <c r="N3" s="440"/>
      <c r="O3" s="440"/>
      <c r="P3" s="440"/>
      <c r="Q3" s="440"/>
      <c r="R3" s="440"/>
      <c r="S3" s="114" t="str">
        <f t="shared" ref="S3:S25" si="7">IF(A3 = "VALID", AM3, "")</f>
        <v/>
      </c>
      <c r="W3" s="114" t="e">
        <f>VLOOKUP($M3,_VRF!$A$26:$G$31, 2, FALSE)</f>
        <v>#N/A</v>
      </c>
      <c r="X3" s="114" t="e">
        <f>VLOOKUP($M3,_VRF!$A$26:$G$31, 3, FALSE)</f>
        <v>#N/A</v>
      </c>
      <c r="Y3" s="114" t="e">
        <f>VLOOKUP($M3,_VRF!$A$26:$G$31, 4, FALSE)</f>
        <v>#N/A</v>
      </c>
      <c r="Z3" s="114" t="e">
        <f>VLOOKUP($M3,_VRF!$A$26:$G$31, 5, FALSE)</f>
        <v>#N/A</v>
      </c>
      <c r="AA3" s="114" t="e">
        <f>VLOOKUP($M3,_VRF!$A$26:$G$31, 6, FALSE)</f>
        <v>#N/A</v>
      </c>
      <c r="AB3" s="114" t="e">
        <f>VLOOKUP($M3,_VRF!$A$26:$G$31, 7, FALSE)</f>
        <v>#N/A</v>
      </c>
      <c r="AD3" s="114" t="e">
        <f t="shared" ref="AD3:AD23" si="8">IF(W3=1,L3, 0)</f>
        <v>#N/A</v>
      </c>
      <c r="AE3" s="114">
        <f t="shared" ref="AE3:AI19" si="9">IF(N3="Yes",X3, 0)</f>
        <v>0</v>
      </c>
      <c r="AF3" s="114">
        <f t="shared" si="1"/>
        <v>0</v>
      </c>
      <c r="AG3" s="114">
        <f t="shared" si="1"/>
        <v>0</v>
      </c>
      <c r="AH3" s="114">
        <f t="shared" si="1"/>
        <v>0</v>
      </c>
      <c r="AI3" s="114">
        <f t="shared" si="1"/>
        <v>0</v>
      </c>
      <c r="AM3" s="432" t="str">
        <f t="shared" ref="AM3:AM23" si="10">IF(A3="VALID",_xlfn.CONCAT("
",AT3,"
",REPT(" ",8),AU3,"
",REPT(" ",8),AV3,"
",REPT(" ", 8),AW3, "
"),"")</f>
        <v/>
      </c>
      <c r="AN3" s="114">
        <f t="shared" si="2"/>
        <v>0</v>
      </c>
      <c r="AO3" s="114" t="str">
        <f>_xlfn.CONCAT(E3," (",VLOOKUP(E3,[1]Backend!C:D,2,FALSE),")")</f>
        <v xml:space="preserve"> (Zero)</v>
      </c>
      <c r="AP3" s="114" t="str">
        <f>_xlfn.CONCAT(AN3," - Electrical power supply and controls to ",AO3," ",VLOOKUP(M3,_VRF!$A$39:$G$48,2,FALSE))</f>
        <v xml:space="preserve">0 - Electrical power supply and controls to  (Zero) </v>
      </c>
      <c r="AQ3" s="114" t="str">
        <f t="shared" ref="AQ3:AQ22" si="11">IF(SUM(AE3:AI3)&gt;0," with: "," ")</f>
        <v xml:space="preserve"> </v>
      </c>
      <c r="AR3" s="114" t="str">
        <f t="shared" ref="AR3:AR22" si="12">_xlfn.CONCAT(
IF(M3 = "Yes",_xlfn.CONCAT($M$1, ", "),""),
IF(N3 = "Yes",_xlfn.CONCAT($N$1, ", "),""),
IF(O3 = "Yes",_xlfn.CONCAT($O$1, ", "),""),
IF(P3 = "Yes",_xlfn.CONCAT($P$1, ", "),""),
IF(Q3 = "Yes",_xlfn.CONCAT($Q$1, ", "),""),
IF(R3 = "Yes",_xlfn.CONCAT($R$1, ", "),""))</f>
        <v/>
      </c>
      <c r="AS3" s="114" t="e">
        <f t="shared" ref="AS3:AS22" si="13">IF(AD3=0,"",_xlfn.CONCAT("from ",L3, " Power Supply"))</f>
        <v>#N/A</v>
      </c>
      <c r="AT3" s="114" t="e">
        <f t="shared" ref="AT3:AT22" si="14">_xlfn.CONCAT(AP3,AQ3,AR3,AS3)</f>
        <v>#N/A</v>
      </c>
      <c r="AU3" s="114" t="str">
        <f t="shared" ref="AU3:AU22" si="15">_xlfn.CONCAT(AN3,".1 - This includes supply and install of power and controls.")</f>
        <v>0.1 - This includes supply and install of power and controls.</v>
      </c>
      <c r="AV3" s="114" t="str">
        <f>_xlfn.CONCAT(AN3,".2 - Power for system includes: ",VLOOKUP(L3,_VRF!L:O,4,FALSE))</f>
        <v xml:space="preserve">0.2 - Power for system includes: cabling to unit and control panel (from Builder's Electrician's isolator) and local isolator, </v>
      </c>
      <c r="AW3" s="114" t="e">
        <f t="shared" ref="AW3:AW23" si="16">IF(OR((AD3="Local"),SUM(AE3:AI3)&gt;0),_xlfn.CONCAT(AN3,".3 - Controls for system includes: ",_xlfn.CONCAT(AX3,IF(AD3="Local","controls enclosure.","")),""),"")</f>
        <v>#N/A</v>
      </c>
      <c r="AX3" s="114" t="str">
        <f>_xlfn.CONCAT(
IF(M3="Yes",VLOOKUP(M$1,_VRF!L:Z,4,FALSE),""),
IF(N3="Yes",VLOOKUP(N$1,_VRF!L:Z,4,FALSE),""),
IF(O3="Yes",VLOOKUP(O$1,_VRF!L:Z,4,FALSE),""),
IF(P3="Yes",VLOOKUP(P$1,_VRF!L:Z,4,FALSE),""),
IF(Q3="Yes",VLOOKUP(Q$1,_VRF!L:Z,4,FALSE),""),
IF(R3="Yes",VLOOKUP(R$1,_VRF!L:Z,4,FALSE),""))</f>
        <v/>
      </c>
      <c r="AZ3" s="114" t="str">
        <f>_xlfn.CONCAT(VLOOKUP(M3,_VRF!$A$39:$G$48,2,FALSE),AQ3,AR3,)</f>
        <v xml:space="preserve"> </v>
      </c>
    </row>
    <row r="4" spans="1:52" x14ac:dyDescent="0.4">
      <c r="A4" s="429" t="str">
        <f t="shared" si="3"/>
        <v>INVALID</v>
      </c>
      <c r="B4" s="430" t="str">
        <f t="shared" si="4"/>
        <v>VRF 3</v>
      </c>
      <c r="C4" s="431">
        <f t="shared" si="5"/>
        <v>0</v>
      </c>
      <c r="D4" s="430">
        <f t="shared" si="6"/>
        <v>0</v>
      </c>
      <c r="E4" s="430"/>
      <c r="F4" s="430">
        <f t="shared" si="0"/>
        <v>5</v>
      </c>
      <c r="G4" s="440"/>
      <c r="H4" s="441"/>
      <c r="I4" s="440" t="e">
        <f>F4*VLOOKUP("7030 2 pair TCAS7302P",'Part List'!$A:$G,3,FALSE)*AE4
+IF(M4="Controller",VLOOKUP(M4,_VRF!L:N,2,FALSE)
+VLOOKUP($N$1,_VRF!L:N,2,FALSE)*AE4
+VLOOKUP($O$1,_VRF!L:N,2,FALSE)*AF4
+VLOOKUP($P$1,_VRF!L:N,2,FALSE)*AG4
+VLOOKUP($Q$1,_VRF!L:N,2,FALSE)*AH4
+VLOOKUP($R$1,_VRF!L:N,2,FALSE)*AI4
+(VLOOKUP("Network cable",'Part List'!$A:$G,3,FALSE)+VLOOKUP("2.5mm Twin and Earth",'Part List'!$A:$G,3,FALSE))*F4,
IF(M4="PAC",VLOOKUP(M4,_VRF!L:N,2,FALSE)
+VLOOKUP($N$1,_VRF!L:N,2,FALSE)*AE4
+VLOOKUP($O$1,_VRF!L:N,2,FALSE)*AF4
+VLOOKUP($P$1,_VRF!L:N,2,FALSE)*AG4
+VLOOKUP($Q$1,_VRF!L:N,2,FALSE)*AH4
+VLOOKUP($R$1,_VRF!L:N,2,FALSE)*AI4
+VLOOKUP("6mm Cable 3 core and Earth",'Part List'!$A:$G,3,FALSE)*F4,
IF(M4="Branch Box",VLOOKUP(M4,_VRF!L:N,2,FALSE)
+VLOOKUP($N$1,_VRF!L:N,2,FALSE)*AE4
+VLOOKUP($O$1,_VRF!L:N,2,FALSE)*AF4
+VLOOKUP($P$1,_VRF!L:N,2,FALSE)*AG4
+VLOOKUP($Q$1,_VRF!L:N,2,FALSE)*AH4
+VLOOKUP($R$1,_VRF!L:N,2,FALSE)*AI4
+(VLOOKUP("2.5mm Twin and Earth",'Part List'!$A:$G,3,FALSE)+VLOOKUP("7030 2 pair TCAS7302P",'Part List'!$A:$G,3,FALSE))*F4,
+IF(NOT(M4="Split"),IF(OR(M4="Outdoor",M4="Indoor"),0,VLOOKUP(AD4,_VRF!L:N,2,FALSE)+VLOOKUP(M4,_VRF!L:N,2,FALSE))
+VLOOKUP($N$1,_VRF!L:N,2,FALSE)*AE4
+VLOOKUP($O$1,_VRF!L:N,2,FALSE)*AF4
+VLOOKUP($P$1,_VRF!L:N,2,FALSE)*AG4
+VLOOKUP($Q$1,_VRF!L:N,2,FALSE)*AH4
+VLOOKUP($R$1,_VRF!L:N,2,FALSE)*AI4
+VLOOKUP(IF(M4="Outdoor","4mm Cable 3 core and Earth","2.5mm Twin and Earth"),'Part List'!$A:$G,3,FALSE)*F4
+IF(M4="Indoor",VLOOKUP("7030 2 pair TCAS7302P",'Part List'!$A:$G,3,FALSE),0)*F4
+VLOOKUP(IF(M4="Outdoor",IF(L4="Local","Outdoor_Local","Outdoor_MSSB"),0),_VRF!L:N,2,FALSE)
+IF(M4="Indoor",VLOOKUP(M4,_VRF!L:N,2,FALSE),0),
VLOOKUP(M4,_VRF!L:N,2,FALSE)
+(VLOOKUP("7030 2 pair TCAS7302P",'Part List'!$A:$G,3,FALSE)+2*VLOOKUP("2.5mm Twin and Earth",'Part List'!$A:$G,3,FALSE))*F4
+VLOOKUP($N$1,_VRF!L:N,2,FALSE)*AE4
+VLOOKUP($O$1,_VRF!L:N,2,FALSE)*AF4
+VLOOKUP($P$1,_VRF!L:N,2,FALSE)*AG4
+VLOOKUP($Q$1,_VRF!L:N,2,FALSE)*AH4
+VLOOKUP($R$1,_VRF!L:N,2,FALSE)*AI4))))</f>
        <v>#N/A</v>
      </c>
      <c r="J4" s="441" t="e">
        <f>F4*VLOOKUP("7030 2 pair TCAS7302P",'Part List'!$A:$G,5,FALSE)*AE4+
+
IF(M4="Controller",VLOOKUP(M4,_VRF!L:N,3,FALSE)
+VLOOKUP($N$1,_VRF!L:N,3,FALSE)*AE4
+VLOOKUP($O$1,_VRF!L:N,3,FALSE)*AF4
+VLOOKUP($P$1,_VRF!L:N,3,FALSE)*AG4
+VLOOKUP($Q$1,_VRF!L:N,3,FALSE)*AH4
+VLOOKUP($R$1,_VRF!L:N,3,FALSE)*AI4
+(VLOOKUP("Network cable",'Part List'!$A:$G,5,FALSE)+VLOOKUP("2.5mm Twin and Earth",'Part List'!$A:$G,5,FALSE))*F4,
IF(M4="PAC",VLOOKUP(M4,_VRF!L:N,3,FALSE)
+VLOOKUP($N$1,_VRF!L:N,3,FALSE)*AE4
+VLOOKUP($O$1,_VRF!L:N,3,FALSE)*AF4
+VLOOKUP($P$1,_VRF!L:N,3,FALSE)*AG4
+VLOOKUP($Q$1,_VRF!L:N,3,FALSE)*AH4
+VLOOKUP($R$1,_VRF!L:N,3,FALSE)*AI4
+VLOOKUP("6mm Cable 3 core and Earth",'Part List'!$A:$G,5,FALSE)*F4,
IF(M4="Branch Box",VLOOKUP(M4,_VRF!L:N,3,FALSE)
+VLOOKUP($N$1,_VRF!L:N,3,FALSE)*AE4
+VLOOKUP($O$1,_VRF!L:N,3,FALSE)*AF4
+VLOOKUP($P$1,_VRF!L:N,3,FALSE)*AG4
+VLOOKUP($Q$1,_VRF!L:N,3,FALSE)*AH4
+VLOOKUP($R$1,_VRF!L:N,3,FALSE)*AI4
+(VLOOKUP("2.5mm Twin and Earth",'Part List'!$A:$G,5,FALSE)+VLOOKUP("7030 2 pair TCAS7302P",'Part List'!$A:$G,5,FALSE))*F4,
+IF(NOT(M4="Split"),IF(OR(M4="Outdoor",M4="Indoor"),0,VLOOKUP(AD4,_VRF!L:N,3,FALSE)+VLOOKUP(M4,_VRF!L:N,3,FALSE))
+VLOOKUP($N$1,_VRF!L:N,3,FALSE)*AE4
+VLOOKUP($O$1,_VRF!L:N,3,FALSE)*AF4
+VLOOKUP($P$1,_VRF!L:N,3,FALSE)*AG4
+VLOOKUP($Q$1,_VRF!L:N,3,FALSE)*AH4
+VLOOKUP($R$1,_VRF!L:N,3,FALSE)*AI4
+VLOOKUP(IF(M4="Outdoor","4mm Cable 3 core and Earth","2.5mm Twin and Earth"),'Part List'!$A:$G,5,FALSE)*F4
+IF(M4="Indoor",VLOOKUP("7030 2 pair TCAS7302P",'Part List'!$A:$G,5,FALSE),0)*F4
+VLOOKUP(IF(M4="Outdoor",IF(L4="Local","Outdoor_Local","Outdoor_MSSB"),0),_VRF!L:N,3,FALSE)
+IF(M4="Indoor",VLOOKUP(M4,_VRF!L:N,3,FALSE),0),
VLOOKUP(M4,_VRF!L:N,3,FALSE)
+(VLOOKUP("7030 2 pair TCAS7302P",'Part List'!$A:$G,5,FALSE)+2*VLOOKUP("2.5mm Twin and Earth",'Part List'!$A:$G,5,FALSE))*F4
+VLOOKUP($N$1,_VRF!L:N,3,FALSE)*AE4
+VLOOKUP($O$1,_VRF!L:N,3,FALSE)*AF4
+VLOOKUP($P$1,_VRF!L:N,3,FALSE)*AG4
+VLOOKUP($Q$1,_VRF!L:N,3,FALSE)*AH4
+VLOOKUP($R$1,_VRF!L:N,3,FALSE)*AI4))))</f>
        <v>#N/A</v>
      </c>
      <c r="K4" s="430" t="e">
        <f>_xlfn.CONCAT(VLOOKUP(M4,_VRF!$A$39:$C$44,3,FALSE), "-",
IF(N4="Yes", 1, 0)*X4, IF(O4="Yes", 1, 0)*Y4, IF(P4="Yes", 1, 0)*Z4, AA4*IF(Q4="Yes", 1, 0),IF(R4="Yes", 1, 0)*AB4,IF(W4 = 1, IF(L4="Local", "-L", "-M"),""))</f>
        <v>#N/A</v>
      </c>
      <c r="L4" s="432" t="s">
        <v>991</v>
      </c>
      <c r="M4" s="432"/>
      <c r="N4" s="440"/>
      <c r="O4" s="440"/>
      <c r="P4" s="440"/>
      <c r="Q4" s="440"/>
      <c r="R4" s="440"/>
      <c r="S4" s="114" t="str">
        <f t="shared" si="7"/>
        <v/>
      </c>
      <c r="W4" s="114" t="e">
        <f>VLOOKUP($M4,_VRF!$A$26:$G$31, 2, FALSE)</f>
        <v>#N/A</v>
      </c>
      <c r="X4" s="114" t="e">
        <f>VLOOKUP($M4,_VRF!$A$26:$G$31, 3, FALSE)</f>
        <v>#N/A</v>
      </c>
      <c r="Y4" s="114" t="e">
        <f>VLOOKUP($M4,_VRF!$A$26:$G$31, 4, FALSE)</f>
        <v>#N/A</v>
      </c>
      <c r="Z4" s="114" t="e">
        <f>VLOOKUP($M4,_VRF!$A$26:$G$31, 5, FALSE)</f>
        <v>#N/A</v>
      </c>
      <c r="AA4" s="114" t="e">
        <f>VLOOKUP($M4,_VRF!$A$26:$G$31, 6, FALSE)</f>
        <v>#N/A</v>
      </c>
      <c r="AB4" s="114" t="e">
        <f>VLOOKUP($M4,_VRF!$A$26:$G$31, 7, FALSE)</f>
        <v>#N/A</v>
      </c>
      <c r="AD4" s="114" t="e">
        <f t="shared" si="8"/>
        <v>#N/A</v>
      </c>
      <c r="AE4" s="114">
        <f t="shared" si="9"/>
        <v>0</v>
      </c>
      <c r="AF4" s="114">
        <f t="shared" si="1"/>
        <v>0</v>
      </c>
      <c r="AG4" s="114">
        <f t="shared" si="1"/>
        <v>0</v>
      </c>
      <c r="AH4" s="114">
        <f t="shared" si="1"/>
        <v>0</v>
      </c>
      <c r="AI4" s="114">
        <f t="shared" si="1"/>
        <v>0</v>
      </c>
      <c r="AM4" s="432" t="str">
        <f t="shared" si="10"/>
        <v/>
      </c>
      <c r="AN4" s="114">
        <f t="shared" si="2"/>
        <v>0</v>
      </c>
      <c r="AO4" s="114" t="str">
        <f>_xlfn.CONCAT(E4," (",VLOOKUP(E4,[1]Backend!C:D,2,FALSE),")")</f>
        <v xml:space="preserve"> (Zero)</v>
      </c>
      <c r="AP4" s="114" t="str">
        <f>_xlfn.CONCAT(AN4," - Electrical power supply and controls to ",AO4," ",VLOOKUP(M4,_VRF!$A$39:$G$48,2,FALSE))</f>
        <v xml:space="preserve">0 - Electrical power supply and controls to  (Zero) </v>
      </c>
      <c r="AQ4" s="114" t="str">
        <f t="shared" si="11"/>
        <v xml:space="preserve"> </v>
      </c>
      <c r="AR4" s="114" t="str">
        <f t="shared" si="12"/>
        <v/>
      </c>
      <c r="AS4" s="114" t="e">
        <f t="shared" si="13"/>
        <v>#N/A</v>
      </c>
      <c r="AT4" s="114" t="e">
        <f t="shared" si="14"/>
        <v>#N/A</v>
      </c>
      <c r="AU4" s="114" t="str">
        <f t="shared" si="15"/>
        <v>0.1 - This includes supply and install of power and controls.</v>
      </c>
      <c r="AV4" s="114" t="str">
        <f>_xlfn.CONCAT(AN4,".2 - Power for system includes: ",VLOOKUP(L4,_VRF!L:O,4,FALSE))</f>
        <v xml:space="preserve">0.2 - Power for system includes: cabling to unit and control panel (from Builder's Electrician's isolator) and local isolator, </v>
      </c>
      <c r="AW4" s="114" t="e">
        <f t="shared" si="16"/>
        <v>#N/A</v>
      </c>
      <c r="AX4" s="114" t="str">
        <f>_xlfn.CONCAT(
IF(M4="Yes",VLOOKUP(M$1,_VRF!L:Z,4,FALSE),""),
IF(N4="Yes",VLOOKUP(N$1,_VRF!L:Z,4,FALSE),""),
IF(O4="Yes",VLOOKUP(O$1,_VRF!L:Z,4,FALSE),""),
IF(P4="Yes",VLOOKUP(P$1,_VRF!L:Z,4,FALSE),""),
IF(Q4="Yes",VLOOKUP(Q$1,_VRF!L:Z,4,FALSE),""),
IF(R4="Yes",VLOOKUP(R$1,_VRF!L:Z,4,FALSE),""))</f>
        <v/>
      </c>
      <c r="AZ4" s="114" t="str">
        <f>_xlfn.CONCAT(VLOOKUP(M4,_VRF!$A$39:$G$48,2,FALSE),AQ4,AR4,)</f>
        <v xml:space="preserve"> </v>
      </c>
    </row>
    <row r="5" spans="1:52" x14ac:dyDescent="0.4">
      <c r="A5" s="429" t="str">
        <f t="shared" si="3"/>
        <v>INVALID</v>
      </c>
      <c r="B5" s="430" t="str">
        <f t="shared" si="4"/>
        <v>VRF 4</v>
      </c>
      <c r="C5" s="431">
        <f t="shared" si="5"/>
        <v>0</v>
      </c>
      <c r="D5" s="430">
        <f t="shared" si="6"/>
        <v>0</v>
      </c>
      <c r="E5" s="430"/>
      <c r="F5" s="430">
        <f t="shared" si="0"/>
        <v>5</v>
      </c>
      <c r="G5" s="440"/>
      <c r="H5" s="441"/>
      <c r="I5" s="440" t="e">
        <f>90+F5*VLOOKUP("7030 2 pair TCAS7302P",'Part List'!$A:$G,3,FALSE)*AE5
+IF(M5="Controller",VLOOKUP(M5,_VRF!L:N,2,FALSE)
+VLOOKUP($N$1,_VRF!L:N,2,FALSE)*AE5
+VLOOKUP($O$1,_VRF!L:N,2,FALSE)*AF5
+VLOOKUP($P$1,_VRF!L:N,2,FALSE)*AG5
+VLOOKUP($Q$1,_VRF!L:N,2,FALSE)*AH5
+VLOOKUP($R$1,_VRF!L:N,2,FALSE)*AI5
+(VLOOKUP("Network cable",'Part List'!$A:$G,3,FALSE)+VLOOKUP("2.5mm Twin and Earth",'Part List'!$A:$G,3,FALSE))*F5,
IF(M5="PAC",VLOOKUP(M5,_VRF!L:N,2,FALSE)
+VLOOKUP($N$1,_VRF!L:N,2,FALSE)*AE5
+VLOOKUP($O$1,_VRF!L:N,2,FALSE)*AF5
+VLOOKUP($P$1,_VRF!L:N,2,FALSE)*AG5
+VLOOKUP($Q$1,_VRF!L:N,2,FALSE)*AH5
+VLOOKUP($R$1,_VRF!L:N,2,FALSE)*AI5
+VLOOKUP("6mm Cable 3 core and Earth",'Part List'!$A:$G,3,FALSE)*F5,
IF(M5="Branch Box",VLOOKUP(M5,_VRF!L:N,2,FALSE)
+VLOOKUP($N$1,_VRF!L:N,2,FALSE)*AE5
+VLOOKUP($O$1,_VRF!L:N,2,FALSE)*AF5
+VLOOKUP($P$1,_VRF!L:N,2,FALSE)*AG5
+VLOOKUP($Q$1,_VRF!L:N,2,FALSE)*AH5
+VLOOKUP($R$1,_VRF!L:N,2,FALSE)*AI5
+(VLOOKUP("2.5mm Twin and Earth",'Part List'!$A:$G,3,FALSE)+VLOOKUP("7030 2 pair TCAS7302P",'Part List'!$A:$G,3,FALSE))*F5,
+IF(NOT(M5="Split"),IF(OR(M5="Outdoor",M5="Indoor"),0,VLOOKUP(AD5,_VRF!L:N,2,FALSE)+VLOOKUP(M5,_VRF!L:N,2,FALSE))
+VLOOKUP($N$1,_VRF!L:N,2,FALSE)*AE5
+VLOOKUP($O$1,_VRF!L:N,2,FALSE)*AF5
+VLOOKUP($P$1,_VRF!L:N,2,FALSE)*AG5
+VLOOKUP($Q$1,_VRF!L:N,2,FALSE)*AH5
+VLOOKUP($R$1,_VRF!L:N,2,FALSE)*AI5
+VLOOKUP(IF(M5="Outdoor","4mm Cable 3 core and Earth","2.5mm Twin and Earth"),'Part List'!$A:$G,3,FALSE)*F5
+IF(M5="Indoor",VLOOKUP("7030 2 pair TCAS7302P",'Part List'!$A:$G,3,FALSE),0)*F5
+VLOOKUP(IF(M5="Outdoor",IF(L5="Local","Outdoor_Local","Outdoor_MSSB"),0),_VRF!L:N,2,FALSE)
+IF(M5="Indoor",VLOOKUP(M5,_VRF!L:N,2,FALSE),0),
VLOOKUP(M5,_VRF!L:N,2,FALSE)
+(VLOOKUP("7030 2 pair TCAS7302P",'Part List'!$A:$G,3,FALSE)+2*VLOOKUP("2.5mm Twin and Earth",'Part List'!$A:$G,3,FALSE))*F5
+VLOOKUP($N$1,_VRF!L:N,2,FALSE)*AE5
+VLOOKUP($O$1,_VRF!L:N,2,FALSE)*AF5
+VLOOKUP($P$1,_VRF!L:N,2,FALSE)*AG5
+VLOOKUP($Q$1,_VRF!L:N,2,FALSE)*AH5
+VLOOKUP($R$1,_VRF!L:N,2,FALSE)*AI5))))</f>
        <v>#N/A</v>
      </c>
      <c r="J5" s="441" t="e">
        <f>0.25+F5*VLOOKUP("7030 2 pair TCAS7302P",'Part List'!$A:$G,5,FALSE)*AE5+
+
IF(M5="Controller",VLOOKUP(M5,_VRF!L:N,3,FALSE)
+VLOOKUP($N$1,_VRF!L:N,3,FALSE)*AE5
+VLOOKUP($O$1,_VRF!L:N,3,FALSE)*AF5
+VLOOKUP($P$1,_VRF!L:N,3,FALSE)*AG5
+VLOOKUP($Q$1,_VRF!L:N,3,FALSE)*AH5
+VLOOKUP($R$1,_VRF!L:N,3,FALSE)*AI5
+(VLOOKUP("Network cable",'Part List'!$A:$G,5,FALSE)+VLOOKUP("2.5mm Twin and Earth",'Part List'!$A:$G,5,FALSE))*F5,
IF(M5="PAC",VLOOKUP(M5,_VRF!L:N,3,FALSE)
+VLOOKUP($N$1,_VRF!L:N,3,FALSE)*AE5
+VLOOKUP($O$1,_VRF!L:N,3,FALSE)*AF5
+VLOOKUP($P$1,_VRF!L:N,3,FALSE)*AG5
+VLOOKUP($Q$1,_VRF!L:N,3,FALSE)*AH5
+VLOOKUP($R$1,_VRF!L:N,3,FALSE)*AI5
+VLOOKUP("6mm Cable 3 core and Earth",'Part List'!$A:$G,5,FALSE)*F5,
IF(M5="Branch Box",VLOOKUP(M5,_VRF!L:N,3,FALSE)
+VLOOKUP($N$1,_VRF!L:N,3,FALSE)*AE5
+VLOOKUP($O$1,_VRF!L:N,3,FALSE)*AF5
+VLOOKUP($P$1,_VRF!L:N,3,FALSE)*AG5
+VLOOKUP($Q$1,_VRF!L:N,3,FALSE)*AH5
+VLOOKUP($R$1,_VRF!L:N,3,FALSE)*AI5
+(VLOOKUP("2.5mm Twin and Earth",'Part List'!$A:$G,5,FALSE)+VLOOKUP("7030 2 pair TCAS7302P",'Part List'!$A:$G,5,FALSE))*F5,
+IF(NOT(M5="Split"),IF(OR(M5="Outdoor",M5="Indoor"),0,VLOOKUP(AD5,_VRF!L:N,3,FALSE)+VLOOKUP(M5,_VRF!L:N,3,FALSE))
+VLOOKUP($N$1,_VRF!L:N,3,FALSE)*AE5
+VLOOKUP($O$1,_VRF!L:N,3,FALSE)*AF5
+VLOOKUP($P$1,_VRF!L:N,3,FALSE)*AG5
+VLOOKUP($Q$1,_VRF!L:N,3,FALSE)*AH5
+VLOOKUP($R$1,_VRF!L:N,3,FALSE)*AI5
+VLOOKUP(IF(M5="Outdoor","4mm Cable 3 core and Earth","2.5mm Twin and Earth"),'Part List'!$A:$G,5,FALSE)*F5
+IF(M5="Indoor",VLOOKUP("7030 2 pair TCAS7302P",'Part List'!$A:$G,5,FALSE),0)*F5
+VLOOKUP(IF(M5="Outdoor",IF(L5="Local","Outdoor_Local","Outdoor_MSSB"),0),_VRF!L:N,3,FALSE)
+IF(M5="Indoor",VLOOKUP(M5,_VRF!L:N,3,FALSE),0),
VLOOKUP(M5,_VRF!L:N,3,FALSE)
+(VLOOKUP("7030 2 pair TCAS7302P",'Part List'!$A:$G,5,FALSE)+2*VLOOKUP("2.5mm Twin and Earth",'Part List'!$A:$G,5,FALSE))*F5
+VLOOKUP($N$1,_VRF!L:N,3,FALSE)*AE5
+VLOOKUP($O$1,_VRF!L:N,3,FALSE)*AF5
+VLOOKUP($P$1,_VRF!L:N,3,FALSE)*AG5
+VLOOKUP($Q$1,_VRF!L:N,3,FALSE)*AH5
+VLOOKUP($R$1,_VRF!L:N,3,FALSE)*AI5))))</f>
        <v>#N/A</v>
      </c>
      <c r="K5" s="430" t="e">
        <f>_xlfn.CONCAT(VLOOKUP(M5,_VRF!$A$39:$C$44,3,FALSE), "-",
IF(N5="Yes", 1, 0)*X5, IF(O5="Yes", 1, 0)*Y5, IF(P5="Yes", 1, 0)*Z5, AA5*IF(Q5="Yes", 1, 0),IF(R5="Yes", 1, 0)*AB5,IF(W5 = 1, IF(L5="Local", "-L", "-M"),""))</f>
        <v>#N/A</v>
      </c>
      <c r="L5" s="432" t="s">
        <v>991</v>
      </c>
      <c r="M5" s="432"/>
      <c r="N5" s="440"/>
      <c r="O5" s="440"/>
      <c r="P5" s="440"/>
      <c r="Q5" s="440"/>
      <c r="R5" s="440"/>
      <c r="S5" s="114" t="str">
        <f t="shared" si="7"/>
        <v/>
      </c>
      <c r="W5" s="114" t="e">
        <f>VLOOKUP($M5,_VRF!$A$26:$G$31, 2, FALSE)</f>
        <v>#N/A</v>
      </c>
      <c r="X5" s="114" t="e">
        <f>VLOOKUP($M5,_VRF!$A$26:$G$31, 3, FALSE)</f>
        <v>#N/A</v>
      </c>
      <c r="Y5" s="114" t="e">
        <f>VLOOKUP($M5,_VRF!$A$26:$G$31, 4, FALSE)</f>
        <v>#N/A</v>
      </c>
      <c r="Z5" s="114" t="e">
        <f>VLOOKUP($M5,_VRF!$A$26:$G$31, 5, FALSE)</f>
        <v>#N/A</v>
      </c>
      <c r="AA5" s="114" t="e">
        <f>VLOOKUP($M5,_VRF!$A$26:$G$31, 6, FALSE)</f>
        <v>#N/A</v>
      </c>
      <c r="AB5" s="114" t="e">
        <f>VLOOKUP($M5,_VRF!$A$26:$G$31, 7, FALSE)</f>
        <v>#N/A</v>
      </c>
      <c r="AD5" s="114" t="e">
        <f t="shared" si="8"/>
        <v>#N/A</v>
      </c>
      <c r="AE5" s="114">
        <f t="shared" si="9"/>
        <v>0</v>
      </c>
      <c r="AF5" s="114">
        <f t="shared" si="1"/>
        <v>0</v>
      </c>
      <c r="AG5" s="114">
        <f t="shared" si="1"/>
        <v>0</v>
      </c>
      <c r="AH5" s="114">
        <f t="shared" si="1"/>
        <v>0</v>
      </c>
      <c r="AI5" s="114">
        <f t="shared" si="1"/>
        <v>0</v>
      </c>
      <c r="AM5" s="432" t="str">
        <f t="shared" si="10"/>
        <v/>
      </c>
      <c r="AN5" s="114">
        <f t="shared" si="2"/>
        <v>0</v>
      </c>
      <c r="AO5" s="114" t="str">
        <f>_xlfn.CONCAT(E5," (",VLOOKUP(E5,[1]Backend!C:D,2,FALSE),")")</f>
        <v xml:space="preserve"> (Zero)</v>
      </c>
      <c r="AP5" s="114" t="str">
        <f>_xlfn.CONCAT(AN5," - Electrical power supply and controls to ",AO5," ",VLOOKUP(M5,_VRF!$A$39:$G$48,2,FALSE))</f>
        <v xml:space="preserve">0 - Electrical power supply and controls to  (Zero) </v>
      </c>
      <c r="AQ5" s="114" t="str">
        <f t="shared" si="11"/>
        <v xml:space="preserve"> </v>
      </c>
      <c r="AR5" s="114" t="str">
        <f t="shared" si="12"/>
        <v/>
      </c>
      <c r="AS5" s="114" t="e">
        <f t="shared" si="13"/>
        <v>#N/A</v>
      </c>
      <c r="AT5" s="114" t="e">
        <f t="shared" si="14"/>
        <v>#N/A</v>
      </c>
      <c r="AU5" s="114" t="str">
        <f t="shared" si="15"/>
        <v>0.1 - This includes supply and install of power and controls.</v>
      </c>
      <c r="AV5" s="114" t="str">
        <f>_xlfn.CONCAT(AN5,".2 - Power for system includes: ",VLOOKUP(L5,_VRF!L:O,4,FALSE))</f>
        <v xml:space="preserve">0.2 - Power for system includes: cabling to unit and control panel (from Builder's Electrician's isolator) and local isolator, </v>
      </c>
      <c r="AW5" s="114" t="e">
        <f t="shared" si="16"/>
        <v>#N/A</v>
      </c>
      <c r="AX5" s="114" t="str">
        <f>_xlfn.CONCAT(
IF(M5="Yes",VLOOKUP(M$1,_VRF!L:Z,4,FALSE),""),
IF(N5="Yes",VLOOKUP(N$1,_VRF!L:Z,4,FALSE),""),
IF(O5="Yes",VLOOKUP(O$1,_VRF!L:Z,4,FALSE),""),
IF(P5="Yes",VLOOKUP(P$1,_VRF!L:Z,4,FALSE),""),
IF(Q5="Yes",VLOOKUP(Q$1,_VRF!L:Z,4,FALSE),""),
IF(R5="Yes",VLOOKUP(R$1,_VRF!L:Z,4,FALSE),""))</f>
        <v/>
      </c>
      <c r="AZ5" s="114" t="str">
        <f>_xlfn.CONCAT(VLOOKUP(M5,_VRF!$A$39:$G$48,2,FALSE),AQ5,AR5,)</f>
        <v xml:space="preserve"> </v>
      </c>
    </row>
    <row r="6" spans="1:52" x14ac:dyDescent="0.4">
      <c r="A6" s="429" t="str">
        <f t="shared" si="3"/>
        <v>INVALID</v>
      </c>
      <c r="B6" s="430" t="str">
        <f t="shared" si="4"/>
        <v>VRF 5</v>
      </c>
      <c r="C6" s="431">
        <f t="shared" si="5"/>
        <v>0</v>
      </c>
      <c r="D6" s="430">
        <f t="shared" si="6"/>
        <v>0</v>
      </c>
      <c r="E6" s="430"/>
      <c r="F6" s="430">
        <f t="shared" si="0"/>
        <v>5</v>
      </c>
      <c r="G6" s="440"/>
      <c r="H6" s="441"/>
      <c r="I6" s="440" t="e">
        <f>F6*VLOOKUP("7030 2 pair TCAS7302P",'Part List'!$A:$G,3,FALSE)*AE6
+IF(M6="Controller",VLOOKUP(M6,_VRF!L:N,2,FALSE)
+VLOOKUP($N$1,_VRF!L:N,2,FALSE)*AE6
+VLOOKUP($O$1,_VRF!L:N,2,FALSE)*AF6
+VLOOKUP($P$1,_VRF!L:N,2,FALSE)*AG6
+VLOOKUP($Q$1,_VRF!L:N,2,FALSE)*AH6
+VLOOKUP($R$1,_VRF!L:N,2,FALSE)*AI6
+(VLOOKUP("Network cable",'Part List'!$A:$G,3,FALSE)+VLOOKUP("2.5mm Twin and Earth",'Part List'!$A:$G,3,FALSE))*F6,
IF(M6="PAC",VLOOKUP(M6,_VRF!L:N,2,FALSE)
+VLOOKUP($N$1,_VRF!L:N,2,FALSE)*AE6
+VLOOKUP($O$1,_VRF!L:N,2,FALSE)*AF6
+VLOOKUP($P$1,_VRF!L:N,2,FALSE)*AG6
+VLOOKUP($Q$1,_VRF!L:N,2,FALSE)*AH6
+VLOOKUP($R$1,_VRF!L:N,2,FALSE)*AI6
+VLOOKUP("6mm Cable 3 core and Earth",'Part List'!$A:$G,3,FALSE)*F6,
IF(M6="Branch Box",VLOOKUP(M6,_VRF!L:N,2,FALSE)
+VLOOKUP($N$1,_VRF!L:N,2,FALSE)*AE6
+VLOOKUP($O$1,_VRF!L:N,2,FALSE)*AF6
+VLOOKUP($P$1,_VRF!L:N,2,FALSE)*AG6
+VLOOKUP($Q$1,_VRF!L:N,2,FALSE)*AH6
+VLOOKUP($R$1,_VRF!L:N,2,FALSE)*AI6
+(VLOOKUP("2.5mm Twin and Earth",'Part List'!$A:$G,3,FALSE)+VLOOKUP("7030 2 pair TCAS7302P",'Part List'!$A:$G,3,FALSE))*F6,
+IF(NOT(M6="Split"),IF(OR(M6="Outdoor",M6="Indoor"),0,VLOOKUP(AD6,_VRF!L:N,2,FALSE)+VLOOKUP(M6,_VRF!L:N,2,FALSE))
+VLOOKUP($N$1,_VRF!L:N,2,FALSE)*AE6
+VLOOKUP($O$1,_VRF!L:N,2,FALSE)*AF6
+VLOOKUP($P$1,_VRF!L:N,2,FALSE)*AG6
+VLOOKUP($Q$1,_VRF!L:N,2,FALSE)*AH6
+VLOOKUP($R$1,_VRF!L:N,2,FALSE)*AI6
+VLOOKUP(IF(M6="Outdoor","4mm Cable 3 core and Earth","2.5mm Twin and Earth"),'Part List'!$A:$G,3,FALSE)*F6
+IF(M6="Indoor",VLOOKUP("7030 2 pair TCAS7302P",'Part List'!$A:$G,3,FALSE),0)*F6
+VLOOKUP(IF(M6="Outdoor",IF(L6="Local","Outdoor_Local","Outdoor_MSSB"),0),_VRF!L:N,2,FALSE)
+IF(M6="Indoor",VLOOKUP(M6,_VRF!L:N,2,FALSE),0),
VLOOKUP(M6,_VRF!L:N,2,FALSE)
+(VLOOKUP("7030 2 pair TCAS7302P",'Part List'!$A:$G,3,FALSE)+2*VLOOKUP("2.5mm Twin and Earth",'Part List'!$A:$G,3,FALSE))*F6
+VLOOKUP($N$1,_VRF!L:N,2,FALSE)*AE6
+VLOOKUP($O$1,_VRF!L:N,2,FALSE)*AF6
+VLOOKUP($P$1,_VRF!L:N,2,FALSE)*AG6
+VLOOKUP($Q$1,_VRF!L:N,2,FALSE)*AH6
+VLOOKUP($R$1,_VRF!L:N,2,FALSE)*AI6))))</f>
        <v>#N/A</v>
      </c>
      <c r="J6" s="441" t="e">
        <f>F6*VLOOKUP("7030 2 pair TCAS7302P",'Part List'!$A:$G,5,FALSE)*AE6+
+
IF(M6="Controller",VLOOKUP(M6,_VRF!L:N,3,FALSE)
+VLOOKUP($N$1,_VRF!L:N,3,FALSE)*AE6
+VLOOKUP($O$1,_VRF!L:N,3,FALSE)*AF6
+VLOOKUP($P$1,_VRF!L:N,3,FALSE)*AG6
+VLOOKUP($Q$1,_VRF!L:N,3,FALSE)*AH6
+VLOOKUP($R$1,_VRF!L:N,3,FALSE)*AI6
+(VLOOKUP("Network cable",'Part List'!$A:$G,5,FALSE)+VLOOKUP("2.5mm Twin and Earth",'Part List'!$A:$G,5,FALSE))*F6,
IF(M6="PAC",VLOOKUP(M6,_VRF!L:N,3,FALSE)
+VLOOKUP($N$1,_VRF!L:N,3,FALSE)*AE6
+VLOOKUP($O$1,_VRF!L:N,3,FALSE)*AF6
+VLOOKUP($P$1,_VRF!L:N,3,FALSE)*AG6
+VLOOKUP($Q$1,_VRF!L:N,3,FALSE)*AH6
+VLOOKUP($R$1,_VRF!L:N,3,FALSE)*AI6
+VLOOKUP("6mm Cable 3 core and Earth",'Part List'!$A:$G,5,FALSE)*F6,
IF(M6="Branch Box",VLOOKUP(M6,_VRF!L:N,3,FALSE)
+VLOOKUP($N$1,_VRF!L:N,3,FALSE)*AE6
+VLOOKUP($O$1,_VRF!L:N,3,FALSE)*AF6
+VLOOKUP($P$1,_VRF!L:N,3,FALSE)*AG6
+VLOOKUP($Q$1,_VRF!L:N,3,FALSE)*AH6
+VLOOKUP($R$1,_VRF!L:N,3,FALSE)*AI6
+(VLOOKUP("2.5mm Twin and Earth",'Part List'!$A:$G,5,FALSE)+VLOOKUP("7030 2 pair TCAS7302P",'Part List'!$A:$G,5,FALSE))*F6,
+IF(NOT(M6="Split"),IF(OR(M6="Outdoor",M6="Indoor"),0,VLOOKUP(AD6,_VRF!L:N,3,FALSE)+VLOOKUP(M6,_VRF!L:N,3,FALSE))
+VLOOKUP($N$1,_VRF!L:N,3,FALSE)*AE6
+VLOOKUP($O$1,_VRF!L:N,3,FALSE)*AF6
+VLOOKUP($P$1,_VRF!L:N,3,FALSE)*AG6
+VLOOKUP($Q$1,_VRF!L:N,3,FALSE)*AH6
+VLOOKUP($R$1,_VRF!L:N,3,FALSE)*AI6
+VLOOKUP(IF(M6="Outdoor","4mm Cable 3 core and Earth","2.5mm Twin and Earth"),'Part List'!$A:$G,5,FALSE)*F6
+IF(M6="Indoor",VLOOKUP("7030 2 pair TCAS7302P",'Part List'!$A:$G,5,FALSE),0)*F6
+VLOOKUP(IF(M6="Outdoor",IF(L6="Local","Outdoor_Local","Outdoor_MSSB"),0),_VRF!L:N,3,FALSE)
+IF(M6="Indoor",VLOOKUP(M6,_VRF!L:N,3,FALSE),0),
VLOOKUP(M6,_VRF!L:N,3,FALSE)
+(VLOOKUP("7030 2 pair TCAS7302P",'Part List'!$A:$G,5,FALSE)+2*VLOOKUP("2.5mm Twin and Earth",'Part List'!$A:$G,5,FALSE))*F6
+VLOOKUP($N$1,_VRF!L:N,3,FALSE)*AE6
+VLOOKUP($O$1,_VRF!L:N,3,FALSE)*AF6
+VLOOKUP($P$1,_VRF!L:N,3,FALSE)*AG6
+VLOOKUP($Q$1,_VRF!L:N,3,FALSE)*AH6
+VLOOKUP($R$1,_VRF!L:N,3,FALSE)*AI6))))</f>
        <v>#N/A</v>
      </c>
      <c r="K6" s="430" t="e">
        <f>_xlfn.CONCAT(VLOOKUP(M6,_VRF!$A$39:$C$44,3,FALSE), "-",
IF(N6="Yes", 1, 0)*X6, IF(O6="Yes", 1, 0)*Y6, IF(P6="Yes", 1, 0)*Z6, AA6*IF(Q6="Yes", 1, 0),IF(R6="Yes", 1, 0)*AB6,IF(W6 = 1, IF(L6="Local", "-L", "-M"),""))</f>
        <v>#N/A</v>
      </c>
      <c r="L6" s="432" t="s">
        <v>991</v>
      </c>
      <c r="M6" s="432"/>
      <c r="N6" s="440"/>
      <c r="O6" s="440"/>
      <c r="P6" s="440"/>
      <c r="Q6" s="440"/>
      <c r="R6" s="440"/>
      <c r="S6" s="114" t="str">
        <f t="shared" si="7"/>
        <v/>
      </c>
      <c r="W6" s="114" t="e">
        <f>VLOOKUP($M6,_VRF!$A$26:$G$31, 2, FALSE)</f>
        <v>#N/A</v>
      </c>
      <c r="X6" s="114" t="e">
        <f>VLOOKUP($M6,_VRF!$A$26:$G$31, 3, FALSE)</f>
        <v>#N/A</v>
      </c>
      <c r="Y6" s="114" t="e">
        <f>VLOOKUP($M6,_VRF!$A$26:$G$31, 4, FALSE)</f>
        <v>#N/A</v>
      </c>
      <c r="Z6" s="114" t="e">
        <f>VLOOKUP($M6,_VRF!$A$26:$G$31, 5, FALSE)</f>
        <v>#N/A</v>
      </c>
      <c r="AA6" s="114" t="e">
        <f>VLOOKUP($M6,_VRF!$A$26:$G$31, 6, FALSE)</f>
        <v>#N/A</v>
      </c>
      <c r="AB6" s="114" t="e">
        <f>VLOOKUP($M6,_VRF!$A$26:$G$31, 7, FALSE)</f>
        <v>#N/A</v>
      </c>
      <c r="AD6" s="114" t="e">
        <f t="shared" si="8"/>
        <v>#N/A</v>
      </c>
      <c r="AE6" s="114">
        <f t="shared" si="9"/>
        <v>0</v>
      </c>
      <c r="AF6" s="114">
        <f t="shared" si="1"/>
        <v>0</v>
      </c>
      <c r="AG6" s="114">
        <f t="shared" si="1"/>
        <v>0</v>
      </c>
      <c r="AH6" s="114">
        <f t="shared" si="1"/>
        <v>0</v>
      </c>
      <c r="AI6" s="114">
        <f t="shared" si="1"/>
        <v>0</v>
      </c>
      <c r="AM6" s="432" t="str">
        <f t="shared" si="10"/>
        <v/>
      </c>
      <c r="AN6" s="114">
        <f t="shared" si="2"/>
        <v>0</v>
      </c>
      <c r="AO6" s="114" t="str">
        <f>_xlfn.CONCAT(E6," (",VLOOKUP(E6,[1]Backend!C:D,2,FALSE),")")</f>
        <v xml:space="preserve"> (Zero)</v>
      </c>
      <c r="AP6" s="114" t="str">
        <f>_xlfn.CONCAT(AN6," - Electrical power supply and controls to ",AO6," ",VLOOKUP(M6,_VRF!$A$39:$G$48,2,FALSE))</f>
        <v xml:space="preserve">0 - Electrical power supply and controls to  (Zero) </v>
      </c>
      <c r="AQ6" s="114" t="str">
        <f t="shared" si="11"/>
        <v xml:space="preserve"> </v>
      </c>
      <c r="AR6" s="114" t="str">
        <f t="shared" si="12"/>
        <v/>
      </c>
      <c r="AS6" s="114" t="e">
        <f t="shared" si="13"/>
        <v>#N/A</v>
      </c>
      <c r="AT6" s="114" t="e">
        <f t="shared" si="14"/>
        <v>#N/A</v>
      </c>
      <c r="AU6" s="114" t="str">
        <f t="shared" si="15"/>
        <v>0.1 - This includes supply and install of power and controls.</v>
      </c>
      <c r="AV6" s="114" t="str">
        <f>_xlfn.CONCAT(AN6,".2 - Power for system includes: ",VLOOKUP(L6,_VRF!L:O,4,FALSE))</f>
        <v xml:space="preserve">0.2 - Power for system includes: cabling to unit and control panel (from Builder's Electrician's isolator) and local isolator, </v>
      </c>
      <c r="AW6" s="114" t="e">
        <f t="shared" si="16"/>
        <v>#N/A</v>
      </c>
      <c r="AX6" s="114" t="str">
        <f>_xlfn.CONCAT(
IF(M6="Yes",VLOOKUP(M$1,_VRF!L:Z,4,FALSE),""),
IF(N6="Yes",VLOOKUP(N$1,_VRF!L:Z,4,FALSE),""),
IF(O6="Yes",VLOOKUP(O$1,_VRF!L:Z,4,FALSE),""),
IF(P6="Yes",VLOOKUP(P$1,_VRF!L:Z,4,FALSE),""),
IF(Q6="Yes",VLOOKUP(Q$1,_VRF!L:Z,4,FALSE),""),
IF(R6="Yes",VLOOKUP(R$1,_VRF!L:Z,4,FALSE),""))</f>
        <v/>
      </c>
      <c r="AZ6" s="114" t="str">
        <f>_xlfn.CONCAT(VLOOKUP(M6,_VRF!$A$39:$G$48,2,FALSE),AQ6,AR6,)</f>
        <v xml:space="preserve"> </v>
      </c>
    </row>
    <row r="7" spans="1:52" x14ac:dyDescent="0.4">
      <c r="A7" s="429" t="str">
        <f t="shared" si="3"/>
        <v>INVALID</v>
      </c>
      <c r="B7" s="430" t="str">
        <f t="shared" si="4"/>
        <v>VRF 6</v>
      </c>
      <c r="C7" s="431">
        <f t="shared" si="5"/>
        <v>0</v>
      </c>
      <c r="D7" s="430">
        <f t="shared" si="6"/>
        <v>0</v>
      </c>
      <c r="E7" s="430"/>
      <c r="F7" s="430">
        <f t="shared" si="0"/>
        <v>5</v>
      </c>
      <c r="G7" s="440"/>
      <c r="H7" s="441"/>
      <c r="I7" s="440" t="e">
        <f>F7*VLOOKUP("7030 2 pair TCAS7302P",'Part List'!$A:$G,3,FALSE)*AE7
+IF(M7="Controller",VLOOKUP(M7,_VRF!L:N,2,FALSE)
+VLOOKUP($N$1,_VRF!L:N,2,FALSE)*AE7
+VLOOKUP($O$1,_VRF!L:N,2,FALSE)*AF7
+VLOOKUP($P$1,_VRF!L:N,2,FALSE)*AG7
+VLOOKUP($Q$1,_VRF!L:N,2,FALSE)*AH7
+VLOOKUP($R$1,_VRF!L:N,2,FALSE)*AI7
+(VLOOKUP("Network cable",'Part List'!$A:$G,3,FALSE)+VLOOKUP("2.5mm Twin and Earth",'Part List'!$A:$G,3,FALSE))*F7,
IF(M7="PAC",VLOOKUP(M7,_VRF!L:N,2,FALSE)
+VLOOKUP($N$1,_VRF!L:N,2,FALSE)*AE7
+VLOOKUP($O$1,_VRF!L:N,2,FALSE)*AF7
+VLOOKUP($P$1,_VRF!L:N,2,FALSE)*AG7
+VLOOKUP($Q$1,_VRF!L:N,2,FALSE)*AH7
+VLOOKUP($R$1,_VRF!L:N,2,FALSE)*AI7
+VLOOKUP("6mm Cable 3 core and Earth",'Part List'!$A:$G,3,FALSE)*F7,
IF(M7="Branch Box",VLOOKUP(M7,_VRF!L:N,2,FALSE)
+VLOOKUP($N$1,_VRF!L:N,2,FALSE)*AE7
+VLOOKUP($O$1,_VRF!L:N,2,FALSE)*AF7
+VLOOKUP($P$1,_VRF!L:N,2,FALSE)*AG7
+VLOOKUP($Q$1,_VRF!L:N,2,FALSE)*AH7
+VLOOKUP($R$1,_VRF!L:N,2,FALSE)*AI7
+(VLOOKUP("2.5mm Twin and Earth",'Part List'!$A:$G,3,FALSE)+VLOOKUP("7030 2 pair TCAS7302P",'Part List'!$A:$G,3,FALSE))*F7,
+IF(NOT(M7="Split"),IF(OR(M7="Outdoor",M7="Indoor"),0,VLOOKUP(AD7,_VRF!L:N,2,FALSE)+VLOOKUP(M7,_VRF!L:N,2,FALSE))
+VLOOKUP($N$1,_VRF!L:N,2,FALSE)*AE7
+VLOOKUP($O$1,_VRF!L:N,2,FALSE)*AF7
+VLOOKUP($P$1,_VRF!L:N,2,FALSE)*AG7
+VLOOKUP($Q$1,_VRF!L:N,2,FALSE)*AH7
+VLOOKUP($R$1,_VRF!L:N,2,FALSE)*AI7
+VLOOKUP(IF(M7="Outdoor","4mm Cable 3 core and Earth","2.5mm Twin and Earth"),'Part List'!$A:$G,3,FALSE)*F7
+IF(M7="Indoor",VLOOKUP("7030 2 pair TCAS7302P",'Part List'!$A:$G,3,FALSE),0)*F7
+VLOOKUP(IF(M7="Outdoor",IF(L7="Local","Outdoor_Local","Outdoor_MSSB"),0),_VRF!L:N,2,FALSE)
+IF(M7="Indoor",VLOOKUP(M7,_VRF!L:N,2,FALSE),0),
VLOOKUP(M7,_VRF!L:N,2,FALSE)
+(VLOOKUP("7030 2 pair TCAS7302P",'Part List'!$A:$G,3,FALSE)+2*VLOOKUP("2.5mm Twin and Earth",'Part List'!$A:$G,3,FALSE))*F7
+VLOOKUP($N$1,_VRF!L:N,2,FALSE)*AE7
+VLOOKUP($O$1,_VRF!L:N,2,FALSE)*AF7
+VLOOKUP($P$1,_VRF!L:N,2,FALSE)*AG7
+VLOOKUP($Q$1,_VRF!L:N,2,FALSE)*AH7
+VLOOKUP($R$1,_VRF!L:N,2,FALSE)*AI7))))</f>
        <v>#N/A</v>
      </c>
      <c r="J7" s="441" t="e">
        <f>F7*VLOOKUP("7030 2 pair TCAS7302P",'Part List'!$A:$G,5,FALSE)*AE7+
+
IF(M7="Controller",VLOOKUP(M7,_VRF!L:N,3,FALSE)
+VLOOKUP($N$1,_VRF!L:N,3,FALSE)*AE7
+VLOOKUP($O$1,_VRF!L:N,3,FALSE)*AF7
+VLOOKUP($P$1,_VRF!L:N,3,FALSE)*AG7
+VLOOKUP($Q$1,_VRF!L:N,3,FALSE)*AH7
+VLOOKUP($R$1,_VRF!L:N,3,FALSE)*AI7
+(VLOOKUP("Network cable",'Part List'!$A:$G,5,FALSE)+VLOOKUP("2.5mm Twin and Earth",'Part List'!$A:$G,5,FALSE))*F7,
IF(M7="PAC",VLOOKUP(M7,_VRF!L:N,3,FALSE)
+VLOOKUP($N$1,_VRF!L:N,3,FALSE)*AE7
+VLOOKUP($O$1,_VRF!L:N,3,FALSE)*AF7
+VLOOKUP($P$1,_VRF!L:N,3,FALSE)*AG7
+VLOOKUP($Q$1,_VRF!L:N,3,FALSE)*AH7
+VLOOKUP($R$1,_VRF!L:N,3,FALSE)*AI7
+VLOOKUP("6mm Cable 3 core and Earth",'Part List'!$A:$G,5,FALSE)*F7,
IF(M7="Branch Box",VLOOKUP(M7,_VRF!L:N,3,FALSE)
+VLOOKUP($N$1,_VRF!L:N,3,FALSE)*AE7
+VLOOKUP($O$1,_VRF!L:N,3,FALSE)*AF7
+VLOOKUP($P$1,_VRF!L:N,3,FALSE)*AG7
+VLOOKUP($Q$1,_VRF!L:N,3,FALSE)*AH7
+VLOOKUP($R$1,_VRF!L:N,3,FALSE)*AI7
+(VLOOKUP("2.5mm Twin and Earth",'Part List'!$A:$G,5,FALSE)+VLOOKUP("7030 2 pair TCAS7302P",'Part List'!$A:$G,5,FALSE))*F7,
+IF(NOT(M7="Split"),IF(OR(M7="Outdoor",M7="Indoor"),0,VLOOKUP(AD7,_VRF!L:N,3,FALSE)+VLOOKUP(M7,_VRF!L:N,3,FALSE))
+VLOOKUP($N$1,_VRF!L:N,3,FALSE)*AE7
+VLOOKUP($O$1,_VRF!L:N,3,FALSE)*AF7
+VLOOKUP($P$1,_VRF!L:N,3,FALSE)*AG7
+VLOOKUP($Q$1,_VRF!L:N,3,FALSE)*AH7
+VLOOKUP($R$1,_VRF!L:N,3,FALSE)*AI7
+VLOOKUP(IF(M7="Outdoor","4mm Cable 3 core and Earth","2.5mm Twin and Earth"),'Part List'!$A:$G,5,FALSE)*F7
+IF(M7="Indoor",VLOOKUP("7030 2 pair TCAS7302P",'Part List'!$A:$G,5,FALSE),0)*F7
+VLOOKUP(IF(M7="Outdoor",IF(L7="Local","Outdoor_Local","Outdoor_MSSB"),0),_VRF!L:N,3,FALSE)
+IF(M7="Indoor",VLOOKUP(M7,_VRF!L:N,3,FALSE),0),
VLOOKUP(M7,_VRF!L:N,3,FALSE)
+(VLOOKUP("7030 2 pair TCAS7302P",'Part List'!$A:$G,5,FALSE)+2*VLOOKUP("2.5mm Twin and Earth",'Part List'!$A:$G,5,FALSE))*F7
+VLOOKUP($N$1,_VRF!L:N,3,FALSE)*AE7
+VLOOKUP($O$1,_VRF!L:N,3,FALSE)*AF7
+VLOOKUP($P$1,_VRF!L:N,3,FALSE)*AG7
+VLOOKUP($Q$1,_VRF!L:N,3,FALSE)*AH7
+VLOOKUP($R$1,_VRF!L:N,3,FALSE)*AI7))))</f>
        <v>#N/A</v>
      </c>
      <c r="K7" s="430" t="e">
        <f>_xlfn.CONCAT(VLOOKUP(M7,_VRF!$A$39:$C$44,3,FALSE), "-",
IF(N7="Yes", 1, 0)*X7, IF(O7="Yes", 1, 0)*Y7, IF(P7="Yes", 1, 0)*Z7, AA7*IF(Q7="Yes", 1, 0),IF(R7="Yes", 1, 0)*AB7,IF(W7 = 1, IF(L7="Local", "-L", "-M"),""))</f>
        <v>#N/A</v>
      </c>
      <c r="L7" s="432" t="s">
        <v>991</v>
      </c>
      <c r="M7" s="432"/>
      <c r="N7" s="440"/>
      <c r="O7" s="440"/>
      <c r="P7" s="440"/>
      <c r="Q7" s="440"/>
      <c r="R7" s="440"/>
      <c r="S7" s="114" t="str">
        <f t="shared" si="7"/>
        <v/>
      </c>
      <c r="W7" s="114" t="e">
        <f>VLOOKUP($M7,_VRF!$A$26:$G$31, 2, FALSE)</f>
        <v>#N/A</v>
      </c>
      <c r="X7" s="114" t="e">
        <f>VLOOKUP($M7,_VRF!$A$26:$G$31, 3, FALSE)</f>
        <v>#N/A</v>
      </c>
      <c r="Y7" s="114" t="e">
        <f>VLOOKUP($M7,_VRF!$A$26:$G$31, 4, FALSE)</f>
        <v>#N/A</v>
      </c>
      <c r="Z7" s="114" t="e">
        <f>VLOOKUP($M7,_VRF!$A$26:$G$31, 5, FALSE)</f>
        <v>#N/A</v>
      </c>
      <c r="AA7" s="114" t="e">
        <f>VLOOKUP($M7,_VRF!$A$26:$G$31, 6, FALSE)</f>
        <v>#N/A</v>
      </c>
      <c r="AB7" s="114" t="e">
        <f>VLOOKUP($M7,_VRF!$A$26:$G$31, 7, FALSE)</f>
        <v>#N/A</v>
      </c>
      <c r="AD7" s="114" t="e">
        <f t="shared" si="8"/>
        <v>#N/A</v>
      </c>
      <c r="AE7" s="114">
        <f t="shared" si="9"/>
        <v>0</v>
      </c>
      <c r="AF7" s="114">
        <f t="shared" si="1"/>
        <v>0</v>
      </c>
      <c r="AG7" s="114">
        <f t="shared" si="1"/>
        <v>0</v>
      </c>
      <c r="AH7" s="114">
        <f t="shared" si="1"/>
        <v>0</v>
      </c>
      <c r="AI7" s="114">
        <f t="shared" si="1"/>
        <v>0</v>
      </c>
      <c r="AM7" s="432" t="str">
        <f t="shared" si="10"/>
        <v/>
      </c>
      <c r="AN7" s="114">
        <f t="shared" si="2"/>
        <v>0</v>
      </c>
      <c r="AO7" s="114" t="str">
        <f>_xlfn.CONCAT(E7," (",VLOOKUP(E7,[1]Backend!C:D,2,FALSE),")")</f>
        <v xml:space="preserve"> (Zero)</v>
      </c>
      <c r="AP7" s="114" t="str">
        <f>_xlfn.CONCAT(AN7," - Electrical power supply and controls to ",AO7," ",VLOOKUP(M7,_VRF!$A$39:$G$48,2,FALSE))</f>
        <v xml:space="preserve">0 - Electrical power supply and controls to  (Zero) </v>
      </c>
      <c r="AQ7" s="114" t="str">
        <f t="shared" si="11"/>
        <v xml:space="preserve"> </v>
      </c>
      <c r="AR7" s="114" t="str">
        <f t="shared" si="12"/>
        <v/>
      </c>
      <c r="AS7" s="114" t="e">
        <f t="shared" si="13"/>
        <v>#N/A</v>
      </c>
      <c r="AT7" s="114" t="e">
        <f t="shared" si="14"/>
        <v>#N/A</v>
      </c>
      <c r="AU7" s="114" t="str">
        <f t="shared" si="15"/>
        <v>0.1 - This includes supply and install of power and controls.</v>
      </c>
      <c r="AV7" s="114" t="str">
        <f>_xlfn.CONCAT(AN7,".2 - Power for system includes: ",VLOOKUP(L7,_VRF!L:O,4,FALSE))</f>
        <v xml:space="preserve">0.2 - Power for system includes: cabling to unit and control panel (from Builder's Electrician's isolator) and local isolator, </v>
      </c>
      <c r="AW7" s="114" t="e">
        <f t="shared" si="16"/>
        <v>#N/A</v>
      </c>
      <c r="AX7" s="114" t="str">
        <f>_xlfn.CONCAT(
IF(M7="Yes",VLOOKUP(M$1,_VRF!L:Z,4,FALSE),""),
IF(N7="Yes",VLOOKUP(N$1,_VRF!L:Z,4,FALSE),""),
IF(O7="Yes",VLOOKUP(O$1,_VRF!L:Z,4,FALSE),""),
IF(P7="Yes",VLOOKUP(P$1,_VRF!L:Z,4,FALSE),""),
IF(Q7="Yes",VLOOKUP(Q$1,_VRF!L:Z,4,FALSE),""),
IF(R7="Yes",VLOOKUP(R$1,_VRF!L:Z,4,FALSE),""))</f>
        <v/>
      </c>
      <c r="AZ7" s="114" t="str">
        <f>_xlfn.CONCAT(VLOOKUP(M7,_VRF!$A$39:$G$48,2,FALSE),AQ7,AR7,)</f>
        <v xml:space="preserve"> </v>
      </c>
    </row>
    <row r="8" spans="1:52" x14ac:dyDescent="0.4">
      <c r="A8" s="429" t="str">
        <f t="shared" si="3"/>
        <v>INVALID</v>
      </c>
      <c r="B8" s="430" t="str">
        <f t="shared" si="4"/>
        <v>VRF 7</v>
      </c>
      <c r="C8" s="431">
        <f t="shared" si="5"/>
        <v>0</v>
      </c>
      <c r="D8" s="430">
        <f t="shared" si="6"/>
        <v>0</v>
      </c>
      <c r="E8" s="430"/>
      <c r="F8" s="430">
        <f t="shared" si="0"/>
        <v>20</v>
      </c>
      <c r="G8" s="440"/>
      <c r="H8" s="441"/>
      <c r="I8" s="440" t="e">
        <f>F8*VLOOKUP("7030 2 pair TCAS7302P",'Part List'!$A:$G,3,FALSE)*AE8
+IF(M8="Controller",VLOOKUP(M8,_VRF!L:N,2,FALSE)
+VLOOKUP($N$1,_VRF!L:N,2,FALSE)*AE8
+VLOOKUP($O$1,_VRF!L:N,2,FALSE)*AF8
+VLOOKUP($P$1,_VRF!L:N,2,FALSE)*AG8
+VLOOKUP($Q$1,_VRF!L:N,2,FALSE)*AH8
+VLOOKUP($R$1,_VRF!L:N,2,FALSE)*AI8
+(VLOOKUP("Network cable",'Part List'!$A:$G,3,FALSE)+VLOOKUP("2.5mm Twin and Earth",'Part List'!$A:$G,3,FALSE))*F8,
IF(M8="PAC",VLOOKUP(M8,_VRF!L:N,2,FALSE)
+VLOOKUP($N$1,_VRF!L:N,2,FALSE)*AE8
+VLOOKUP($O$1,_VRF!L:N,2,FALSE)*AF8
+VLOOKUP($P$1,_VRF!L:N,2,FALSE)*AG8
+VLOOKUP($Q$1,_VRF!L:N,2,FALSE)*AH8
+VLOOKUP($R$1,_VRF!L:N,2,FALSE)*AI8
+VLOOKUP("6mm Cable 3 core and Earth",'Part List'!$A:$G,3,FALSE)*F8,
IF(M8="Branch Box",VLOOKUP(M8,_VRF!L:N,2,FALSE)
+VLOOKUP($N$1,_VRF!L:N,2,FALSE)*AE8
+VLOOKUP($O$1,_VRF!L:N,2,FALSE)*AF8
+VLOOKUP($P$1,_VRF!L:N,2,FALSE)*AG8
+VLOOKUP($Q$1,_VRF!L:N,2,FALSE)*AH8
+VLOOKUP($R$1,_VRF!L:N,2,FALSE)*AI8
+(VLOOKUP("2.5mm Twin and Earth",'Part List'!$A:$G,3,FALSE)+VLOOKUP("7030 2 pair TCAS7302P",'Part List'!$A:$G,3,FALSE))*F8,
+IF(NOT(M8="Split"),IF(OR(M8="Outdoor",M8="Indoor"),0,VLOOKUP(AD8,_VRF!L:N,2,FALSE)+VLOOKUP(M8,_VRF!L:N,2,FALSE))
+VLOOKUP($N$1,_VRF!L:N,2,FALSE)*AE8
+VLOOKUP($O$1,_VRF!L:N,2,FALSE)*AF8
+VLOOKUP($P$1,_VRF!L:N,2,FALSE)*AG8
+VLOOKUP($Q$1,_VRF!L:N,2,FALSE)*AH8
+VLOOKUP($R$1,_VRF!L:N,2,FALSE)*AI8
+VLOOKUP(IF(M8="Outdoor","4mm Cable 3 core and Earth","2.5mm Twin and Earth"),'Part List'!$A:$G,3,FALSE)*F8
+IF(M8="Indoor",VLOOKUP("7030 2 pair TCAS7302P",'Part List'!$A:$G,3,FALSE),0)*F8
+VLOOKUP(IF(M8="Outdoor",IF(L8="Local","Outdoor_Local","Outdoor_MSSB"),0),_VRF!L:N,2,FALSE)
+IF(M8="Indoor",VLOOKUP(M8,_VRF!L:N,2,FALSE),0),
VLOOKUP(M8,_VRF!L:N,2,FALSE)
+(VLOOKUP("7030 2 pair TCAS7302P",'Part List'!$A:$G,3,FALSE)+2*VLOOKUP("2.5mm Twin and Earth",'Part List'!$A:$G,3,FALSE))*F8
+VLOOKUP($N$1,_VRF!L:N,2,FALSE)*AE8
+VLOOKUP($O$1,_VRF!L:N,2,FALSE)*AF8
+VLOOKUP($P$1,_VRF!L:N,2,FALSE)*AG8
+VLOOKUP($Q$1,_VRF!L:N,2,FALSE)*AH8
+VLOOKUP($R$1,_VRF!L:N,2,FALSE)*AI8))))</f>
        <v>#N/A</v>
      </c>
      <c r="J8" s="441" t="e">
        <f>F8*VLOOKUP("7030 2 pair TCAS7302P",'Part List'!$A:$G,5,FALSE)*AE8+
+
IF(M8="Controller",VLOOKUP(M8,_VRF!L:N,3,FALSE)
+VLOOKUP($N$1,_VRF!L:N,3,FALSE)*AE8
+VLOOKUP($O$1,_VRF!L:N,3,FALSE)*AF8
+VLOOKUP($P$1,_VRF!L:N,3,FALSE)*AG8
+VLOOKUP($Q$1,_VRF!L:N,3,FALSE)*AH8
+VLOOKUP($R$1,_VRF!L:N,3,FALSE)*AI8
+(VLOOKUP("Network cable",'Part List'!$A:$G,5,FALSE)+VLOOKUP("2.5mm Twin and Earth",'Part List'!$A:$G,5,FALSE))*F8,
IF(M8="PAC",VLOOKUP(M8,_VRF!L:N,3,FALSE)
+VLOOKUP($N$1,_VRF!L:N,3,FALSE)*AE8
+VLOOKUP($O$1,_VRF!L:N,3,FALSE)*AF8
+VLOOKUP($P$1,_VRF!L:N,3,FALSE)*AG8
+VLOOKUP($Q$1,_VRF!L:N,3,FALSE)*AH8
+VLOOKUP($R$1,_VRF!L:N,3,FALSE)*AI8
+VLOOKUP("6mm Cable 3 core and Earth",'Part List'!$A:$G,5,FALSE)*F8,
IF(M8="Branch Box",VLOOKUP(M8,_VRF!L:N,3,FALSE)
+VLOOKUP($N$1,_VRF!L:N,3,FALSE)*AE8
+VLOOKUP($O$1,_VRF!L:N,3,FALSE)*AF8
+VLOOKUP($P$1,_VRF!L:N,3,FALSE)*AG8
+VLOOKUP($Q$1,_VRF!L:N,3,FALSE)*AH8
+VLOOKUP($R$1,_VRF!L:N,3,FALSE)*AI8
+(VLOOKUP("2.5mm Twin and Earth",'Part List'!$A:$G,5,FALSE)+VLOOKUP("7030 2 pair TCAS7302P",'Part List'!$A:$G,5,FALSE))*F8,
+IF(NOT(M8="Split"),IF(OR(M8="Outdoor",M8="Indoor"),0,VLOOKUP(AD8,_VRF!L:N,3,FALSE)+VLOOKUP(M8,_VRF!L:N,3,FALSE))
+VLOOKUP($N$1,_VRF!L:N,3,FALSE)*AE8
+VLOOKUP($O$1,_VRF!L:N,3,FALSE)*AF8
+VLOOKUP($P$1,_VRF!L:N,3,FALSE)*AG8
+VLOOKUP($Q$1,_VRF!L:N,3,FALSE)*AH8
+VLOOKUP($R$1,_VRF!L:N,3,FALSE)*AI8
+VLOOKUP(IF(M8="Outdoor","4mm Cable 3 core and Earth","2.5mm Twin and Earth"),'Part List'!$A:$G,5,FALSE)*F8
+IF(M8="Indoor",VLOOKUP("7030 2 pair TCAS7302P",'Part List'!$A:$G,5,FALSE),0)*F8
+VLOOKUP(IF(M8="Outdoor",IF(L8="Local","Outdoor_Local","Outdoor_MSSB"),0),_VRF!L:N,3,FALSE)
+IF(M8="Indoor",VLOOKUP(M8,_VRF!L:N,3,FALSE),0),
VLOOKUP(M8,_VRF!L:N,3,FALSE)
+(VLOOKUP("7030 2 pair TCAS7302P",'Part List'!$A:$G,5,FALSE)+2*VLOOKUP("2.5mm Twin and Earth",'Part List'!$A:$G,5,FALSE))*F8
+VLOOKUP($N$1,_VRF!L:N,3,FALSE)*AE8
+VLOOKUP($O$1,_VRF!L:N,3,FALSE)*AF8
+VLOOKUP($P$1,_VRF!L:N,3,FALSE)*AG8
+VLOOKUP($Q$1,_VRF!L:N,3,FALSE)*AH8
+VLOOKUP($R$1,_VRF!L:N,3,FALSE)*AI8))))</f>
        <v>#N/A</v>
      </c>
      <c r="K8" s="430" t="e">
        <f>_xlfn.CONCAT(VLOOKUP(M8,_VRF!$A$39:$C$44,3,FALSE), "-",
IF(N8="Yes", 1, 0)*X8, IF(O8="Yes", 1, 0)*Y8, IF(P8="Yes", 1, 0)*Z8, AA8*IF(Q8="Yes", 1, 0),IF(R8="Yes", 1, 0)*AB8,IF(W8 = 1, IF(L8="Local", "-L", "-M"),""))</f>
        <v>#N/A</v>
      </c>
      <c r="L8" s="432" t="s">
        <v>678</v>
      </c>
      <c r="M8" s="432"/>
      <c r="N8" s="440"/>
      <c r="O8" s="440"/>
      <c r="P8" s="440"/>
      <c r="Q8" s="440"/>
      <c r="R8" s="440"/>
      <c r="S8" s="114" t="str">
        <f t="shared" si="7"/>
        <v/>
      </c>
      <c r="W8" s="114" t="e">
        <f>VLOOKUP($M8,_VRF!$A$26:$G$31, 2, FALSE)</f>
        <v>#N/A</v>
      </c>
      <c r="X8" s="114" t="e">
        <f>VLOOKUP($M8,_VRF!$A$26:$G$31, 3, FALSE)</f>
        <v>#N/A</v>
      </c>
      <c r="Y8" s="114" t="e">
        <f>VLOOKUP($M8,_VRF!$A$26:$G$31, 4, FALSE)</f>
        <v>#N/A</v>
      </c>
      <c r="Z8" s="114" t="e">
        <f>VLOOKUP($M8,_VRF!$A$26:$G$31, 5, FALSE)</f>
        <v>#N/A</v>
      </c>
      <c r="AA8" s="114" t="e">
        <f>VLOOKUP($M8,_VRF!$A$26:$G$31, 6, FALSE)</f>
        <v>#N/A</v>
      </c>
      <c r="AB8" s="114" t="e">
        <f>VLOOKUP($M8,_VRF!$A$26:$G$31, 7, FALSE)</f>
        <v>#N/A</v>
      </c>
      <c r="AD8" s="114" t="e">
        <f t="shared" si="8"/>
        <v>#N/A</v>
      </c>
      <c r="AE8" s="114">
        <f t="shared" si="9"/>
        <v>0</v>
      </c>
      <c r="AF8" s="114">
        <f t="shared" si="1"/>
        <v>0</v>
      </c>
      <c r="AG8" s="114">
        <f t="shared" si="1"/>
        <v>0</v>
      </c>
      <c r="AH8" s="114">
        <f t="shared" si="1"/>
        <v>0</v>
      </c>
      <c r="AI8" s="114">
        <f t="shared" si="1"/>
        <v>0</v>
      </c>
      <c r="AM8" s="432" t="str">
        <f t="shared" si="10"/>
        <v/>
      </c>
      <c r="AN8" s="114">
        <f t="shared" si="2"/>
        <v>0</v>
      </c>
      <c r="AO8" s="114" t="str">
        <f>_xlfn.CONCAT(E8," (",VLOOKUP(E8,[1]Backend!C:D,2,FALSE),")")</f>
        <v xml:space="preserve"> (Zero)</v>
      </c>
      <c r="AP8" s="114" t="str">
        <f>_xlfn.CONCAT(AN8," - Electrical power supply and controls to ",AO8," ",VLOOKUP(M8,_VRF!$A$39:$G$48,2,FALSE))</f>
        <v xml:space="preserve">0 - Electrical power supply and controls to  (Zero) </v>
      </c>
      <c r="AQ8" s="114" t="str">
        <f t="shared" si="11"/>
        <v xml:space="preserve"> </v>
      </c>
      <c r="AR8" s="114" t="str">
        <f t="shared" si="12"/>
        <v/>
      </c>
      <c r="AS8" s="114" t="e">
        <f t="shared" si="13"/>
        <v>#N/A</v>
      </c>
      <c r="AT8" s="114" t="e">
        <f t="shared" si="14"/>
        <v>#N/A</v>
      </c>
      <c r="AU8" s="114" t="str">
        <f t="shared" si="15"/>
        <v>0.1 - This includes supply and install of power and controls.</v>
      </c>
      <c r="AV8" s="114" t="str">
        <f>_xlfn.CONCAT(AN8,".2 - Power for system includes: ",VLOOKUP(L8,_VRF!L:O,4,FALSE))</f>
        <v xml:space="preserve">0.2 - Power for system includes: CB and cabling to unit from MSSB, and local isolator, </v>
      </c>
      <c r="AW8" s="114" t="e">
        <f t="shared" si="16"/>
        <v>#N/A</v>
      </c>
      <c r="AX8" s="114" t="str">
        <f>_xlfn.CONCAT(
IF(M8="Yes",VLOOKUP(M$1,_VRF!L:Z,4,FALSE),""),
IF(N8="Yes",VLOOKUP(N$1,_VRF!L:Z,4,FALSE),""),
IF(O8="Yes",VLOOKUP(O$1,_VRF!L:Z,4,FALSE),""),
IF(P8="Yes",VLOOKUP(P$1,_VRF!L:Z,4,FALSE),""),
IF(Q8="Yes",VLOOKUP(Q$1,_VRF!L:Z,4,FALSE),""),
IF(R8="Yes",VLOOKUP(R$1,_VRF!L:Z,4,FALSE),""))</f>
        <v/>
      </c>
      <c r="AZ8" s="114" t="str">
        <f>_xlfn.CONCAT(VLOOKUP(M8,_VRF!$A$39:$G$48,2,FALSE),AQ8,AR8,)</f>
        <v xml:space="preserve"> </v>
      </c>
    </row>
    <row r="9" spans="1:52" x14ac:dyDescent="0.4">
      <c r="A9" s="429" t="str">
        <f t="shared" si="3"/>
        <v>INVALID</v>
      </c>
      <c r="B9" s="430" t="str">
        <f t="shared" si="4"/>
        <v>VRF 8</v>
      </c>
      <c r="C9" s="431">
        <f t="shared" si="5"/>
        <v>0</v>
      </c>
      <c r="D9" s="430">
        <f t="shared" si="6"/>
        <v>0</v>
      </c>
      <c r="E9" s="430"/>
      <c r="F9" s="430">
        <f t="shared" si="0"/>
        <v>20</v>
      </c>
      <c r="G9" s="440"/>
      <c r="H9" s="441"/>
      <c r="I9" s="440" t="e">
        <f>F9*VLOOKUP("7030 2 pair TCAS7302P",'Part List'!$A:$G,3,FALSE)*AE9
+IF(M9="Controller",VLOOKUP(M9,_VRF!L:N,2,FALSE)
+VLOOKUP($N$1,_VRF!L:N,2,FALSE)*AE9
+VLOOKUP($O$1,_VRF!L:N,2,FALSE)*AF9
+VLOOKUP($P$1,_VRF!L:N,2,FALSE)*AG9
+VLOOKUP($Q$1,_VRF!L:N,2,FALSE)*AH9
+VLOOKUP($R$1,_VRF!L:N,2,FALSE)*AI9
+(VLOOKUP("Network cable",'Part List'!$A:$G,3,FALSE)+VLOOKUP("2.5mm Twin and Earth",'Part List'!$A:$G,3,FALSE))*F9,
IF(M9="PAC",VLOOKUP(M9,_VRF!L:N,2,FALSE)
+VLOOKUP($N$1,_VRF!L:N,2,FALSE)*AE9
+VLOOKUP($O$1,_VRF!L:N,2,FALSE)*AF9
+VLOOKUP($P$1,_VRF!L:N,2,FALSE)*AG9
+VLOOKUP($Q$1,_VRF!L:N,2,FALSE)*AH9
+VLOOKUP($R$1,_VRF!L:N,2,FALSE)*AI9
+VLOOKUP("6mm Cable 3 core and Earth",'Part List'!$A:$G,3,FALSE)*F9,
IF(M9="Branch Box",VLOOKUP(M9,_VRF!L:N,2,FALSE)
+VLOOKUP($N$1,_VRF!L:N,2,FALSE)*AE9
+VLOOKUP($O$1,_VRF!L:N,2,FALSE)*AF9
+VLOOKUP($P$1,_VRF!L:N,2,FALSE)*AG9
+VLOOKUP($Q$1,_VRF!L:N,2,FALSE)*AH9
+VLOOKUP($R$1,_VRF!L:N,2,FALSE)*AI9
+(VLOOKUP("2.5mm Twin and Earth",'Part List'!$A:$G,3,FALSE)+VLOOKUP("7030 2 pair TCAS7302P",'Part List'!$A:$G,3,FALSE))*F9,
+IF(NOT(M9="Split"),IF(OR(M9="Outdoor",M9="Indoor"),0,VLOOKUP(AD9,_VRF!L:N,2,FALSE)+VLOOKUP(M9,_VRF!L:N,2,FALSE))
+VLOOKUP($N$1,_VRF!L:N,2,FALSE)*AE9
+VLOOKUP($O$1,_VRF!L:N,2,FALSE)*AF9
+VLOOKUP($P$1,_VRF!L:N,2,FALSE)*AG9
+VLOOKUP($Q$1,_VRF!L:N,2,FALSE)*AH9
+VLOOKUP($R$1,_VRF!L:N,2,FALSE)*AI9
+VLOOKUP(IF(M9="Outdoor","4mm Cable 3 core and Earth","2.5mm Twin and Earth"),'Part List'!$A:$G,3,FALSE)*F9
+IF(M9="Indoor",VLOOKUP("7030 2 pair TCAS7302P",'Part List'!$A:$G,3,FALSE),0)*F9
+VLOOKUP(IF(M9="Outdoor",IF(L9="Local","Outdoor_Local","Outdoor_MSSB"),0),_VRF!L:N,2,FALSE)
+IF(M9="Indoor",VLOOKUP(M9,_VRF!L:N,2,FALSE),0),
VLOOKUP(M9,_VRF!L:N,2,FALSE)
+(VLOOKUP("7030 2 pair TCAS7302P",'Part List'!$A:$G,3,FALSE)+2*VLOOKUP("2.5mm Twin and Earth",'Part List'!$A:$G,3,FALSE))*F9
+VLOOKUP($N$1,_VRF!L:N,2,FALSE)*AE9
+VLOOKUP($O$1,_VRF!L:N,2,FALSE)*AF9
+VLOOKUP($P$1,_VRF!L:N,2,FALSE)*AG9
+VLOOKUP($Q$1,_VRF!L:N,2,FALSE)*AH9
+VLOOKUP($R$1,_VRF!L:N,2,FALSE)*AI9))))</f>
        <v>#N/A</v>
      </c>
      <c r="J9" s="441" t="e">
        <f>F9*VLOOKUP("7030 2 pair TCAS7302P",'Part List'!$A:$G,5,FALSE)*AE9+
+
IF(M9="Controller",VLOOKUP(M9,_VRF!L:N,3,FALSE)
+VLOOKUP($N$1,_VRF!L:N,3,FALSE)*AE9
+VLOOKUP($O$1,_VRF!L:N,3,FALSE)*AF9
+VLOOKUP($P$1,_VRF!L:N,3,FALSE)*AG9
+VLOOKUP($Q$1,_VRF!L:N,3,FALSE)*AH9
+VLOOKUP($R$1,_VRF!L:N,3,FALSE)*AI9
+(VLOOKUP("Network cable",'Part List'!$A:$G,5,FALSE)+VLOOKUP("2.5mm Twin and Earth",'Part List'!$A:$G,5,FALSE))*F9,
IF(M9="PAC",VLOOKUP(M9,_VRF!L:N,3,FALSE)
+VLOOKUP($N$1,_VRF!L:N,3,FALSE)*AE9
+VLOOKUP($O$1,_VRF!L:N,3,FALSE)*AF9
+VLOOKUP($P$1,_VRF!L:N,3,FALSE)*AG9
+VLOOKUP($Q$1,_VRF!L:N,3,FALSE)*AH9
+VLOOKUP($R$1,_VRF!L:N,3,FALSE)*AI9
+VLOOKUP("6mm Cable 3 core and Earth",'Part List'!$A:$G,5,FALSE)*F9,
IF(M9="Branch Box",VLOOKUP(M9,_VRF!L:N,3,FALSE)
+VLOOKUP($N$1,_VRF!L:N,3,FALSE)*AE9
+VLOOKUP($O$1,_VRF!L:N,3,FALSE)*AF9
+VLOOKUP($P$1,_VRF!L:N,3,FALSE)*AG9
+VLOOKUP($Q$1,_VRF!L:N,3,FALSE)*AH9
+VLOOKUP($R$1,_VRF!L:N,3,FALSE)*AI9
+(VLOOKUP("2.5mm Twin and Earth",'Part List'!$A:$G,5,FALSE)+VLOOKUP("7030 2 pair TCAS7302P",'Part List'!$A:$G,5,FALSE))*F9,
+IF(NOT(M9="Split"),IF(OR(M9="Outdoor",M9="Indoor"),0,VLOOKUP(AD9,_VRF!L:N,3,FALSE)+VLOOKUP(M9,_VRF!L:N,3,FALSE))
+VLOOKUP($N$1,_VRF!L:N,3,FALSE)*AE9
+VLOOKUP($O$1,_VRF!L:N,3,FALSE)*AF9
+VLOOKUP($P$1,_VRF!L:N,3,FALSE)*AG9
+VLOOKUP($Q$1,_VRF!L:N,3,FALSE)*AH9
+VLOOKUP($R$1,_VRF!L:N,3,FALSE)*AI9
+VLOOKUP(IF(M9="Outdoor","4mm Cable 3 core and Earth","2.5mm Twin and Earth"),'Part List'!$A:$G,5,FALSE)*F9
+IF(M9="Indoor",VLOOKUP("7030 2 pair TCAS7302P",'Part List'!$A:$G,5,FALSE),0)*F9
+VLOOKUP(IF(M9="Outdoor",IF(L9="Local","Outdoor_Local","Outdoor_MSSB"),0),_VRF!L:N,3,FALSE)
+IF(M9="Indoor",VLOOKUP(M9,_VRF!L:N,3,FALSE),0),
VLOOKUP(M9,_VRF!L:N,3,FALSE)
+(VLOOKUP("7030 2 pair TCAS7302P",'Part List'!$A:$G,5,FALSE)+2*VLOOKUP("2.5mm Twin and Earth",'Part List'!$A:$G,5,FALSE))*F9
+VLOOKUP($N$1,_VRF!L:N,3,FALSE)*AE9
+VLOOKUP($O$1,_VRF!L:N,3,FALSE)*AF9
+VLOOKUP($P$1,_VRF!L:N,3,FALSE)*AG9
+VLOOKUP($Q$1,_VRF!L:N,3,FALSE)*AH9
+VLOOKUP($R$1,_VRF!L:N,3,FALSE)*AI9))))</f>
        <v>#N/A</v>
      </c>
      <c r="K9" s="430" t="e">
        <f>_xlfn.CONCAT(VLOOKUP(M9,_VRF!$A$39:$C$44,3,FALSE), "-",
IF(N9="Yes", 1, 0)*X9, IF(O9="Yes", 1, 0)*Y9, IF(P9="Yes", 1, 0)*Z9, AA9*IF(Q9="Yes", 1, 0),IF(R9="Yes", 1, 0)*AB9,IF(W9 = 1, IF(L9="Local", "-L", "-M"),""))</f>
        <v>#N/A</v>
      </c>
      <c r="L9" s="432" t="s">
        <v>678</v>
      </c>
      <c r="M9" s="432"/>
      <c r="N9" s="440"/>
      <c r="O9" s="440"/>
      <c r="P9" s="440"/>
      <c r="Q9" s="440"/>
      <c r="R9" s="440"/>
      <c r="S9" s="114" t="str">
        <f t="shared" si="7"/>
        <v/>
      </c>
      <c r="W9" s="114" t="e">
        <f>VLOOKUP($M9,_VRF!$A$26:$G$31, 2, FALSE)</f>
        <v>#N/A</v>
      </c>
      <c r="X9" s="114" t="e">
        <f>VLOOKUP($M9,_VRF!$A$26:$G$31, 3, FALSE)</f>
        <v>#N/A</v>
      </c>
      <c r="Y9" s="114" t="e">
        <f>VLOOKUP($M9,_VRF!$A$26:$G$31, 4, FALSE)</f>
        <v>#N/A</v>
      </c>
      <c r="Z9" s="114" t="e">
        <f>VLOOKUP($M9,_VRF!$A$26:$G$31, 5, FALSE)</f>
        <v>#N/A</v>
      </c>
      <c r="AA9" s="114" t="e">
        <f>VLOOKUP($M9,_VRF!$A$26:$G$31, 6, FALSE)</f>
        <v>#N/A</v>
      </c>
      <c r="AB9" s="114" t="e">
        <f>VLOOKUP($M9,_VRF!$A$26:$G$31, 7, FALSE)</f>
        <v>#N/A</v>
      </c>
      <c r="AD9" s="114" t="e">
        <f t="shared" si="8"/>
        <v>#N/A</v>
      </c>
      <c r="AE9" s="114">
        <f t="shared" si="9"/>
        <v>0</v>
      </c>
      <c r="AF9" s="114">
        <f t="shared" si="1"/>
        <v>0</v>
      </c>
      <c r="AG9" s="114">
        <f t="shared" si="1"/>
        <v>0</v>
      </c>
      <c r="AH9" s="114">
        <f t="shared" si="1"/>
        <v>0</v>
      </c>
      <c r="AI9" s="114">
        <f t="shared" si="1"/>
        <v>0</v>
      </c>
      <c r="AM9" s="432" t="str">
        <f t="shared" si="10"/>
        <v/>
      </c>
      <c r="AN9" s="114">
        <f t="shared" si="2"/>
        <v>0</v>
      </c>
      <c r="AO9" s="114" t="str">
        <f>_xlfn.CONCAT(E9," (",VLOOKUP(E9,[1]Backend!C:D,2,FALSE),")")</f>
        <v xml:space="preserve"> (Zero)</v>
      </c>
      <c r="AP9" s="114" t="str">
        <f>_xlfn.CONCAT(AN9," - Electrical power supply and controls to ",AO9," ",VLOOKUP(M9,_VRF!$A$39:$G$48,2,FALSE))</f>
        <v xml:space="preserve">0 - Electrical power supply and controls to  (Zero) </v>
      </c>
      <c r="AQ9" s="114" t="str">
        <f t="shared" si="11"/>
        <v xml:space="preserve"> </v>
      </c>
      <c r="AR9" s="114" t="str">
        <f t="shared" si="12"/>
        <v/>
      </c>
      <c r="AS9" s="114" t="e">
        <f t="shared" si="13"/>
        <v>#N/A</v>
      </c>
      <c r="AT9" s="114" t="e">
        <f t="shared" si="14"/>
        <v>#N/A</v>
      </c>
      <c r="AU9" s="114" t="str">
        <f t="shared" si="15"/>
        <v>0.1 - This includes supply and install of power and controls.</v>
      </c>
      <c r="AV9" s="114" t="str">
        <f>_xlfn.CONCAT(AN9,".2 - Power for system includes: ",VLOOKUP(L9,_VRF!L:O,4,FALSE))</f>
        <v xml:space="preserve">0.2 - Power for system includes: CB and cabling to unit from MSSB, and local isolator, </v>
      </c>
      <c r="AW9" s="114" t="e">
        <f t="shared" si="16"/>
        <v>#N/A</v>
      </c>
      <c r="AX9" s="114" t="str">
        <f>_xlfn.CONCAT(
IF(M9="Yes",VLOOKUP(M$1,_VRF!L:Z,4,FALSE),""),
IF(N9="Yes",VLOOKUP(N$1,_VRF!L:Z,4,FALSE),""),
IF(O9="Yes",VLOOKUP(O$1,_VRF!L:Z,4,FALSE),""),
IF(P9="Yes",VLOOKUP(P$1,_VRF!L:Z,4,FALSE),""),
IF(Q9="Yes",VLOOKUP(Q$1,_VRF!L:Z,4,FALSE),""),
IF(R9="Yes",VLOOKUP(R$1,_VRF!L:Z,4,FALSE),""))</f>
        <v/>
      </c>
      <c r="AZ9" s="114" t="str">
        <f>_xlfn.CONCAT(VLOOKUP(M9,_VRF!$A$39:$G$48,2,FALSE),AQ9,AR9,)</f>
        <v xml:space="preserve"> </v>
      </c>
    </row>
    <row r="10" spans="1:52" x14ac:dyDescent="0.4">
      <c r="A10" s="429" t="str">
        <f t="shared" si="3"/>
        <v>INVALID</v>
      </c>
      <c r="B10" s="430" t="str">
        <f t="shared" si="4"/>
        <v>VRF 9</v>
      </c>
      <c r="C10" s="431">
        <f t="shared" si="5"/>
        <v>0</v>
      </c>
      <c r="D10" s="430">
        <f t="shared" si="6"/>
        <v>0</v>
      </c>
      <c r="E10" s="430"/>
      <c r="F10" s="430">
        <f t="shared" si="0"/>
        <v>20</v>
      </c>
      <c r="G10" s="440"/>
      <c r="H10" s="441"/>
      <c r="I10" s="440" t="e">
        <f>F10*VLOOKUP("7030 2 pair TCAS7302P",'Part List'!$A:$G,3,FALSE)*AE10
+IF(M10="Controller",VLOOKUP(M10,_VRF!L:N,2,FALSE)
+VLOOKUP($N$1,_VRF!L:N,2,FALSE)*AE10
+VLOOKUP($O$1,_VRF!L:N,2,FALSE)*AF10
+VLOOKUP($P$1,_VRF!L:N,2,FALSE)*AG10
+VLOOKUP($Q$1,_VRF!L:N,2,FALSE)*AH10
+VLOOKUP($R$1,_VRF!L:N,2,FALSE)*AI10
+(VLOOKUP("Network cable",'Part List'!$A:$G,3,FALSE)+VLOOKUP("2.5mm Twin and Earth",'Part List'!$A:$G,3,FALSE))*F10,
IF(M10="PAC",VLOOKUP(M10,_VRF!L:N,2,FALSE)
+VLOOKUP($N$1,_VRF!L:N,2,FALSE)*AE10
+VLOOKUP($O$1,_VRF!L:N,2,FALSE)*AF10
+VLOOKUP($P$1,_VRF!L:N,2,FALSE)*AG10
+VLOOKUP($Q$1,_VRF!L:N,2,FALSE)*AH10
+VLOOKUP($R$1,_VRF!L:N,2,FALSE)*AI10
+VLOOKUP("6mm Cable 3 core and Earth",'Part List'!$A:$G,3,FALSE)*F10,
IF(M10="Branch Box",VLOOKUP(M10,_VRF!L:N,2,FALSE)
+VLOOKUP($N$1,_VRF!L:N,2,FALSE)*AE10
+VLOOKUP($O$1,_VRF!L:N,2,FALSE)*AF10
+VLOOKUP($P$1,_VRF!L:N,2,FALSE)*AG10
+VLOOKUP($Q$1,_VRF!L:N,2,FALSE)*AH10
+VLOOKUP($R$1,_VRF!L:N,2,FALSE)*AI10
+(VLOOKUP("2.5mm Twin and Earth",'Part List'!$A:$G,3,FALSE)+VLOOKUP("7030 2 pair TCAS7302P",'Part List'!$A:$G,3,FALSE))*F10,
+IF(NOT(M10="Split"),IF(OR(M10="Outdoor",M10="Indoor"),0,VLOOKUP(AD10,_VRF!L:N,2,FALSE)+VLOOKUP(M10,_VRF!L:N,2,FALSE))
+VLOOKUP($N$1,_VRF!L:N,2,FALSE)*AE10
+VLOOKUP($O$1,_VRF!L:N,2,FALSE)*AF10
+VLOOKUP($P$1,_VRF!L:N,2,FALSE)*AG10
+VLOOKUP($Q$1,_VRF!L:N,2,FALSE)*AH10
+VLOOKUP($R$1,_VRF!L:N,2,FALSE)*AI10
+VLOOKUP(IF(M10="Outdoor","4mm Cable 3 core and Earth","2.5mm Twin and Earth"),'Part List'!$A:$G,3,FALSE)*F10
+IF(M10="Indoor",VLOOKUP("7030 2 pair TCAS7302P",'Part List'!$A:$G,3,FALSE),0)*F10
+VLOOKUP(IF(M10="Outdoor",IF(L10="Local","Outdoor_Local","Outdoor_MSSB"),0),_VRF!L:N,2,FALSE)
+IF(M10="Indoor",VLOOKUP(M10,_VRF!L:N,2,FALSE),0),
VLOOKUP(M10,_VRF!L:N,2,FALSE)
+(VLOOKUP("7030 2 pair TCAS7302P",'Part List'!$A:$G,3,FALSE)+2*VLOOKUP("2.5mm Twin and Earth",'Part List'!$A:$G,3,FALSE))*F10
+VLOOKUP($N$1,_VRF!L:N,2,FALSE)*AE10
+VLOOKUP($O$1,_VRF!L:N,2,FALSE)*AF10
+VLOOKUP($P$1,_VRF!L:N,2,FALSE)*AG10
+VLOOKUP($Q$1,_VRF!L:N,2,FALSE)*AH10
+VLOOKUP($R$1,_VRF!L:N,2,FALSE)*AI10))))</f>
        <v>#N/A</v>
      </c>
      <c r="J10" s="441" t="e">
        <f>F10*VLOOKUP("7030 2 pair TCAS7302P",'Part List'!$A:$G,5,FALSE)*AE10+
+
IF(M10="Controller",VLOOKUP(M10,_VRF!L:N,3,FALSE)
+VLOOKUP($N$1,_VRF!L:N,3,FALSE)*AE10
+VLOOKUP($O$1,_VRF!L:N,3,FALSE)*AF10
+VLOOKUP($P$1,_VRF!L:N,3,FALSE)*AG10
+VLOOKUP($Q$1,_VRF!L:N,3,FALSE)*AH10
+VLOOKUP($R$1,_VRF!L:N,3,FALSE)*AI10
+(VLOOKUP("Network cable",'Part List'!$A:$G,5,FALSE)+VLOOKUP("2.5mm Twin and Earth",'Part List'!$A:$G,5,FALSE))*F10,
IF(M10="PAC",VLOOKUP(M10,_VRF!L:N,3,FALSE)
+VLOOKUP($N$1,_VRF!L:N,3,FALSE)*AE10
+VLOOKUP($O$1,_VRF!L:N,3,FALSE)*AF10
+VLOOKUP($P$1,_VRF!L:N,3,FALSE)*AG10
+VLOOKUP($Q$1,_VRF!L:N,3,FALSE)*AH10
+VLOOKUP($R$1,_VRF!L:N,3,FALSE)*AI10
+VLOOKUP("6mm Cable 3 core and Earth",'Part List'!$A:$G,5,FALSE)*F10,
IF(M10="Branch Box",VLOOKUP(M10,_VRF!L:N,3,FALSE)
+VLOOKUP($N$1,_VRF!L:N,3,FALSE)*AE10
+VLOOKUP($O$1,_VRF!L:N,3,FALSE)*AF10
+VLOOKUP($P$1,_VRF!L:N,3,FALSE)*AG10
+VLOOKUP($Q$1,_VRF!L:N,3,FALSE)*AH10
+VLOOKUP($R$1,_VRF!L:N,3,FALSE)*AI10
+(VLOOKUP("2.5mm Twin and Earth",'Part List'!$A:$G,5,FALSE)+VLOOKUP("7030 2 pair TCAS7302P",'Part List'!$A:$G,5,FALSE))*F10,
+IF(NOT(M10="Split"),IF(OR(M10="Outdoor",M10="Indoor"),0,VLOOKUP(AD10,_VRF!L:N,3,FALSE)+VLOOKUP(M10,_VRF!L:N,3,FALSE))
+VLOOKUP($N$1,_VRF!L:N,3,FALSE)*AE10
+VLOOKUP($O$1,_VRF!L:N,3,FALSE)*AF10
+VLOOKUP($P$1,_VRF!L:N,3,FALSE)*AG10
+VLOOKUP($Q$1,_VRF!L:N,3,FALSE)*AH10
+VLOOKUP($R$1,_VRF!L:N,3,FALSE)*AI10
+VLOOKUP(IF(M10="Outdoor","4mm Cable 3 core and Earth","2.5mm Twin and Earth"),'Part List'!$A:$G,5,FALSE)*F10
+IF(M10="Indoor",VLOOKUP("7030 2 pair TCAS7302P",'Part List'!$A:$G,5,FALSE),0)*F10
+VLOOKUP(IF(M10="Outdoor",IF(L10="Local","Outdoor_Local","Outdoor_MSSB"),0),_VRF!L:N,3,FALSE)
+IF(M10="Indoor",VLOOKUP(M10,_VRF!L:N,3,FALSE),0),
VLOOKUP(M10,_VRF!L:N,3,FALSE)
+(VLOOKUP("7030 2 pair TCAS7302P",'Part List'!$A:$G,5,FALSE)+2*VLOOKUP("2.5mm Twin and Earth",'Part List'!$A:$G,5,FALSE))*F10
+VLOOKUP($N$1,_VRF!L:N,3,FALSE)*AE10
+VLOOKUP($O$1,_VRF!L:N,3,FALSE)*AF10
+VLOOKUP($P$1,_VRF!L:N,3,FALSE)*AG10
+VLOOKUP($Q$1,_VRF!L:N,3,FALSE)*AH10
+VLOOKUP($R$1,_VRF!L:N,3,FALSE)*AI10))))</f>
        <v>#N/A</v>
      </c>
      <c r="K10" s="430" t="e">
        <f>_xlfn.CONCAT(VLOOKUP(M10,_VRF!$A$39:$C$44,3,FALSE), "-",
IF(N10="Yes", 1, 0)*X10, IF(O10="Yes", 1, 0)*Y10, IF(P10="Yes", 1, 0)*Z10, AA10*IF(Q10="Yes", 1, 0),IF(R10="Yes", 1, 0)*AB10,IF(W10 = 1, IF(L10="Local", "-L", "-M"),""))</f>
        <v>#N/A</v>
      </c>
      <c r="L10" s="432" t="s">
        <v>678</v>
      </c>
      <c r="M10" s="432"/>
      <c r="N10" s="440"/>
      <c r="O10" s="440"/>
      <c r="P10" s="440"/>
      <c r="Q10" s="440"/>
      <c r="R10" s="440"/>
      <c r="S10" s="114" t="str">
        <f t="shared" si="7"/>
        <v/>
      </c>
      <c r="W10" s="114" t="e">
        <f>VLOOKUP($M10,_VRF!$A$26:$G$31, 2, FALSE)</f>
        <v>#N/A</v>
      </c>
      <c r="X10" s="114" t="e">
        <f>VLOOKUP($M10,_VRF!$A$26:$G$31, 3, FALSE)</f>
        <v>#N/A</v>
      </c>
      <c r="Y10" s="114" t="e">
        <f>VLOOKUP($M10,_VRF!$A$26:$G$31, 4, FALSE)</f>
        <v>#N/A</v>
      </c>
      <c r="Z10" s="114" t="e">
        <f>VLOOKUP($M10,_VRF!$A$26:$G$31, 5, FALSE)</f>
        <v>#N/A</v>
      </c>
      <c r="AA10" s="114" t="e">
        <f>VLOOKUP($M10,_VRF!$A$26:$G$31, 6, FALSE)</f>
        <v>#N/A</v>
      </c>
      <c r="AB10" s="114" t="e">
        <f>VLOOKUP($M10,_VRF!$A$26:$G$31, 7, FALSE)</f>
        <v>#N/A</v>
      </c>
      <c r="AD10" s="114" t="e">
        <f t="shared" si="8"/>
        <v>#N/A</v>
      </c>
      <c r="AE10" s="114">
        <f t="shared" si="9"/>
        <v>0</v>
      </c>
      <c r="AF10" s="114">
        <f t="shared" si="1"/>
        <v>0</v>
      </c>
      <c r="AG10" s="114">
        <f t="shared" si="1"/>
        <v>0</v>
      </c>
      <c r="AH10" s="114">
        <f t="shared" si="1"/>
        <v>0</v>
      </c>
      <c r="AI10" s="114">
        <f t="shared" si="1"/>
        <v>0</v>
      </c>
      <c r="AM10" s="432" t="str">
        <f t="shared" si="10"/>
        <v/>
      </c>
      <c r="AN10" s="114">
        <f t="shared" si="2"/>
        <v>0</v>
      </c>
      <c r="AO10" s="114" t="str">
        <f>_xlfn.CONCAT(E10," (",VLOOKUP(E10,[1]Backend!C:D,2,FALSE),")")</f>
        <v xml:space="preserve"> (Zero)</v>
      </c>
      <c r="AP10" s="114" t="str">
        <f>_xlfn.CONCAT(AN10," - Electrical power supply and controls to ",AO10," ",VLOOKUP(M10,_VRF!$A$39:$G$48,2,FALSE))</f>
        <v xml:space="preserve">0 - Electrical power supply and controls to  (Zero) </v>
      </c>
      <c r="AQ10" s="114" t="str">
        <f t="shared" si="11"/>
        <v xml:space="preserve"> </v>
      </c>
      <c r="AR10" s="114" t="str">
        <f t="shared" si="12"/>
        <v/>
      </c>
      <c r="AS10" s="114" t="e">
        <f t="shared" si="13"/>
        <v>#N/A</v>
      </c>
      <c r="AT10" s="114" t="e">
        <f t="shared" si="14"/>
        <v>#N/A</v>
      </c>
      <c r="AU10" s="114" t="str">
        <f t="shared" si="15"/>
        <v>0.1 - This includes supply and install of power and controls.</v>
      </c>
      <c r="AV10" s="114" t="str">
        <f>_xlfn.CONCAT(AN10,".2 - Power for system includes: ",VLOOKUP(L10,_VRF!L:O,4,FALSE))</f>
        <v xml:space="preserve">0.2 - Power for system includes: CB and cabling to unit from MSSB, and local isolator, </v>
      </c>
      <c r="AW10" s="114" t="e">
        <f t="shared" si="16"/>
        <v>#N/A</v>
      </c>
      <c r="AX10" s="114" t="str">
        <f>_xlfn.CONCAT(
IF(M10="Yes",VLOOKUP(M$1,_VRF!L:Z,4,FALSE),""),
IF(N10="Yes",VLOOKUP(N$1,_VRF!L:Z,4,FALSE),""),
IF(O10="Yes",VLOOKUP(O$1,_VRF!L:Z,4,FALSE),""),
IF(P10="Yes",VLOOKUP(P$1,_VRF!L:Z,4,FALSE),""),
IF(Q10="Yes",VLOOKUP(Q$1,_VRF!L:Z,4,FALSE),""),
IF(R10="Yes",VLOOKUP(R$1,_VRF!L:Z,4,FALSE),""))</f>
        <v/>
      </c>
      <c r="AZ10" s="114" t="str">
        <f>_xlfn.CONCAT(VLOOKUP(M10,_VRF!$A$39:$G$48,2,FALSE),AQ10,AR10,)</f>
        <v xml:space="preserve"> </v>
      </c>
    </row>
    <row r="11" spans="1:52" x14ac:dyDescent="0.4">
      <c r="A11" s="429" t="str">
        <f t="shared" si="3"/>
        <v>INVALID</v>
      </c>
      <c r="B11" s="430" t="str">
        <f t="shared" si="4"/>
        <v>VRF 10</v>
      </c>
      <c r="C11" s="431">
        <f t="shared" si="5"/>
        <v>0</v>
      </c>
      <c r="D11" s="430">
        <f t="shared" si="6"/>
        <v>0</v>
      </c>
      <c r="E11" s="430"/>
      <c r="F11" s="430">
        <f t="shared" si="0"/>
        <v>20</v>
      </c>
      <c r="G11" s="440"/>
      <c r="H11" s="441"/>
      <c r="I11" s="440" t="e">
        <f>F11*VLOOKUP("7030 2 pair TCAS7302P",'Part List'!$A:$G,3,FALSE)*AE11
+IF(M11="Controller",VLOOKUP(M11,_VRF!L:N,2,FALSE)
+VLOOKUP($N$1,_VRF!L:N,2,FALSE)*AE11
+VLOOKUP($O$1,_VRF!L:N,2,FALSE)*AF11
+VLOOKUP($P$1,_VRF!L:N,2,FALSE)*AG11
+VLOOKUP($Q$1,_VRF!L:N,2,FALSE)*AH11
+VLOOKUP($R$1,_VRF!L:N,2,FALSE)*AI11
+(VLOOKUP("Network cable",'Part List'!$A:$G,3,FALSE)+VLOOKUP("2.5mm Twin and Earth",'Part List'!$A:$G,3,FALSE))*F11,
IF(M11="PAC",VLOOKUP(M11,_VRF!L:N,2,FALSE)
+VLOOKUP($N$1,_VRF!L:N,2,FALSE)*AE11
+VLOOKUP($O$1,_VRF!L:N,2,FALSE)*AF11
+VLOOKUP($P$1,_VRF!L:N,2,FALSE)*AG11
+VLOOKUP($Q$1,_VRF!L:N,2,FALSE)*AH11
+VLOOKUP($R$1,_VRF!L:N,2,FALSE)*AI11
+VLOOKUP("6mm Cable 3 core and Earth",'Part List'!$A:$G,3,FALSE)*F11,
IF(M11="Branch Box",VLOOKUP(M11,_VRF!L:N,2,FALSE)
+VLOOKUP($N$1,_VRF!L:N,2,FALSE)*AE11
+VLOOKUP($O$1,_VRF!L:N,2,FALSE)*AF11
+VLOOKUP($P$1,_VRF!L:N,2,FALSE)*AG11
+VLOOKUP($Q$1,_VRF!L:N,2,FALSE)*AH11
+VLOOKUP($R$1,_VRF!L:N,2,FALSE)*AI11
+(VLOOKUP("2.5mm Twin and Earth",'Part List'!$A:$G,3,FALSE)+VLOOKUP("7030 2 pair TCAS7302P",'Part List'!$A:$G,3,FALSE))*F11,
+IF(NOT(M11="Split"),IF(OR(M11="Outdoor",M11="Indoor"),0,VLOOKUP(AD11,_VRF!L:N,2,FALSE)+VLOOKUP(M11,_VRF!L:N,2,FALSE))
+VLOOKUP($N$1,_VRF!L:N,2,FALSE)*AE11
+VLOOKUP($O$1,_VRF!L:N,2,FALSE)*AF11
+VLOOKUP($P$1,_VRF!L:N,2,FALSE)*AG11
+VLOOKUP($Q$1,_VRF!L:N,2,FALSE)*AH11
+VLOOKUP($R$1,_VRF!L:N,2,FALSE)*AI11
+VLOOKUP(IF(M11="Outdoor","4mm Cable 3 core and Earth","2.5mm Twin and Earth"),'Part List'!$A:$G,3,FALSE)*F11
+IF(M11="Indoor",VLOOKUP("7030 2 pair TCAS7302P",'Part List'!$A:$G,3,FALSE),0)*F11
+VLOOKUP(IF(M11="Outdoor",IF(L11="Local","Outdoor_Local","Outdoor_MSSB"),0),_VRF!L:N,2,FALSE)
+IF(M11="Indoor",VLOOKUP(M11,_VRF!L:N,2,FALSE),0),
VLOOKUP(M11,_VRF!L:N,2,FALSE)
+(VLOOKUP("7030 2 pair TCAS7302P",'Part List'!$A:$G,3,FALSE)+2*VLOOKUP("2.5mm Twin and Earth",'Part List'!$A:$G,3,FALSE))*F11
+VLOOKUP($N$1,_VRF!L:N,2,FALSE)*AE11
+VLOOKUP($O$1,_VRF!L:N,2,FALSE)*AF11
+VLOOKUP($P$1,_VRF!L:N,2,FALSE)*AG11
+VLOOKUP($Q$1,_VRF!L:N,2,FALSE)*AH11
+VLOOKUP($R$1,_VRF!L:N,2,FALSE)*AI11))))</f>
        <v>#N/A</v>
      </c>
      <c r="J11" s="441" t="e">
        <f>F11*VLOOKUP("7030 2 pair TCAS7302P",'Part List'!$A:$G,5,FALSE)*AE11+
+
IF(M11="Controller",VLOOKUP(M11,_VRF!L:N,3,FALSE)
+VLOOKUP($N$1,_VRF!L:N,3,FALSE)*AE11
+VLOOKUP($O$1,_VRF!L:N,3,FALSE)*AF11
+VLOOKUP($P$1,_VRF!L:N,3,FALSE)*AG11
+VLOOKUP($Q$1,_VRF!L:N,3,FALSE)*AH11
+VLOOKUP($R$1,_VRF!L:N,3,FALSE)*AI11
+(VLOOKUP("Network cable",'Part List'!$A:$G,5,FALSE)+VLOOKUP("2.5mm Twin and Earth",'Part List'!$A:$G,5,FALSE))*F11,
IF(M11="PAC",VLOOKUP(M11,_VRF!L:N,3,FALSE)
+VLOOKUP($N$1,_VRF!L:N,3,FALSE)*AE11
+VLOOKUP($O$1,_VRF!L:N,3,FALSE)*AF11
+VLOOKUP($P$1,_VRF!L:N,3,FALSE)*AG11
+VLOOKUP($Q$1,_VRF!L:N,3,FALSE)*AH11
+VLOOKUP($R$1,_VRF!L:N,3,FALSE)*AI11
+VLOOKUP("6mm Cable 3 core and Earth",'Part List'!$A:$G,5,FALSE)*F11,
IF(M11="Branch Box",VLOOKUP(M11,_VRF!L:N,3,FALSE)
+VLOOKUP($N$1,_VRF!L:N,3,FALSE)*AE11
+VLOOKUP($O$1,_VRF!L:N,3,FALSE)*AF11
+VLOOKUP($P$1,_VRF!L:N,3,FALSE)*AG11
+VLOOKUP($Q$1,_VRF!L:N,3,FALSE)*AH11
+VLOOKUP($R$1,_VRF!L:N,3,FALSE)*AI11
+(VLOOKUP("2.5mm Twin and Earth",'Part List'!$A:$G,5,FALSE)+VLOOKUP("7030 2 pair TCAS7302P",'Part List'!$A:$G,5,FALSE))*F11,
+IF(NOT(M11="Split"),IF(OR(M11="Outdoor",M11="Indoor"),0,VLOOKUP(AD11,_VRF!L:N,3,FALSE)+VLOOKUP(M11,_VRF!L:N,3,FALSE))
+VLOOKUP($N$1,_VRF!L:N,3,FALSE)*AE11
+VLOOKUP($O$1,_VRF!L:N,3,FALSE)*AF11
+VLOOKUP($P$1,_VRF!L:N,3,FALSE)*AG11
+VLOOKUP($Q$1,_VRF!L:N,3,FALSE)*AH11
+VLOOKUP($R$1,_VRF!L:N,3,FALSE)*AI11
+VLOOKUP(IF(M11="Outdoor","4mm Cable 3 core and Earth","2.5mm Twin and Earth"),'Part List'!$A:$G,5,FALSE)*F11
+IF(M11="Indoor",VLOOKUP("7030 2 pair TCAS7302P",'Part List'!$A:$G,5,FALSE),0)*F11
+VLOOKUP(IF(M11="Outdoor",IF(L11="Local","Outdoor_Local","Outdoor_MSSB"),0),_VRF!L:N,3,FALSE)
+IF(M11="Indoor",VLOOKUP(M11,_VRF!L:N,3,FALSE),0),
VLOOKUP(M11,_VRF!L:N,3,FALSE)
+(VLOOKUP("7030 2 pair TCAS7302P",'Part List'!$A:$G,5,FALSE)+2*VLOOKUP("2.5mm Twin and Earth",'Part List'!$A:$G,5,FALSE))*F11
+VLOOKUP($N$1,_VRF!L:N,3,FALSE)*AE11
+VLOOKUP($O$1,_VRF!L:N,3,FALSE)*AF11
+VLOOKUP($P$1,_VRF!L:N,3,FALSE)*AG11
+VLOOKUP($Q$1,_VRF!L:N,3,FALSE)*AH11
+VLOOKUP($R$1,_VRF!L:N,3,FALSE)*AI11))))</f>
        <v>#N/A</v>
      </c>
      <c r="K11" s="430" t="e">
        <f>_xlfn.CONCAT(VLOOKUP(M11,_VRF!$A$39:$C$44,3,FALSE), "-",
IF(N11="Yes", 1, 0)*X11, IF(O11="Yes", 1, 0)*Y11, IF(P11="Yes", 1, 0)*Z11, AA11*IF(Q11="Yes", 1, 0),IF(R11="Yes", 1, 0)*AB11,IF(W11 = 1, IF(L11="Local", "-L", "-M"),""))</f>
        <v>#N/A</v>
      </c>
      <c r="L11" s="432" t="s">
        <v>678</v>
      </c>
      <c r="M11" s="432"/>
      <c r="N11" s="440"/>
      <c r="O11" s="440"/>
      <c r="P11" s="440"/>
      <c r="Q11" s="440"/>
      <c r="R11" s="440"/>
      <c r="S11" s="114" t="str">
        <f t="shared" si="7"/>
        <v/>
      </c>
      <c r="W11" s="114" t="e">
        <f>VLOOKUP($M11,_VRF!$A$26:$G$31, 2, FALSE)</f>
        <v>#N/A</v>
      </c>
      <c r="X11" s="114" t="e">
        <f>VLOOKUP($M11,_VRF!$A$26:$G$31, 3, FALSE)</f>
        <v>#N/A</v>
      </c>
      <c r="Y11" s="114" t="e">
        <f>VLOOKUP($M11,_VRF!$A$26:$G$31, 4, FALSE)</f>
        <v>#N/A</v>
      </c>
      <c r="Z11" s="114" t="e">
        <f>VLOOKUP($M11,_VRF!$A$26:$G$31, 5, FALSE)</f>
        <v>#N/A</v>
      </c>
      <c r="AA11" s="114" t="e">
        <f>VLOOKUP($M11,_VRF!$A$26:$G$31, 6, FALSE)</f>
        <v>#N/A</v>
      </c>
      <c r="AB11" s="114" t="e">
        <f>VLOOKUP($M11,_VRF!$A$26:$G$31, 7, FALSE)</f>
        <v>#N/A</v>
      </c>
      <c r="AD11" s="114" t="e">
        <f t="shared" si="8"/>
        <v>#N/A</v>
      </c>
      <c r="AE11" s="114">
        <f t="shared" si="9"/>
        <v>0</v>
      </c>
      <c r="AF11" s="114">
        <f t="shared" si="1"/>
        <v>0</v>
      </c>
      <c r="AG11" s="114">
        <f t="shared" si="1"/>
        <v>0</v>
      </c>
      <c r="AH11" s="114">
        <f t="shared" si="1"/>
        <v>0</v>
      </c>
      <c r="AI11" s="114">
        <f t="shared" si="1"/>
        <v>0</v>
      </c>
      <c r="AM11" s="432" t="str">
        <f t="shared" si="10"/>
        <v/>
      </c>
      <c r="AN11" s="114">
        <f t="shared" si="2"/>
        <v>0</v>
      </c>
      <c r="AO11" s="114" t="str">
        <f>_xlfn.CONCAT(E11," (",VLOOKUP(E11,[1]Backend!C:D,2,FALSE),")")</f>
        <v xml:space="preserve"> (Zero)</v>
      </c>
      <c r="AP11" s="114" t="str">
        <f>_xlfn.CONCAT(AN11," - Electrical power supply and controls to ",AO11," ",VLOOKUP(M11,_VRF!$A$39:$G$48,2,FALSE))</f>
        <v xml:space="preserve">0 - Electrical power supply and controls to  (Zero) </v>
      </c>
      <c r="AQ11" s="114" t="str">
        <f t="shared" si="11"/>
        <v xml:space="preserve"> </v>
      </c>
      <c r="AR11" s="114" t="str">
        <f t="shared" si="12"/>
        <v/>
      </c>
      <c r="AS11" s="114" t="e">
        <f t="shared" si="13"/>
        <v>#N/A</v>
      </c>
      <c r="AT11" s="114" t="e">
        <f t="shared" si="14"/>
        <v>#N/A</v>
      </c>
      <c r="AU11" s="114" t="str">
        <f t="shared" si="15"/>
        <v>0.1 - This includes supply and install of power and controls.</v>
      </c>
      <c r="AV11" s="114" t="str">
        <f>_xlfn.CONCAT(AN11,".2 - Power for system includes: ",VLOOKUP(L11,_VRF!L:O,4,FALSE))</f>
        <v xml:space="preserve">0.2 - Power for system includes: CB and cabling to unit from MSSB, and local isolator, </v>
      </c>
      <c r="AW11" s="114" t="e">
        <f t="shared" si="16"/>
        <v>#N/A</v>
      </c>
      <c r="AX11" s="114" t="str">
        <f>_xlfn.CONCAT(
IF(M11="Yes",VLOOKUP(M$1,_VRF!L:Z,4,FALSE),""),
IF(N11="Yes",VLOOKUP(N$1,_VRF!L:Z,4,FALSE),""),
IF(O11="Yes",VLOOKUP(O$1,_VRF!L:Z,4,FALSE),""),
IF(P11="Yes",VLOOKUP(P$1,_VRF!L:Z,4,FALSE),""),
IF(Q11="Yes",VLOOKUP(Q$1,_VRF!L:Z,4,FALSE),""),
IF(R11="Yes",VLOOKUP(R$1,_VRF!L:Z,4,FALSE),""))</f>
        <v/>
      </c>
      <c r="AZ11" s="114" t="str">
        <f>_xlfn.CONCAT(VLOOKUP(M11,_VRF!$A$39:$G$48,2,FALSE),AQ11,AR11,)</f>
        <v xml:space="preserve"> </v>
      </c>
    </row>
    <row r="12" spans="1:52" x14ac:dyDescent="0.4">
      <c r="A12" s="429" t="str">
        <f t="shared" si="3"/>
        <v>INVALID</v>
      </c>
      <c r="B12" s="430" t="str">
        <f t="shared" si="4"/>
        <v>VRF 11</v>
      </c>
      <c r="C12" s="431">
        <f t="shared" si="5"/>
        <v>0</v>
      </c>
      <c r="D12" s="430">
        <f t="shared" si="6"/>
        <v>0</v>
      </c>
      <c r="E12" s="430"/>
      <c r="F12" s="430">
        <f t="shared" si="0"/>
        <v>20</v>
      </c>
      <c r="G12" s="440"/>
      <c r="H12" s="441"/>
      <c r="I12" s="440" t="e">
        <f>F12*VLOOKUP("7030 2 pair TCAS7302P",'Part List'!$A:$G,3,FALSE)*AE12
+IF(M12="Controller",VLOOKUP(M12,_VRF!L:N,2,FALSE)
+VLOOKUP($N$1,_VRF!L:N,2,FALSE)*AE12
+VLOOKUP($O$1,_VRF!L:N,2,FALSE)*AF12
+VLOOKUP($P$1,_VRF!L:N,2,FALSE)*AG12
+VLOOKUP($Q$1,_VRF!L:N,2,FALSE)*AH12
+VLOOKUP($R$1,_VRF!L:N,2,FALSE)*AI12
+(VLOOKUP("Network cable",'Part List'!$A:$G,3,FALSE)+VLOOKUP("2.5mm Twin and Earth",'Part List'!$A:$G,3,FALSE))*F12,
IF(M12="PAC",VLOOKUP(M12,_VRF!L:N,2,FALSE)
+VLOOKUP($N$1,_VRF!L:N,2,FALSE)*AE12
+VLOOKUP($O$1,_VRF!L:N,2,FALSE)*AF12
+VLOOKUP($P$1,_VRF!L:N,2,FALSE)*AG12
+VLOOKUP($Q$1,_VRF!L:N,2,FALSE)*AH12
+VLOOKUP($R$1,_VRF!L:N,2,FALSE)*AI12
+VLOOKUP("6mm Cable 3 core and Earth",'Part List'!$A:$G,3,FALSE)*F12,
IF(M12="Branch Box",VLOOKUP(M12,_VRF!L:N,2,FALSE)
+VLOOKUP($N$1,_VRF!L:N,2,FALSE)*AE12
+VLOOKUP($O$1,_VRF!L:N,2,FALSE)*AF12
+VLOOKUP($P$1,_VRF!L:N,2,FALSE)*AG12
+VLOOKUP($Q$1,_VRF!L:N,2,FALSE)*AH12
+VLOOKUP($R$1,_VRF!L:N,2,FALSE)*AI12
+(VLOOKUP("2.5mm Twin and Earth",'Part List'!$A:$G,3,FALSE)+VLOOKUP("7030 2 pair TCAS7302P",'Part List'!$A:$G,3,FALSE))*F12,
+IF(NOT(M12="Split"),IF(OR(M12="Outdoor",M12="Indoor"),0,VLOOKUP(AD12,_VRF!L:N,2,FALSE)+VLOOKUP(M12,_VRF!L:N,2,FALSE))
+VLOOKUP($N$1,_VRF!L:N,2,FALSE)*AE12
+VLOOKUP($O$1,_VRF!L:N,2,FALSE)*AF12
+VLOOKUP($P$1,_VRF!L:N,2,FALSE)*AG12
+VLOOKUP($Q$1,_VRF!L:N,2,FALSE)*AH12
+VLOOKUP($R$1,_VRF!L:N,2,FALSE)*AI12
+VLOOKUP(IF(M12="Outdoor","4mm Cable 3 core and Earth","2.5mm Twin and Earth"),'Part List'!$A:$G,3,FALSE)*F12
+IF(M12="Indoor",VLOOKUP("7030 2 pair TCAS7302P",'Part List'!$A:$G,3,FALSE),0)*F12
+VLOOKUP(IF(M12="Outdoor",IF(L12="Local","Outdoor_Local","Outdoor_MSSB"),0),_VRF!L:N,2,FALSE)
+IF(M12="Indoor",VLOOKUP(M12,_VRF!L:N,2,FALSE),0),
VLOOKUP(M12,_VRF!L:N,2,FALSE)
+(VLOOKUP("7030 2 pair TCAS7302P",'Part List'!$A:$G,3,FALSE)+2*VLOOKUP("2.5mm Twin and Earth",'Part List'!$A:$G,3,FALSE))*F12
+VLOOKUP($N$1,_VRF!L:N,2,FALSE)*AE12
+VLOOKUP($O$1,_VRF!L:N,2,FALSE)*AF12
+VLOOKUP($P$1,_VRF!L:N,2,FALSE)*AG12
+VLOOKUP($Q$1,_VRF!L:N,2,FALSE)*AH12
+VLOOKUP($R$1,_VRF!L:N,2,FALSE)*AI12))))</f>
        <v>#N/A</v>
      </c>
      <c r="J12" s="441" t="e">
        <f>F12*VLOOKUP("7030 2 pair TCAS7302P",'Part List'!$A:$G,5,FALSE)*AE12+
+
IF(M12="Controller",VLOOKUP(M12,_VRF!L:N,3,FALSE)
+VLOOKUP($N$1,_VRF!L:N,3,FALSE)*AE12
+VLOOKUP($O$1,_VRF!L:N,3,FALSE)*AF12
+VLOOKUP($P$1,_VRF!L:N,3,FALSE)*AG12
+VLOOKUP($Q$1,_VRF!L:N,3,FALSE)*AH12
+VLOOKUP($R$1,_VRF!L:N,3,FALSE)*AI12
+(VLOOKUP("Network cable",'Part List'!$A:$G,5,FALSE)+VLOOKUP("2.5mm Twin and Earth",'Part List'!$A:$G,5,FALSE))*F12,
IF(M12="PAC",VLOOKUP(M12,_VRF!L:N,3,FALSE)
+VLOOKUP($N$1,_VRF!L:N,3,FALSE)*AE12
+VLOOKUP($O$1,_VRF!L:N,3,FALSE)*AF12
+VLOOKUP($P$1,_VRF!L:N,3,FALSE)*AG12
+VLOOKUP($Q$1,_VRF!L:N,3,FALSE)*AH12
+VLOOKUP($R$1,_VRF!L:N,3,FALSE)*AI12
+VLOOKUP("6mm Cable 3 core and Earth",'Part List'!$A:$G,5,FALSE)*F12,
IF(M12="Branch Box",VLOOKUP(M12,_VRF!L:N,3,FALSE)
+VLOOKUP($N$1,_VRF!L:N,3,FALSE)*AE12
+VLOOKUP($O$1,_VRF!L:N,3,FALSE)*AF12
+VLOOKUP($P$1,_VRF!L:N,3,FALSE)*AG12
+VLOOKUP($Q$1,_VRF!L:N,3,FALSE)*AH12
+VLOOKUP($R$1,_VRF!L:N,3,FALSE)*AI12
+(VLOOKUP("2.5mm Twin and Earth",'Part List'!$A:$G,5,FALSE)+VLOOKUP("7030 2 pair TCAS7302P",'Part List'!$A:$G,5,FALSE))*F12,
+IF(NOT(M12="Split"),IF(OR(M12="Outdoor",M12="Indoor"),0,VLOOKUP(AD12,_VRF!L:N,3,FALSE)+VLOOKUP(M12,_VRF!L:N,3,FALSE))
+VLOOKUP($N$1,_VRF!L:N,3,FALSE)*AE12
+VLOOKUP($O$1,_VRF!L:N,3,FALSE)*AF12
+VLOOKUP($P$1,_VRF!L:N,3,FALSE)*AG12
+VLOOKUP($Q$1,_VRF!L:N,3,FALSE)*AH12
+VLOOKUP($R$1,_VRF!L:N,3,FALSE)*AI12
+VLOOKUP(IF(M12="Outdoor","4mm Cable 3 core and Earth","2.5mm Twin and Earth"),'Part List'!$A:$G,5,FALSE)*F12
+IF(M12="Indoor",VLOOKUP("7030 2 pair TCAS7302P",'Part List'!$A:$G,5,FALSE),0)*F12
+VLOOKUP(IF(M12="Outdoor",IF(L12="Local","Outdoor_Local","Outdoor_MSSB"),0),_VRF!L:N,3,FALSE)
+IF(M12="Indoor",VLOOKUP(M12,_VRF!L:N,3,FALSE),0),
VLOOKUP(M12,_VRF!L:N,3,FALSE)
+(VLOOKUP("7030 2 pair TCAS7302P",'Part List'!$A:$G,5,FALSE)+2*VLOOKUP("2.5mm Twin and Earth",'Part List'!$A:$G,5,FALSE))*F12
+VLOOKUP($N$1,_VRF!L:N,3,FALSE)*AE12
+VLOOKUP($O$1,_VRF!L:N,3,FALSE)*AF12
+VLOOKUP($P$1,_VRF!L:N,3,FALSE)*AG12
+VLOOKUP($Q$1,_VRF!L:N,3,FALSE)*AH12
+VLOOKUP($R$1,_VRF!L:N,3,FALSE)*AI12))))</f>
        <v>#N/A</v>
      </c>
      <c r="K12" s="430" t="e">
        <f>_xlfn.CONCAT(VLOOKUP(M12,_VRF!$A$39:$C$44,3,FALSE), "-",
IF(N12="Yes", 1, 0)*X12, IF(O12="Yes", 1, 0)*Y12, IF(P12="Yes", 1, 0)*Z12, AA12*IF(Q12="Yes", 1, 0),IF(R12="Yes", 1, 0)*AB12,IF(W12 = 1, IF(L12="Local", "-L", "-M"),""))</f>
        <v>#N/A</v>
      </c>
      <c r="L12" s="432" t="s">
        <v>678</v>
      </c>
      <c r="M12" s="432"/>
      <c r="N12" s="440"/>
      <c r="O12" s="440"/>
      <c r="P12" s="440"/>
      <c r="Q12" s="440"/>
      <c r="R12" s="440"/>
      <c r="S12" s="114" t="str">
        <f t="shared" si="7"/>
        <v/>
      </c>
      <c r="W12" s="114" t="e">
        <f>VLOOKUP($M12,_VRF!$A$26:$G$31, 2, FALSE)</f>
        <v>#N/A</v>
      </c>
      <c r="X12" s="114" t="e">
        <f>VLOOKUP($M12,_VRF!$A$26:$G$31, 3, FALSE)</f>
        <v>#N/A</v>
      </c>
      <c r="Y12" s="114" t="e">
        <f>VLOOKUP($M12,_VRF!$A$26:$G$31, 4, FALSE)</f>
        <v>#N/A</v>
      </c>
      <c r="Z12" s="114" t="e">
        <f>VLOOKUP($M12,_VRF!$A$26:$G$31, 5, FALSE)</f>
        <v>#N/A</v>
      </c>
      <c r="AA12" s="114" t="e">
        <f>VLOOKUP($M12,_VRF!$A$26:$G$31, 6, FALSE)</f>
        <v>#N/A</v>
      </c>
      <c r="AB12" s="114" t="e">
        <f>VLOOKUP($M12,_VRF!$A$26:$G$31, 7, FALSE)</f>
        <v>#N/A</v>
      </c>
      <c r="AD12" s="114" t="e">
        <f t="shared" si="8"/>
        <v>#N/A</v>
      </c>
      <c r="AE12" s="114">
        <f t="shared" si="9"/>
        <v>0</v>
      </c>
      <c r="AF12" s="114">
        <f t="shared" si="1"/>
        <v>0</v>
      </c>
      <c r="AG12" s="114">
        <f t="shared" si="1"/>
        <v>0</v>
      </c>
      <c r="AH12" s="114">
        <f t="shared" si="1"/>
        <v>0</v>
      </c>
      <c r="AI12" s="114">
        <f t="shared" si="1"/>
        <v>0</v>
      </c>
      <c r="AM12" s="432" t="str">
        <f t="shared" si="10"/>
        <v/>
      </c>
      <c r="AN12" s="114">
        <f t="shared" si="2"/>
        <v>0</v>
      </c>
      <c r="AO12" s="114" t="str">
        <f>_xlfn.CONCAT(E12," (",VLOOKUP(E12,[1]Backend!C:D,2,FALSE),")")</f>
        <v xml:space="preserve"> (Zero)</v>
      </c>
      <c r="AP12" s="114" t="str">
        <f>_xlfn.CONCAT(AN12," - Electrical power supply and controls to ",AO12," ",VLOOKUP(M12,_VRF!$A$39:$G$48,2,FALSE))</f>
        <v xml:space="preserve">0 - Electrical power supply and controls to  (Zero) </v>
      </c>
      <c r="AQ12" s="114" t="str">
        <f t="shared" si="11"/>
        <v xml:space="preserve"> </v>
      </c>
      <c r="AR12" s="114" t="str">
        <f t="shared" si="12"/>
        <v/>
      </c>
      <c r="AS12" s="114" t="e">
        <f t="shared" si="13"/>
        <v>#N/A</v>
      </c>
      <c r="AT12" s="114" t="e">
        <f t="shared" si="14"/>
        <v>#N/A</v>
      </c>
      <c r="AU12" s="114" t="str">
        <f t="shared" si="15"/>
        <v>0.1 - This includes supply and install of power and controls.</v>
      </c>
      <c r="AV12" s="114" t="str">
        <f>_xlfn.CONCAT(AN12,".2 - Power for system includes: ",VLOOKUP(L12,_VRF!L:O,4,FALSE))</f>
        <v xml:space="preserve">0.2 - Power for system includes: CB and cabling to unit from MSSB, and local isolator, </v>
      </c>
      <c r="AW12" s="114" t="e">
        <f t="shared" si="16"/>
        <v>#N/A</v>
      </c>
      <c r="AX12" s="114" t="str">
        <f>_xlfn.CONCAT(
IF(M12="Yes",VLOOKUP(M$1,_VRF!L:Z,4,FALSE),""),
IF(N12="Yes",VLOOKUP(N$1,_VRF!L:Z,4,FALSE),""),
IF(O12="Yes",VLOOKUP(O$1,_VRF!L:Z,4,FALSE),""),
IF(P12="Yes",VLOOKUP(P$1,_VRF!L:Z,4,FALSE),""),
IF(Q12="Yes",VLOOKUP(Q$1,_VRF!L:Z,4,FALSE),""),
IF(R12="Yes",VLOOKUP(R$1,_VRF!L:Z,4,FALSE),""))</f>
        <v/>
      </c>
      <c r="AZ12" s="114" t="str">
        <f>_xlfn.CONCAT(VLOOKUP(M12,_VRF!$A$39:$G$48,2,FALSE),AQ12,AR12,)</f>
        <v xml:space="preserve"> </v>
      </c>
    </row>
    <row r="13" spans="1:52" x14ac:dyDescent="0.4">
      <c r="A13" s="429" t="str">
        <f t="shared" si="3"/>
        <v>INVALID</v>
      </c>
      <c r="B13" s="430" t="str">
        <f t="shared" si="4"/>
        <v>VRF 12</v>
      </c>
      <c r="C13" s="431">
        <f t="shared" si="5"/>
        <v>0</v>
      </c>
      <c r="D13" s="430">
        <f t="shared" si="6"/>
        <v>0</v>
      </c>
      <c r="E13" s="430"/>
      <c r="F13" s="430">
        <f t="shared" si="0"/>
        <v>20</v>
      </c>
      <c r="G13" s="440"/>
      <c r="H13" s="441"/>
      <c r="I13" s="440" t="e">
        <f>F13*VLOOKUP("7030 2 pair TCAS7302P",'Part List'!$A:$G,3,FALSE)*AE13
+IF(M13="Controller",VLOOKUP(M13,_VRF!L:N,2,FALSE)
+VLOOKUP($N$1,_VRF!L:N,2,FALSE)*AE13
+VLOOKUP($O$1,_VRF!L:N,2,FALSE)*AF13
+VLOOKUP($P$1,_VRF!L:N,2,FALSE)*AG13
+VLOOKUP($Q$1,_VRF!L:N,2,FALSE)*AH13
+VLOOKUP($R$1,_VRF!L:N,2,FALSE)*AI13
+(VLOOKUP("Network cable",'Part List'!$A:$G,3,FALSE)+VLOOKUP("2.5mm Twin and Earth",'Part List'!$A:$G,3,FALSE))*F13,
IF(M13="PAC",VLOOKUP(M13,_VRF!L:N,2,FALSE)
+VLOOKUP($N$1,_VRF!L:N,2,FALSE)*AE13
+VLOOKUP($O$1,_VRF!L:N,2,FALSE)*AF13
+VLOOKUP($P$1,_VRF!L:N,2,FALSE)*AG13
+VLOOKUP($Q$1,_VRF!L:N,2,FALSE)*AH13
+VLOOKUP($R$1,_VRF!L:N,2,FALSE)*AI13
+VLOOKUP("6mm Cable 3 core and Earth",'Part List'!$A:$G,3,FALSE)*F13,
IF(M13="Branch Box",VLOOKUP(M13,_VRF!L:N,2,FALSE)
+VLOOKUP($N$1,_VRF!L:N,2,FALSE)*AE13
+VLOOKUP($O$1,_VRF!L:N,2,FALSE)*AF13
+VLOOKUP($P$1,_VRF!L:N,2,FALSE)*AG13
+VLOOKUP($Q$1,_VRF!L:N,2,FALSE)*AH13
+VLOOKUP($R$1,_VRF!L:N,2,FALSE)*AI13
+(VLOOKUP("2.5mm Twin and Earth",'Part List'!$A:$G,3,FALSE)+VLOOKUP("7030 2 pair TCAS7302P",'Part List'!$A:$G,3,FALSE))*F13,
+IF(NOT(M13="Split"),IF(OR(M13="Outdoor",M13="Indoor"),0,VLOOKUP(AD13,_VRF!L:N,2,FALSE)+VLOOKUP(M13,_VRF!L:N,2,FALSE))
+VLOOKUP($N$1,_VRF!L:N,2,FALSE)*AE13
+VLOOKUP($O$1,_VRF!L:N,2,FALSE)*AF13
+VLOOKUP($P$1,_VRF!L:N,2,FALSE)*AG13
+VLOOKUP($Q$1,_VRF!L:N,2,FALSE)*AH13
+VLOOKUP($R$1,_VRF!L:N,2,FALSE)*AI13
+VLOOKUP(IF(M13="Outdoor","4mm Cable 3 core and Earth","2.5mm Twin and Earth"),'Part List'!$A:$G,3,FALSE)*F13
+IF(M13="Indoor",VLOOKUP("7030 2 pair TCAS7302P",'Part List'!$A:$G,3,FALSE),0)*F13
+VLOOKUP(IF(M13="Outdoor",IF(L13="Local","Outdoor_Local","Outdoor_MSSB"),0),_VRF!L:N,2,FALSE)
+IF(M13="Indoor",VLOOKUP(M13,_VRF!L:N,2,FALSE),0),
VLOOKUP(M13,_VRF!L:N,2,FALSE)
+(VLOOKUP("7030 2 pair TCAS7302P",'Part List'!$A:$G,3,FALSE)+2*VLOOKUP("2.5mm Twin and Earth",'Part List'!$A:$G,3,FALSE))*F13
+VLOOKUP($N$1,_VRF!L:N,2,FALSE)*AE13
+VLOOKUP($O$1,_VRF!L:N,2,FALSE)*AF13
+VLOOKUP($P$1,_VRF!L:N,2,FALSE)*AG13
+VLOOKUP($Q$1,_VRF!L:N,2,FALSE)*AH13
+VLOOKUP($R$1,_VRF!L:N,2,FALSE)*AI13))))</f>
        <v>#N/A</v>
      </c>
      <c r="J13" s="441" t="e">
        <f>F13*VLOOKUP("7030 2 pair TCAS7302P",'Part List'!$A:$G,5,FALSE)*AE13+
+
IF(M13="Controller",VLOOKUP(M13,_VRF!L:N,3,FALSE)
+VLOOKUP($N$1,_VRF!L:N,3,FALSE)*AE13
+VLOOKUP($O$1,_VRF!L:N,3,FALSE)*AF13
+VLOOKUP($P$1,_VRF!L:N,3,FALSE)*AG13
+VLOOKUP($Q$1,_VRF!L:N,3,FALSE)*AH13
+VLOOKUP($R$1,_VRF!L:N,3,FALSE)*AI13
+(VLOOKUP("Network cable",'Part List'!$A:$G,5,FALSE)+VLOOKUP("2.5mm Twin and Earth",'Part List'!$A:$G,5,FALSE))*F13,
IF(M13="PAC",VLOOKUP(M13,_VRF!L:N,3,FALSE)
+VLOOKUP($N$1,_VRF!L:N,3,FALSE)*AE13
+VLOOKUP($O$1,_VRF!L:N,3,FALSE)*AF13
+VLOOKUP($P$1,_VRF!L:N,3,FALSE)*AG13
+VLOOKUP($Q$1,_VRF!L:N,3,FALSE)*AH13
+VLOOKUP($R$1,_VRF!L:N,3,FALSE)*AI13
+VLOOKUP("6mm Cable 3 core and Earth",'Part List'!$A:$G,5,FALSE)*F13,
IF(M13="Branch Box",VLOOKUP(M13,_VRF!L:N,3,FALSE)
+VLOOKUP($N$1,_VRF!L:N,3,FALSE)*AE13
+VLOOKUP($O$1,_VRF!L:N,3,FALSE)*AF13
+VLOOKUP($P$1,_VRF!L:N,3,FALSE)*AG13
+VLOOKUP($Q$1,_VRF!L:N,3,FALSE)*AH13
+VLOOKUP($R$1,_VRF!L:N,3,FALSE)*AI13
+(VLOOKUP("2.5mm Twin and Earth",'Part List'!$A:$G,5,FALSE)+VLOOKUP("7030 2 pair TCAS7302P",'Part List'!$A:$G,5,FALSE))*F13,
+IF(NOT(M13="Split"),IF(OR(M13="Outdoor",M13="Indoor"),0,VLOOKUP(AD13,_VRF!L:N,3,FALSE)+VLOOKUP(M13,_VRF!L:N,3,FALSE))
+VLOOKUP($N$1,_VRF!L:N,3,FALSE)*AE13
+VLOOKUP($O$1,_VRF!L:N,3,FALSE)*AF13
+VLOOKUP($P$1,_VRF!L:N,3,FALSE)*AG13
+VLOOKUP($Q$1,_VRF!L:N,3,FALSE)*AH13
+VLOOKUP($R$1,_VRF!L:N,3,FALSE)*AI13
+VLOOKUP(IF(M13="Outdoor","4mm Cable 3 core and Earth","2.5mm Twin and Earth"),'Part List'!$A:$G,5,FALSE)*F13
+IF(M13="Indoor",VLOOKUP("7030 2 pair TCAS7302P",'Part List'!$A:$G,5,FALSE),0)*F13
+VLOOKUP(IF(M13="Outdoor",IF(L13="Local","Outdoor_Local","Outdoor_MSSB"),0),_VRF!L:N,3,FALSE)
+IF(M13="Indoor",VLOOKUP(M13,_VRF!L:N,3,FALSE),0),
VLOOKUP(M13,_VRF!L:N,3,FALSE)
+(VLOOKUP("7030 2 pair TCAS7302P",'Part List'!$A:$G,5,FALSE)+2*VLOOKUP("2.5mm Twin and Earth",'Part List'!$A:$G,5,FALSE))*F13
+VLOOKUP($N$1,_VRF!L:N,3,FALSE)*AE13
+VLOOKUP($O$1,_VRF!L:N,3,FALSE)*AF13
+VLOOKUP($P$1,_VRF!L:N,3,FALSE)*AG13
+VLOOKUP($Q$1,_VRF!L:N,3,FALSE)*AH13
+VLOOKUP($R$1,_VRF!L:N,3,FALSE)*AI13))))</f>
        <v>#N/A</v>
      </c>
      <c r="K13" s="430" t="e">
        <f>_xlfn.CONCAT(VLOOKUP(M13,_VRF!$A$39:$C$44,3,FALSE), "-",
IF(N13="Yes", 1, 0)*X13, IF(O13="Yes", 1, 0)*Y13, IF(P13="Yes", 1, 0)*Z13, AA13*IF(Q13="Yes", 1, 0),IF(R13="Yes", 1, 0)*AB13,IF(W13 = 1, IF(L13="Local", "-L", "-M"),""))</f>
        <v>#N/A</v>
      </c>
      <c r="L13" s="432" t="s">
        <v>678</v>
      </c>
      <c r="M13" s="432"/>
      <c r="N13" s="440"/>
      <c r="O13" s="440"/>
      <c r="P13" s="440"/>
      <c r="Q13" s="440"/>
      <c r="R13" s="440"/>
      <c r="S13" s="114" t="str">
        <f t="shared" si="7"/>
        <v/>
      </c>
      <c r="W13" s="114" t="e">
        <f>VLOOKUP($M13,_VRF!$A$26:$G$31, 2, FALSE)</f>
        <v>#N/A</v>
      </c>
      <c r="X13" s="114" t="e">
        <f>VLOOKUP($M13,_VRF!$A$26:$G$31, 3, FALSE)</f>
        <v>#N/A</v>
      </c>
      <c r="Y13" s="114" t="e">
        <f>VLOOKUP($M13,_VRF!$A$26:$G$31, 4, FALSE)</f>
        <v>#N/A</v>
      </c>
      <c r="Z13" s="114" t="e">
        <f>VLOOKUP($M13,_VRF!$A$26:$G$31, 5, FALSE)</f>
        <v>#N/A</v>
      </c>
      <c r="AA13" s="114" t="e">
        <f>VLOOKUP($M13,_VRF!$A$26:$G$31, 6, FALSE)</f>
        <v>#N/A</v>
      </c>
      <c r="AB13" s="114" t="e">
        <f>VLOOKUP($M13,_VRF!$A$26:$G$31, 7, FALSE)</f>
        <v>#N/A</v>
      </c>
      <c r="AD13" s="114" t="e">
        <f t="shared" si="8"/>
        <v>#N/A</v>
      </c>
      <c r="AE13" s="114">
        <f t="shared" si="9"/>
        <v>0</v>
      </c>
      <c r="AF13" s="114">
        <f t="shared" si="1"/>
        <v>0</v>
      </c>
      <c r="AG13" s="114">
        <f t="shared" si="1"/>
        <v>0</v>
      </c>
      <c r="AH13" s="114">
        <f t="shared" si="1"/>
        <v>0</v>
      </c>
      <c r="AI13" s="114">
        <f t="shared" si="1"/>
        <v>0</v>
      </c>
      <c r="AM13" s="432" t="str">
        <f t="shared" si="10"/>
        <v/>
      </c>
      <c r="AN13" s="114">
        <f t="shared" si="2"/>
        <v>0</v>
      </c>
      <c r="AO13" s="114" t="str">
        <f>_xlfn.CONCAT(E13," (",VLOOKUP(E13,[1]Backend!C:D,2,FALSE),")")</f>
        <v xml:space="preserve"> (Zero)</v>
      </c>
      <c r="AP13" s="114" t="str">
        <f>_xlfn.CONCAT(AN13," - Electrical power supply and controls to ",AO13," ",VLOOKUP(M13,_VRF!$A$39:$G$48,2,FALSE))</f>
        <v xml:space="preserve">0 - Electrical power supply and controls to  (Zero) </v>
      </c>
      <c r="AQ13" s="114" t="str">
        <f t="shared" si="11"/>
        <v xml:space="preserve"> </v>
      </c>
      <c r="AR13" s="114" t="str">
        <f t="shared" si="12"/>
        <v/>
      </c>
      <c r="AS13" s="114" t="e">
        <f t="shared" si="13"/>
        <v>#N/A</v>
      </c>
      <c r="AT13" s="114" t="e">
        <f t="shared" si="14"/>
        <v>#N/A</v>
      </c>
      <c r="AU13" s="114" t="str">
        <f t="shared" si="15"/>
        <v>0.1 - This includes supply and install of power and controls.</v>
      </c>
      <c r="AV13" s="114" t="str">
        <f>_xlfn.CONCAT(AN13,".2 - Power for system includes: ",VLOOKUP(L13,_VRF!L:O,4,FALSE))</f>
        <v xml:space="preserve">0.2 - Power for system includes: CB and cabling to unit from MSSB, and local isolator, </v>
      </c>
      <c r="AW13" s="114" t="e">
        <f t="shared" si="16"/>
        <v>#N/A</v>
      </c>
      <c r="AX13" s="114" t="str">
        <f>_xlfn.CONCAT(
IF(M13="Yes",VLOOKUP(M$1,_VRF!L:Z,4,FALSE),""),
IF(N13="Yes",VLOOKUP(N$1,_VRF!L:Z,4,FALSE),""),
IF(O13="Yes",VLOOKUP(O$1,_VRF!L:Z,4,FALSE),""),
IF(P13="Yes",VLOOKUP(P$1,_VRF!L:Z,4,FALSE),""),
IF(Q13="Yes",VLOOKUP(Q$1,_VRF!L:Z,4,FALSE),""),
IF(R13="Yes",VLOOKUP(R$1,_VRF!L:Z,4,FALSE),""))</f>
        <v/>
      </c>
      <c r="AZ13" s="114" t="str">
        <f>_xlfn.CONCAT(VLOOKUP(M13,_VRF!$A$39:$G$48,2,FALSE),AQ13,AR13,)</f>
        <v xml:space="preserve"> </v>
      </c>
    </row>
    <row r="14" spans="1:52" x14ac:dyDescent="0.4">
      <c r="A14" s="429" t="str">
        <f t="shared" si="3"/>
        <v>INVALID</v>
      </c>
      <c r="B14" s="430" t="str">
        <f t="shared" si="4"/>
        <v>VRF 13</v>
      </c>
      <c r="C14" s="431">
        <f t="shared" si="5"/>
        <v>0</v>
      </c>
      <c r="D14" s="430">
        <f t="shared" si="6"/>
        <v>0</v>
      </c>
      <c r="E14" s="430"/>
      <c r="F14" s="430">
        <f t="shared" si="0"/>
        <v>20</v>
      </c>
      <c r="G14" s="440"/>
      <c r="H14" s="441"/>
      <c r="I14" s="440" t="e">
        <f>F14*VLOOKUP("7030 2 pair TCAS7302P",'Part List'!$A:$G,3,FALSE)*AE14
+IF(M14="Controller",VLOOKUP(M14,_VRF!L:N,2,FALSE)
+VLOOKUP($N$1,_VRF!L:N,2,FALSE)*AE14
+VLOOKUP($O$1,_VRF!L:N,2,FALSE)*AF14
+VLOOKUP($P$1,_VRF!L:N,2,FALSE)*AG14
+VLOOKUP($Q$1,_VRF!L:N,2,FALSE)*AH14
+VLOOKUP($R$1,_VRF!L:N,2,FALSE)*AI14
+(VLOOKUP("Network cable",'Part List'!$A:$G,3,FALSE)+VLOOKUP("2.5mm Twin and Earth",'Part List'!$A:$G,3,FALSE))*F14,
IF(M14="PAC",VLOOKUP(M14,_VRF!L:N,2,FALSE)
+VLOOKUP($N$1,_VRF!L:N,2,FALSE)*AE14
+VLOOKUP($O$1,_VRF!L:N,2,FALSE)*AF14
+VLOOKUP($P$1,_VRF!L:N,2,FALSE)*AG14
+VLOOKUP($Q$1,_VRF!L:N,2,FALSE)*AH14
+VLOOKUP($R$1,_VRF!L:N,2,FALSE)*AI14
+VLOOKUP("6mm Cable 3 core and Earth",'Part List'!$A:$G,3,FALSE)*F14,
IF(M14="Branch Box",VLOOKUP(M14,_VRF!L:N,2,FALSE)
+VLOOKUP($N$1,_VRF!L:N,2,FALSE)*AE14
+VLOOKUP($O$1,_VRF!L:N,2,FALSE)*AF14
+VLOOKUP($P$1,_VRF!L:N,2,FALSE)*AG14
+VLOOKUP($Q$1,_VRF!L:N,2,FALSE)*AH14
+VLOOKUP($R$1,_VRF!L:N,2,FALSE)*AI14
+(VLOOKUP("2.5mm Twin and Earth",'Part List'!$A:$G,3,FALSE)+VLOOKUP("7030 2 pair TCAS7302P",'Part List'!$A:$G,3,FALSE))*F14,
+IF(NOT(M14="Split"),IF(OR(M14="Outdoor",M14="Indoor"),0,VLOOKUP(AD14,_VRF!L:N,2,FALSE)+VLOOKUP(M14,_VRF!L:N,2,FALSE))
+VLOOKUP($N$1,_VRF!L:N,2,FALSE)*AE14
+VLOOKUP($O$1,_VRF!L:N,2,FALSE)*AF14
+VLOOKUP($P$1,_VRF!L:N,2,FALSE)*AG14
+VLOOKUP($Q$1,_VRF!L:N,2,FALSE)*AH14
+VLOOKUP($R$1,_VRF!L:N,2,FALSE)*AI14
+VLOOKUP(IF(M14="Outdoor","4mm Cable 3 core and Earth","2.5mm Twin and Earth"),'Part List'!$A:$G,3,FALSE)*F14
+IF(M14="Indoor",VLOOKUP("7030 2 pair TCAS7302P",'Part List'!$A:$G,3,FALSE),0)*F14
+VLOOKUP(IF(M14="Outdoor",IF(L14="Local","Outdoor_Local","Outdoor_MSSB"),0),_VRF!L:N,2,FALSE)
+IF(M14="Indoor",VLOOKUP(M14,_VRF!L:N,2,FALSE),0),
VLOOKUP(M14,_VRF!L:N,2,FALSE)
+(VLOOKUP("7030 2 pair TCAS7302P",'Part List'!$A:$G,3,FALSE)+2*VLOOKUP("2.5mm Twin and Earth",'Part List'!$A:$G,3,FALSE))*F14
+VLOOKUP($N$1,_VRF!L:N,2,FALSE)*AE14
+VLOOKUP($O$1,_VRF!L:N,2,FALSE)*AF14
+VLOOKUP($P$1,_VRF!L:N,2,FALSE)*AG14
+VLOOKUP($Q$1,_VRF!L:N,2,FALSE)*AH14
+VLOOKUP($R$1,_VRF!L:N,2,FALSE)*AI14))))</f>
        <v>#N/A</v>
      </c>
      <c r="J14" s="441" t="e">
        <f>F14*VLOOKUP("7030 2 pair TCAS7302P",'Part List'!$A:$G,5,FALSE)*AE14+
+
IF(M14="Controller",VLOOKUP(M14,_VRF!L:N,3,FALSE)
+VLOOKUP($N$1,_VRF!L:N,3,FALSE)*AE14
+VLOOKUP($O$1,_VRF!L:N,3,FALSE)*AF14
+VLOOKUP($P$1,_VRF!L:N,3,FALSE)*AG14
+VLOOKUP($Q$1,_VRF!L:N,3,FALSE)*AH14
+VLOOKUP($R$1,_VRF!L:N,3,FALSE)*AI14
+(VLOOKUP("Network cable",'Part List'!$A:$G,5,FALSE)+VLOOKUP("2.5mm Twin and Earth",'Part List'!$A:$G,5,FALSE))*F14,
IF(M14="PAC",VLOOKUP(M14,_VRF!L:N,3,FALSE)
+VLOOKUP($N$1,_VRF!L:N,3,FALSE)*AE14
+VLOOKUP($O$1,_VRF!L:N,3,FALSE)*AF14
+VLOOKUP($P$1,_VRF!L:N,3,FALSE)*AG14
+VLOOKUP($Q$1,_VRF!L:N,3,FALSE)*AH14
+VLOOKUP($R$1,_VRF!L:N,3,FALSE)*AI14
+VLOOKUP("6mm Cable 3 core and Earth",'Part List'!$A:$G,5,FALSE)*F14,
IF(M14="Branch Box",VLOOKUP(M14,_VRF!L:N,3,FALSE)
+VLOOKUP($N$1,_VRF!L:N,3,FALSE)*AE14
+VLOOKUP($O$1,_VRF!L:N,3,FALSE)*AF14
+VLOOKUP($P$1,_VRF!L:N,3,FALSE)*AG14
+VLOOKUP($Q$1,_VRF!L:N,3,FALSE)*AH14
+VLOOKUP($R$1,_VRF!L:N,3,FALSE)*AI14
+(VLOOKUP("2.5mm Twin and Earth",'Part List'!$A:$G,5,FALSE)+VLOOKUP("7030 2 pair TCAS7302P",'Part List'!$A:$G,5,FALSE))*F14,
+IF(NOT(M14="Split"),IF(OR(M14="Outdoor",M14="Indoor"),0,VLOOKUP(AD14,_VRF!L:N,3,FALSE)+VLOOKUP(M14,_VRF!L:N,3,FALSE))
+VLOOKUP($N$1,_VRF!L:N,3,FALSE)*AE14
+VLOOKUP($O$1,_VRF!L:N,3,FALSE)*AF14
+VLOOKUP($P$1,_VRF!L:N,3,FALSE)*AG14
+VLOOKUP($Q$1,_VRF!L:N,3,FALSE)*AH14
+VLOOKUP($R$1,_VRF!L:N,3,FALSE)*AI14
+VLOOKUP(IF(M14="Outdoor","4mm Cable 3 core and Earth","2.5mm Twin and Earth"),'Part List'!$A:$G,5,FALSE)*F14
+IF(M14="Indoor",VLOOKUP("7030 2 pair TCAS7302P",'Part List'!$A:$G,5,FALSE),0)*F14
+VLOOKUP(IF(M14="Outdoor",IF(L14="Local","Outdoor_Local","Outdoor_MSSB"),0),_VRF!L:N,3,FALSE)
+IF(M14="Indoor",VLOOKUP(M14,_VRF!L:N,3,FALSE),0),
VLOOKUP(M14,_VRF!L:N,3,FALSE)
+(VLOOKUP("7030 2 pair TCAS7302P",'Part List'!$A:$G,5,FALSE)+2*VLOOKUP("2.5mm Twin and Earth",'Part List'!$A:$G,5,FALSE))*F14
+VLOOKUP($N$1,_VRF!L:N,3,FALSE)*AE14
+VLOOKUP($O$1,_VRF!L:N,3,FALSE)*AF14
+VLOOKUP($P$1,_VRF!L:N,3,FALSE)*AG14
+VLOOKUP($Q$1,_VRF!L:N,3,FALSE)*AH14
+VLOOKUP($R$1,_VRF!L:N,3,FALSE)*AI14))))</f>
        <v>#N/A</v>
      </c>
      <c r="K14" s="430" t="e">
        <f>_xlfn.CONCAT(VLOOKUP(M14,_VRF!$A$39:$C$44,3,FALSE), "-",
IF(N14="Yes", 1, 0)*X14, IF(O14="Yes", 1, 0)*Y14, IF(P14="Yes", 1, 0)*Z14, AA14*IF(Q14="Yes", 1, 0),IF(R14="Yes", 1, 0)*AB14,IF(W14 = 1, IF(L14="Local", "-L", "-M"),""))</f>
        <v>#N/A</v>
      </c>
      <c r="L14" s="432" t="s">
        <v>678</v>
      </c>
      <c r="M14" s="432"/>
      <c r="N14" s="440"/>
      <c r="O14" s="440"/>
      <c r="P14" s="440"/>
      <c r="Q14" s="440"/>
      <c r="R14" s="440"/>
      <c r="S14" s="114" t="str">
        <f t="shared" si="7"/>
        <v/>
      </c>
      <c r="W14" s="114" t="e">
        <f>VLOOKUP($M14,_VRF!$A$26:$G$31, 2, FALSE)</f>
        <v>#N/A</v>
      </c>
      <c r="X14" s="114" t="e">
        <f>VLOOKUP($M14,_VRF!$A$26:$G$31, 3, FALSE)</f>
        <v>#N/A</v>
      </c>
      <c r="Y14" s="114" t="e">
        <f>VLOOKUP($M14,_VRF!$A$26:$G$31, 4, FALSE)</f>
        <v>#N/A</v>
      </c>
      <c r="Z14" s="114" t="e">
        <f>VLOOKUP($M14,_VRF!$A$26:$G$31, 5, FALSE)</f>
        <v>#N/A</v>
      </c>
      <c r="AA14" s="114" t="e">
        <f>VLOOKUP($M14,_VRF!$A$26:$G$31, 6, FALSE)</f>
        <v>#N/A</v>
      </c>
      <c r="AB14" s="114" t="e">
        <f>VLOOKUP($M14,_VRF!$A$26:$G$31, 7, FALSE)</f>
        <v>#N/A</v>
      </c>
      <c r="AD14" s="114" t="e">
        <f t="shared" si="8"/>
        <v>#N/A</v>
      </c>
      <c r="AE14" s="114">
        <f t="shared" si="9"/>
        <v>0</v>
      </c>
      <c r="AF14" s="114">
        <f t="shared" si="1"/>
        <v>0</v>
      </c>
      <c r="AG14" s="114">
        <f t="shared" si="1"/>
        <v>0</v>
      </c>
      <c r="AH14" s="114">
        <f t="shared" si="1"/>
        <v>0</v>
      </c>
      <c r="AI14" s="114">
        <f t="shared" si="1"/>
        <v>0</v>
      </c>
      <c r="AM14" s="432" t="str">
        <f t="shared" si="10"/>
        <v/>
      </c>
      <c r="AN14" s="114">
        <f t="shared" si="2"/>
        <v>0</v>
      </c>
      <c r="AO14" s="114" t="str">
        <f>_xlfn.CONCAT(E14," (",VLOOKUP(E14,[1]Backend!C:D,2,FALSE),")")</f>
        <v xml:space="preserve"> (Zero)</v>
      </c>
      <c r="AP14" s="114" t="str">
        <f>_xlfn.CONCAT(AN14," - Electrical power supply and controls to ",AO14," ",VLOOKUP(M14,_VRF!$A$39:$G$48,2,FALSE))</f>
        <v xml:space="preserve">0 - Electrical power supply and controls to  (Zero) </v>
      </c>
      <c r="AQ14" s="114" t="str">
        <f t="shared" si="11"/>
        <v xml:space="preserve"> </v>
      </c>
      <c r="AR14" s="114" t="str">
        <f t="shared" si="12"/>
        <v/>
      </c>
      <c r="AS14" s="114" t="e">
        <f t="shared" si="13"/>
        <v>#N/A</v>
      </c>
      <c r="AT14" s="114" t="e">
        <f t="shared" si="14"/>
        <v>#N/A</v>
      </c>
      <c r="AU14" s="114" t="str">
        <f t="shared" si="15"/>
        <v>0.1 - This includes supply and install of power and controls.</v>
      </c>
      <c r="AV14" s="114" t="str">
        <f>_xlfn.CONCAT(AN14,".2 - Power for system includes: ",VLOOKUP(L14,_VRF!L:O,4,FALSE))</f>
        <v xml:space="preserve">0.2 - Power for system includes: CB and cabling to unit from MSSB, and local isolator, </v>
      </c>
      <c r="AW14" s="114" t="e">
        <f t="shared" si="16"/>
        <v>#N/A</v>
      </c>
      <c r="AX14" s="114" t="str">
        <f>_xlfn.CONCAT(
IF(M14="Yes",VLOOKUP(M$1,_VRF!L:Z,4,FALSE),""),
IF(N14="Yes",VLOOKUP(N$1,_VRF!L:Z,4,FALSE),""),
IF(O14="Yes",VLOOKUP(O$1,_VRF!L:Z,4,FALSE),""),
IF(P14="Yes",VLOOKUP(P$1,_VRF!L:Z,4,FALSE),""),
IF(Q14="Yes",VLOOKUP(Q$1,_VRF!L:Z,4,FALSE),""),
IF(R14="Yes",VLOOKUP(R$1,_VRF!L:Z,4,FALSE),""))</f>
        <v/>
      </c>
      <c r="AZ14" s="114" t="str">
        <f>_xlfn.CONCAT(VLOOKUP(M14,_VRF!$A$39:$G$48,2,FALSE),AQ14,AR14,)</f>
        <v xml:space="preserve"> </v>
      </c>
    </row>
    <row r="15" spans="1:52" x14ac:dyDescent="0.4">
      <c r="A15" s="429" t="str">
        <f t="shared" si="3"/>
        <v>INVALID</v>
      </c>
      <c r="B15" s="430" t="str">
        <f t="shared" si="4"/>
        <v>VRF 14</v>
      </c>
      <c r="C15" s="431">
        <f t="shared" si="5"/>
        <v>0</v>
      </c>
      <c r="D15" s="430">
        <f t="shared" si="6"/>
        <v>0</v>
      </c>
      <c r="E15" s="430"/>
      <c r="F15" s="430">
        <f t="shared" si="0"/>
        <v>20</v>
      </c>
      <c r="G15" s="440"/>
      <c r="H15" s="441"/>
      <c r="I15" s="440" t="e">
        <f>F15*VLOOKUP("7030 2 pair TCAS7302P",'Part List'!$A:$G,3,FALSE)*AE15
+IF(M15="Controller",VLOOKUP(M15,_VRF!L:N,2,FALSE)
+VLOOKUP($N$1,_VRF!L:N,2,FALSE)*AE15
+VLOOKUP($O$1,_VRF!L:N,2,FALSE)*AF15
+VLOOKUP($P$1,_VRF!L:N,2,FALSE)*AG15
+VLOOKUP($Q$1,_VRF!L:N,2,FALSE)*AH15
+VLOOKUP($R$1,_VRF!L:N,2,FALSE)*AI15
+(VLOOKUP("Network cable",'Part List'!$A:$G,3,FALSE)+VLOOKUP("2.5mm Twin and Earth",'Part List'!$A:$G,3,FALSE))*F15,
IF(M15="PAC",VLOOKUP(M15,_VRF!L:N,2,FALSE)
+VLOOKUP($N$1,_VRF!L:N,2,FALSE)*AE15
+VLOOKUP($O$1,_VRF!L:N,2,FALSE)*AF15
+VLOOKUP($P$1,_VRF!L:N,2,FALSE)*AG15
+VLOOKUP($Q$1,_VRF!L:N,2,FALSE)*AH15
+VLOOKUP($R$1,_VRF!L:N,2,FALSE)*AI15
+VLOOKUP("6mm Cable 3 core and Earth",'Part List'!$A:$G,3,FALSE)*F15,
IF(M15="Branch Box",VLOOKUP(M15,_VRF!L:N,2,FALSE)
+VLOOKUP($N$1,_VRF!L:N,2,FALSE)*AE15
+VLOOKUP($O$1,_VRF!L:N,2,FALSE)*AF15
+VLOOKUP($P$1,_VRF!L:N,2,FALSE)*AG15
+VLOOKUP($Q$1,_VRF!L:N,2,FALSE)*AH15
+VLOOKUP($R$1,_VRF!L:N,2,FALSE)*AI15
+(VLOOKUP("2.5mm Twin and Earth",'Part List'!$A:$G,3,FALSE)+VLOOKUP("7030 2 pair TCAS7302P",'Part List'!$A:$G,3,FALSE))*F15,
+IF(NOT(M15="Split"),IF(OR(M15="Outdoor",M15="Indoor"),0,VLOOKUP(AD15,_VRF!L:N,2,FALSE)+VLOOKUP(M15,_VRF!L:N,2,FALSE))
+VLOOKUP($N$1,_VRF!L:N,2,FALSE)*AE15
+VLOOKUP($O$1,_VRF!L:N,2,FALSE)*AF15
+VLOOKUP($P$1,_VRF!L:N,2,FALSE)*AG15
+VLOOKUP($Q$1,_VRF!L:N,2,FALSE)*AH15
+VLOOKUP($R$1,_VRF!L:N,2,FALSE)*AI15
+VLOOKUP(IF(M15="Outdoor","4mm Cable 3 core and Earth","2.5mm Twin and Earth"),'Part List'!$A:$G,3,FALSE)*F15
+IF(M15="Indoor",VLOOKUP("7030 2 pair TCAS7302P",'Part List'!$A:$G,3,FALSE),0)*F15
+VLOOKUP(IF(M15="Outdoor",IF(L15="Local","Outdoor_Local","Outdoor_MSSB"),0),_VRF!L:N,2,FALSE)
+IF(M15="Indoor",VLOOKUP(M15,_VRF!L:N,2,FALSE),0),
VLOOKUP(M15,_VRF!L:N,2,FALSE)
+(VLOOKUP("7030 2 pair TCAS7302P",'Part List'!$A:$G,3,FALSE)+2*VLOOKUP("2.5mm Twin and Earth",'Part List'!$A:$G,3,FALSE))*F15
+VLOOKUP($N$1,_VRF!L:N,2,FALSE)*AE15
+VLOOKUP($O$1,_VRF!L:N,2,FALSE)*AF15
+VLOOKUP($P$1,_VRF!L:N,2,FALSE)*AG15
+VLOOKUP($Q$1,_VRF!L:N,2,FALSE)*AH15
+VLOOKUP($R$1,_VRF!L:N,2,FALSE)*AI15))))</f>
        <v>#N/A</v>
      </c>
      <c r="J15" s="441" t="e">
        <f>F15*VLOOKUP("7030 2 pair TCAS7302P",'Part List'!$A:$G,5,FALSE)*AE15+
+
IF(M15="Controller",VLOOKUP(M15,_VRF!L:N,3,FALSE)
+VLOOKUP($N$1,_VRF!L:N,3,FALSE)*AE15
+VLOOKUP($O$1,_VRF!L:N,3,FALSE)*AF15
+VLOOKUP($P$1,_VRF!L:N,3,FALSE)*AG15
+VLOOKUP($Q$1,_VRF!L:N,3,FALSE)*AH15
+VLOOKUP($R$1,_VRF!L:N,3,FALSE)*AI15
+(VLOOKUP("Network cable",'Part List'!$A:$G,5,FALSE)+VLOOKUP("2.5mm Twin and Earth",'Part List'!$A:$G,5,FALSE))*F15,
IF(M15="PAC",VLOOKUP(M15,_VRF!L:N,3,FALSE)
+VLOOKUP($N$1,_VRF!L:N,3,FALSE)*AE15
+VLOOKUP($O$1,_VRF!L:N,3,FALSE)*AF15
+VLOOKUP($P$1,_VRF!L:N,3,FALSE)*AG15
+VLOOKUP($Q$1,_VRF!L:N,3,FALSE)*AH15
+VLOOKUP($R$1,_VRF!L:N,3,FALSE)*AI15
+VLOOKUP("6mm Cable 3 core and Earth",'Part List'!$A:$G,5,FALSE)*F15,
IF(M15="Branch Box",VLOOKUP(M15,_VRF!L:N,3,FALSE)
+VLOOKUP($N$1,_VRF!L:N,3,FALSE)*AE15
+VLOOKUP($O$1,_VRF!L:N,3,FALSE)*AF15
+VLOOKUP($P$1,_VRF!L:N,3,FALSE)*AG15
+VLOOKUP($Q$1,_VRF!L:N,3,FALSE)*AH15
+VLOOKUP($R$1,_VRF!L:N,3,FALSE)*AI15
+(VLOOKUP("2.5mm Twin and Earth",'Part List'!$A:$G,5,FALSE)+VLOOKUP("7030 2 pair TCAS7302P",'Part List'!$A:$G,5,FALSE))*F15,
+IF(NOT(M15="Split"),IF(OR(M15="Outdoor",M15="Indoor"),0,VLOOKUP(AD15,_VRF!L:N,3,FALSE)+VLOOKUP(M15,_VRF!L:N,3,FALSE))
+VLOOKUP($N$1,_VRF!L:N,3,FALSE)*AE15
+VLOOKUP($O$1,_VRF!L:N,3,FALSE)*AF15
+VLOOKUP($P$1,_VRF!L:N,3,FALSE)*AG15
+VLOOKUP($Q$1,_VRF!L:N,3,FALSE)*AH15
+VLOOKUP($R$1,_VRF!L:N,3,FALSE)*AI15
+VLOOKUP(IF(M15="Outdoor","4mm Cable 3 core and Earth","2.5mm Twin and Earth"),'Part List'!$A:$G,5,FALSE)*F15
+IF(M15="Indoor",VLOOKUP("7030 2 pair TCAS7302P",'Part List'!$A:$G,5,FALSE),0)*F15
+VLOOKUP(IF(M15="Outdoor",IF(L15="Local","Outdoor_Local","Outdoor_MSSB"),0),_VRF!L:N,3,FALSE)
+IF(M15="Indoor",VLOOKUP(M15,_VRF!L:N,3,FALSE),0),
VLOOKUP(M15,_VRF!L:N,3,FALSE)
+(VLOOKUP("7030 2 pair TCAS7302P",'Part List'!$A:$G,5,FALSE)+2*VLOOKUP("2.5mm Twin and Earth",'Part List'!$A:$G,5,FALSE))*F15
+VLOOKUP($N$1,_VRF!L:N,3,FALSE)*AE15
+VLOOKUP($O$1,_VRF!L:N,3,FALSE)*AF15
+VLOOKUP($P$1,_VRF!L:N,3,FALSE)*AG15
+VLOOKUP($Q$1,_VRF!L:N,3,FALSE)*AH15
+VLOOKUP($R$1,_VRF!L:N,3,FALSE)*AI15))))</f>
        <v>#N/A</v>
      </c>
      <c r="K15" s="430" t="e">
        <f>_xlfn.CONCAT(VLOOKUP(M15,_VRF!$A$39:$C$44,3,FALSE), "-",
IF(N15="Yes", 1, 0)*X15, IF(O15="Yes", 1, 0)*Y15, IF(P15="Yes", 1, 0)*Z15, AA15*IF(Q15="Yes", 1, 0),IF(R15="Yes", 1, 0)*AB15,IF(W15 = 1, IF(L15="Local", "-L", "-M"),""))</f>
        <v>#N/A</v>
      </c>
      <c r="L15" s="432" t="s">
        <v>678</v>
      </c>
      <c r="M15" s="432"/>
      <c r="N15" s="440"/>
      <c r="O15" s="440"/>
      <c r="P15" s="440"/>
      <c r="Q15" s="440"/>
      <c r="R15" s="440"/>
      <c r="S15" s="114" t="str">
        <f t="shared" si="7"/>
        <v/>
      </c>
      <c r="W15" s="114" t="e">
        <f>VLOOKUP($M15,_VRF!$A$26:$G$31, 2, FALSE)</f>
        <v>#N/A</v>
      </c>
      <c r="X15" s="114" t="e">
        <f>VLOOKUP($M15,_VRF!$A$26:$G$31, 3, FALSE)</f>
        <v>#N/A</v>
      </c>
      <c r="Y15" s="114" t="e">
        <f>VLOOKUP($M15,_VRF!$A$26:$G$31, 4, FALSE)</f>
        <v>#N/A</v>
      </c>
      <c r="Z15" s="114" t="e">
        <f>VLOOKUP($M15,_VRF!$A$26:$G$31, 5, FALSE)</f>
        <v>#N/A</v>
      </c>
      <c r="AA15" s="114" t="e">
        <f>VLOOKUP($M15,_VRF!$A$26:$G$31, 6, FALSE)</f>
        <v>#N/A</v>
      </c>
      <c r="AB15" s="114" t="e">
        <f>VLOOKUP($M15,_VRF!$A$26:$G$31, 7, FALSE)</f>
        <v>#N/A</v>
      </c>
      <c r="AD15" s="114" t="e">
        <f t="shared" si="8"/>
        <v>#N/A</v>
      </c>
      <c r="AE15" s="114">
        <f t="shared" si="9"/>
        <v>0</v>
      </c>
      <c r="AF15" s="114">
        <f t="shared" si="1"/>
        <v>0</v>
      </c>
      <c r="AG15" s="114">
        <f t="shared" si="1"/>
        <v>0</v>
      </c>
      <c r="AH15" s="114">
        <f t="shared" si="1"/>
        <v>0</v>
      </c>
      <c r="AI15" s="114">
        <f t="shared" si="1"/>
        <v>0</v>
      </c>
      <c r="AM15" s="432" t="str">
        <f t="shared" si="10"/>
        <v/>
      </c>
      <c r="AN15" s="114">
        <f t="shared" si="2"/>
        <v>0</v>
      </c>
      <c r="AO15" s="114" t="str">
        <f>_xlfn.CONCAT(E15," (",VLOOKUP(E15,[1]Backend!C:D,2,FALSE),")")</f>
        <v xml:space="preserve"> (Zero)</v>
      </c>
      <c r="AP15" s="114" t="str">
        <f>_xlfn.CONCAT(AN15," - Electrical power supply and controls to ",AO15," ",VLOOKUP(M15,_VRF!$A$39:$G$48,2,FALSE))</f>
        <v xml:space="preserve">0 - Electrical power supply and controls to  (Zero) </v>
      </c>
      <c r="AQ15" s="114" t="str">
        <f t="shared" si="11"/>
        <v xml:space="preserve"> </v>
      </c>
      <c r="AR15" s="114" t="str">
        <f t="shared" si="12"/>
        <v/>
      </c>
      <c r="AS15" s="114" t="e">
        <f t="shared" si="13"/>
        <v>#N/A</v>
      </c>
      <c r="AT15" s="114" t="e">
        <f t="shared" si="14"/>
        <v>#N/A</v>
      </c>
      <c r="AU15" s="114" t="str">
        <f t="shared" si="15"/>
        <v>0.1 - This includes supply and install of power and controls.</v>
      </c>
      <c r="AV15" s="114" t="str">
        <f>_xlfn.CONCAT(AN15,".2 - Power for system includes: ",VLOOKUP(L15,_VRF!L:O,4,FALSE))</f>
        <v xml:space="preserve">0.2 - Power for system includes: CB and cabling to unit from MSSB, and local isolator, </v>
      </c>
      <c r="AW15" s="114" t="e">
        <f t="shared" si="16"/>
        <v>#N/A</v>
      </c>
      <c r="AX15" s="114" t="str">
        <f>_xlfn.CONCAT(
IF(M15="Yes",VLOOKUP(M$1,_VRF!L:Z,4,FALSE),""),
IF(N15="Yes",VLOOKUP(N$1,_VRF!L:Z,4,FALSE),""),
IF(O15="Yes",VLOOKUP(O$1,_VRF!L:Z,4,FALSE),""),
IF(P15="Yes",VLOOKUP(P$1,_VRF!L:Z,4,FALSE),""),
IF(Q15="Yes",VLOOKUP(Q$1,_VRF!L:Z,4,FALSE),""),
IF(R15="Yes",VLOOKUP(R$1,_VRF!L:Z,4,FALSE),""))</f>
        <v/>
      </c>
      <c r="AZ15" s="114" t="str">
        <f>_xlfn.CONCAT(VLOOKUP(M15,_VRF!$A$39:$G$48,2,FALSE),AQ15,AR15,)</f>
        <v xml:space="preserve"> </v>
      </c>
    </row>
    <row r="16" spans="1:52" x14ac:dyDescent="0.4">
      <c r="A16" s="429" t="str">
        <f t="shared" si="3"/>
        <v>INVALID</v>
      </c>
      <c r="B16" s="430" t="str">
        <f t="shared" si="4"/>
        <v>VRF 15</v>
      </c>
      <c r="C16" s="431">
        <f t="shared" si="5"/>
        <v>0</v>
      </c>
      <c r="D16" s="430">
        <f t="shared" si="6"/>
        <v>0</v>
      </c>
      <c r="E16" s="430"/>
      <c r="F16" s="430">
        <f t="shared" si="0"/>
        <v>20</v>
      </c>
      <c r="G16" s="440"/>
      <c r="H16" s="441"/>
      <c r="I16" s="440" t="e">
        <f>F16*VLOOKUP("7030 2 pair TCAS7302P",'Part List'!$A:$G,3,FALSE)*AE16
+IF(M16="Controller",VLOOKUP(M16,_VRF!L:N,2,FALSE)
+VLOOKUP($N$1,_VRF!L:N,2,FALSE)*AE16
+VLOOKUP($O$1,_VRF!L:N,2,FALSE)*AF16
+VLOOKUP($P$1,_VRF!L:N,2,FALSE)*AG16
+VLOOKUP($Q$1,_VRF!L:N,2,FALSE)*AH16
+VLOOKUP($R$1,_VRF!L:N,2,FALSE)*AI16
+(VLOOKUP("Network cable",'Part List'!$A:$G,3,FALSE)+VLOOKUP("2.5mm Twin and Earth",'Part List'!$A:$G,3,FALSE))*F16,
IF(M16="PAC",VLOOKUP(M16,_VRF!L:N,2,FALSE)
+VLOOKUP($N$1,_VRF!L:N,2,FALSE)*AE16
+VLOOKUP($O$1,_VRF!L:N,2,FALSE)*AF16
+VLOOKUP($P$1,_VRF!L:N,2,FALSE)*AG16
+VLOOKUP($Q$1,_VRF!L:N,2,FALSE)*AH16
+VLOOKUP($R$1,_VRF!L:N,2,FALSE)*AI16
+VLOOKUP("6mm Cable 3 core and Earth",'Part List'!$A:$G,3,FALSE)*F16,
IF(M16="Branch Box",VLOOKUP(M16,_VRF!L:N,2,FALSE)
+VLOOKUP($N$1,_VRF!L:N,2,FALSE)*AE16
+VLOOKUP($O$1,_VRF!L:N,2,FALSE)*AF16
+VLOOKUP($P$1,_VRF!L:N,2,FALSE)*AG16
+VLOOKUP($Q$1,_VRF!L:N,2,FALSE)*AH16
+VLOOKUP($R$1,_VRF!L:N,2,FALSE)*AI16
+(VLOOKUP("2.5mm Twin and Earth",'Part List'!$A:$G,3,FALSE)+VLOOKUP("7030 2 pair TCAS7302P",'Part List'!$A:$G,3,FALSE))*F16,
+IF(NOT(M16="Split"),IF(OR(M16="Outdoor",M16="Indoor"),0,VLOOKUP(AD16,_VRF!L:N,2,FALSE)+VLOOKUP(M16,_VRF!L:N,2,FALSE))
+VLOOKUP($N$1,_VRF!L:N,2,FALSE)*AE16
+VLOOKUP($O$1,_VRF!L:N,2,FALSE)*AF16
+VLOOKUP($P$1,_VRF!L:N,2,FALSE)*AG16
+VLOOKUP($Q$1,_VRF!L:N,2,FALSE)*AH16
+VLOOKUP($R$1,_VRF!L:N,2,FALSE)*AI16
+VLOOKUP(IF(M16="Outdoor","4mm Cable 3 core and Earth","2.5mm Twin and Earth"),'Part List'!$A:$G,3,FALSE)*F16
+IF(M16="Indoor",VLOOKUP("7030 2 pair TCAS7302P",'Part List'!$A:$G,3,FALSE),0)*F16
+VLOOKUP(IF(M16="Outdoor",IF(L16="Local","Outdoor_Local","Outdoor_MSSB"),0),_VRF!L:N,2,FALSE)
+IF(M16="Indoor",VLOOKUP(M16,_VRF!L:N,2,FALSE),0),
VLOOKUP(M16,_VRF!L:N,2,FALSE)
+(VLOOKUP("7030 2 pair TCAS7302P",'Part List'!$A:$G,3,FALSE)+2*VLOOKUP("2.5mm Twin and Earth",'Part List'!$A:$G,3,FALSE))*F16
+VLOOKUP($N$1,_VRF!L:N,2,FALSE)*AE16
+VLOOKUP($O$1,_VRF!L:N,2,FALSE)*AF16
+VLOOKUP($P$1,_VRF!L:N,2,FALSE)*AG16
+VLOOKUP($Q$1,_VRF!L:N,2,FALSE)*AH16
+VLOOKUP($R$1,_VRF!L:N,2,FALSE)*AI16))))</f>
        <v>#N/A</v>
      </c>
      <c r="J16" s="441" t="e">
        <f>F16*VLOOKUP("7030 2 pair TCAS7302P",'Part List'!$A:$G,5,FALSE)*AE16+
+
IF(M16="Controller",VLOOKUP(M16,_VRF!L:N,3,FALSE)
+VLOOKUP($N$1,_VRF!L:N,3,FALSE)*AE16
+VLOOKUP($O$1,_VRF!L:N,3,FALSE)*AF16
+VLOOKUP($P$1,_VRF!L:N,3,FALSE)*AG16
+VLOOKUP($Q$1,_VRF!L:N,3,FALSE)*AH16
+VLOOKUP($R$1,_VRF!L:N,3,FALSE)*AI16
+(VLOOKUP("Network cable",'Part List'!$A:$G,5,FALSE)+VLOOKUP("2.5mm Twin and Earth",'Part List'!$A:$G,5,FALSE))*F16,
IF(M16="PAC",VLOOKUP(M16,_VRF!L:N,3,FALSE)
+VLOOKUP($N$1,_VRF!L:N,3,FALSE)*AE16
+VLOOKUP($O$1,_VRF!L:N,3,FALSE)*AF16
+VLOOKUP($P$1,_VRF!L:N,3,FALSE)*AG16
+VLOOKUP($Q$1,_VRF!L:N,3,FALSE)*AH16
+VLOOKUP($R$1,_VRF!L:N,3,FALSE)*AI16
+VLOOKUP("6mm Cable 3 core and Earth",'Part List'!$A:$G,5,FALSE)*F16,
IF(M16="Branch Box",VLOOKUP(M16,_VRF!L:N,3,FALSE)
+VLOOKUP($N$1,_VRF!L:N,3,FALSE)*AE16
+VLOOKUP($O$1,_VRF!L:N,3,FALSE)*AF16
+VLOOKUP($P$1,_VRF!L:N,3,FALSE)*AG16
+VLOOKUP($Q$1,_VRF!L:N,3,FALSE)*AH16
+VLOOKUP($R$1,_VRF!L:N,3,FALSE)*AI16
+(VLOOKUP("2.5mm Twin and Earth",'Part List'!$A:$G,5,FALSE)+VLOOKUP("7030 2 pair TCAS7302P",'Part List'!$A:$G,5,FALSE))*F16,
+IF(NOT(M16="Split"),IF(OR(M16="Outdoor",M16="Indoor"),0,VLOOKUP(AD16,_VRF!L:N,3,FALSE)+VLOOKUP(M16,_VRF!L:N,3,FALSE))
+VLOOKUP($N$1,_VRF!L:N,3,FALSE)*AE16
+VLOOKUP($O$1,_VRF!L:N,3,FALSE)*AF16
+VLOOKUP($P$1,_VRF!L:N,3,FALSE)*AG16
+VLOOKUP($Q$1,_VRF!L:N,3,FALSE)*AH16
+VLOOKUP($R$1,_VRF!L:N,3,FALSE)*AI16
+VLOOKUP(IF(M16="Outdoor","4mm Cable 3 core and Earth","2.5mm Twin and Earth"),'Part List'!$A:$G,5,FALSE)*F16
+IF(M16="Indoor",VLOOKUP("7030 2 pair TCAS7302P",'Part List'!$A:$G,5,FALSE),0)*F16
+VLOOKUP(IF(M16="Outdoor",IF(L16="Local","Outdoor_Local","Outdoor_MSSB"),0),_VRF!L:N,3,FALSE)
+IF(M16="Indoor",VLOOKUP(M16,_VRF!L:N,3,FALSE),0),
VLOOKUP(M16,_VRF!L:N,3,FALSE)
+(VLOOKUP("7030 2 pair TCAS7302P",'Part List'!$A:$G,5,FALSE)+2*VLOOKUP("2.5mm Twin and Earth",'Part List'!$A:$G,5,FALSE))*F16
+VLOOKUP($N$1,_VRF!L:N,3,FALSE)*AE16
+VLOOKUP($O$1,_VRF!L:N,3,FALSE)*AF16
+VLOOKUP($P$1,_VRF!L:N,3,FALSE)*AG16
+VLOOKUP($Q$1,_VRF!L:N,3,FALSE)*AH16
+VLOOKUP($R$1,_VRF!L:N,3,FALSE)*AI16))))</f>
        <v>#N/A</v>
      </c>
      <c r="K16" s="430" t="e">
        <f>_xlfn.CONCAT(VLOOKUP(M16,_VRF!$A$39:$C$44,3,FALSE), "-",
IF(N16="Yes", 1, 0)*X16, IF(O16="Yes", 1, 0)*Y16, IF(P16="Yes", 1, 0)*Z16, AA16*IF(Q16="Yes", 1, 0),IF(R16="Yes", 1, 0)*AB16,IF(W16 = 1, IF(L16="Local", "-L", "-M"),""))</f>
        <v>#N/A</v>
      </c>
      <c r="L16" s="432" t="s">
        <v>678</v>
      </c>
      <c r="M16" s="432"/>
      <c r="N16" s="440"/>
      <c r="O16" s="440"/>
      <c r="P16" s="440"/>
      <c r="Q16" s="440"/>
      <c r="R16" s="440"/>
      <c r="S16" s="114" t="str">
        <f t="shared" si="7"/>
        <v/>
      </c>
      <c r="W16" s="114" t="e">
        <f>VLOOKUP($M16,_VRF!$A$26:$G$31, 2, FALSE)</f>
        <v>#N/A</v>
      </c>
      <c r="X16" s="114" t="e">
        <f>VLOOKUP($M16,_VRF!$A$26:$G$31, 3, FALSE)</f>
        <v>#N/A</v>
      </c>
      <c r="Y16" s="114" t="e">
        <f>VLOOKUP($M16,_VRF!$A$26:$G$31, 4, FALSE)</f>
        <v>#N/A</v>
      </c>
      <c r="Z16" s="114" t="e">
        <f>VLOOKUP($M16,_VRF!$A$26:$G$31, 5, FALSE)</f>
        <v>#N/A</v>
      </c>
      <c r="AA16" s="114" t="e">
        <f>VLOOKUP($M16,_VRF!$A$26:$G$31, 6, FALSE)</f>
        <v>#N/A</v>
      </c>
      <c r="AB16" s="114" t="e">
        <f>VLOOKUP($M16,_VRF!$A$26:$G$31, 7, FALSE)</f>
        <v>#N/A</v>
      </c>
      <c r="AD16" s="114" t="e">
        <f t="shared" si="8"/>
        <v>#N/A</v>
      </c>
      <c r="AE16" s="114">
        <f t="shared" si="9"/>
        <v>0</v>
      </c>
      <c r="AF16" s="114">
        <f t="shared" si="1"/>
        <v>0</v>
      </c>
      <c r="AG16" s="114">
        <f t="shared" si="1"/>
        <v>0</v>
      </c>
      <c r="AH16" s="114">
        <f t="shared" si="1"/>
        <v>0</v>
      </c>
      <c r="AI16" s="114">
        <f t="shared" si="1"/>
        <v>0</v>
      </c>
      <c r="AM16" s="432" t="str">
        <f t="shared" si="10"/>
        <v/>
      </c>
      <c r="AN16" s="114">
        <f t="shared" si="2"/>
        <v>0</v>
      </c>
      <c r="AO16" s="114" t="str">
        <f>_xlfn.CONCAT(E16," (",VLOOKUP(E16,[1]Backend!C:D,2,FALSE),")")</f>
        <v xml:space="preserve"> (Zero)</v>
      </c>
      <c r="AP16" s="114" t="str">
        <f>_xlfn.CONCAT(AN16," - Electrical power supply and controls to ",AO16," ",VLOOKUP(M16,_VRF!$A$39:$G$48,2,FALSE))</f>
        <v xml:space="preserve">0 - Electrical power supply and controls to  (Zero) </v>
      </c>
      <c r="AQ16" s="114" t="str">
        <f t="shared" si="11"/>
        <v xml:space="preserve"> </v>
      </c>
      <c r="AR16" s="114" t="str">
        <f t="shared" si="12"/>
        <v/>
      </c>
      <c r="AS16" s="114" t="e">
        <f t="shared" si="13"/>
        <v>#N/A</v>
      </c>
      <c r="AT16" s="114" t="e">
        <f t="shared" si="14"/>
        <v>#N/A</v>
      </c>
      <c r="AU16" s="114" t="str">
        <f t="shared" si="15"/>
        <v>0.1 - This includes supply and install of power and controls.</v>
      </c>
      <c r="AV16" s="114" t="str">
        <f>_xlfn.CONCAT(AN16,".2 - Power for system includes: ",VLOOKUP(L16,_VRF!L:O,4,FALSE))</f>
        <v xml:space="preserve">0.2 - Power for system includes: CB and cabling to unit from MSSB, and local isolator, </v>
      </c>
      <c r="AW16" s="114" t="e">
        <f t="shared" si="16"/>
        <v>#N/A</v>
      </c>
      <c r="AX16" s="114" t="str">
        <f>_xlfn.CONCAT(
IF(M16="Yes",VLOOKUP(M$1,_VRF!L:Z,4,FALSE),""),
IF(N16="Yes",VLOOKUP(N$1,_VRF!L:Z,4,FALSE),""),
IF(O16="Yes",VLOOKUP(O$1,_VRF!L:Z,4,FALSE),""),
IF(P16="Yes",VLOOKUP(P$1,_VRF!L:Z,4,FALSE),""),
IF(Q16="Yes",VLOOKUP(Q$1,_VRF!L:Z,4,FALSE),""),
IF(R16="Yes",VLOOKUP(R$1,_VRF!L:Z,4,FALSE),""))</f>
        <v/>
      </c>
      <c r="AZ16" s="114" t="str">
        <f>_xlfn.CONCAT(VLOOKUP(M16,_VRF!$A$39:$G$48,2,FALSE),AQ16,AR16,)</f>
        <v xml:space="preserve"> </v>
      </c>
    </row>
    <row r="17" spans="1:52" x14ac:dyDescent="0.4">
      <c r="A17" s="429" t="str">
        <f t="shared" si="3"/>
        <v>INVALID</v>
      </c>
      <c r="B17" s="430" t="str">
        <f t="shared" si="4"/>
        <v>VRF 16</v>
      </c>
      <c r="C17" s="431">
        <f t="shared" si="5"/>
        <v>0</v>
      </c>
      <c r="D17" s="430">
        <f t="shared" si="6"/>
        <v>0</v>
      </c>
      <c r="E17" s="430"/>
      <c r="F17" s="430">
        <f t="shared" si="0"/>
        <v>20</v>
      </c>
      <c r="G17" s="440"/>
      <c r="H17" s="441"/>
      <c r="I17" s="440" t="e">
        <f>F17*VLOOKUP("7030 2 pair TCAS7302P",'Part List'!$A:$G,3,FALSE)*AE17
+IF(M17="Controller",VLOOKUP(M17,_VRF!L:N,2,FALSE)
+VLOOKUP($N$1,_VRF!L:N,2,FALSE)*AE17
+VLOOKUP($O$1,_VRF!L:N,2,FALSE)*AF17
+VLOOKUP($P$1,_VRF!L:N,2,FALSE)*AG17
+VLOOKUP($Q$1,_VRF!L:N,2,FALSE)*AH17
+VLOOKUP($R$1,_VRF!L:N,2,FALSE)*AI17
+(VLOOKUP("Network cable",'Part List'!$A:$G,3,FALSE)+VLOOKUP("2.5mm Twin and Earth",'Part List'!$A:$G,3,FALSE))*F17,
IF(M17="PAC",VLOOKUP(M17,_VRF!L:N,2,FALSE)
+VLOOKUP($N$1,_VRF!L:N,2,FALSE)*AE17
+VLOOKUP($O$1,_VRF!L:N,2,FALSE)*AF17
+VLOOKUP($P$1,_VRF!L:N,2,FALSE)*AG17
+VLOOKUP($Q$1,_VRF!L:N,2,FALSE)*AH17
+VLOOKUP($R$1,_VRF!L:N,2,FALSE)*AI17
+VLOOKUP("6mm Cable 3 core and Earth",'Part List'!$A:$G,3,FALSE)*F17,
IF(M17="Branch Box",VLOOKUP(M17,_VRF!L:N,2,FALSE)
+VLOOKUP($N$1,_VRF!L:N,2,FALSE)*AE17
+VLOOKUP($O$1,_VRF!L:N,2,FALSE)*AF17
+VLOOKUP($P$1,_VRF!L:N,2,FALSE)*AG17
+VLOOKUP($Q$1,_VRF!L:N,2,FALSE)*AH17
+VLOOKUP($R$1,_VRF!L:N,2,FALSE)*AI17
+(VLOOKUP("2.5mm Twin and Earth",'Part List'!$A:$G,3,FALSE)+VLOOKUP("7030 2 pair TCAS7302P",'Part List'!$A:$G,3,FALSE))*F17,
+IF(NOT(M17="Split"),IF(OR(M17="Outdoor",M17="Indoor"),0,VLOOKUP(AD17,_VRF!L:N,2,FALSE)+VLOOKUP(M17,_VRF!L:N,2,FALSE))
+VLOOKUP($N$1,_VRF!L:N,2,FALSE)*AE17
+VLOOKUP($O$1,_VRF!L:N,2,FALSE)*AF17
+VLOOKUP($P$1,_VRF!L:N,2,FALSE)*AG17
+VLOOKUP($Q$1,_VRF!L:N,2,FALSE)*AH17
+VLOOKUP($R$1,_VRF!L:N,2,FALSE)*AI17
+VLOOKUP(IF(M17="Outdoor","4mm Cable 3 core and Earth","2.5mm Twin and Earth"),'Part List'!$A:$G,3,FALSE)*F17
+IF(M17="Indoor",VLOOKUP("7030 2 pair TCAS7302P",'Part List'!$A:$G,3,FALSE),0)*F17
+VLOOKUP(IF(M17="Outdoor",IF(L17="Local","Outdoor_Local","Outdoor_MSSB"),0),_VRF!L:N,2,FALSE)
+IF(M17="Indoor",VLOOKUP(M17,_VRF!L:N,2,FALSE),0),
VLOOKUP(M17,_VRF!L:N,2,FALSE)
+(VLOOKUP("7030 2 pair TCAS7302P",'Part List'!$A:$G,3,FALSE)+2*VLOOKUP("2.5mm Twin and Earth",'Part List'!$A:$G,3,FALSE))*F17
+VLOOKUP($N$1,_VRF!L:N,2,FALSE)*AE17
+VLOOKUP($O$1,_VRF!L:N,2,FALSE)*AF17
+VLOOKUP($P$1,_VRF!L:N,2,FALSE)*AG17
+VLOOKUP($Q$1,_VRF!L:N,2,FALSE)*AH17
+VLOOKUP($R$1,_VRF!L:N,2,FALSE)*AI17))))</f>
        <v>#N/A</v>
      </c>
      <c r="J17" s="441" t="e">
        <f>F17*VLOOKUP("7030 2 pair TCAS7302P",'Part List'!$A:$G,5,FALSE)*AE17+
+
IF(M17="Controller",VLOOKUP(M17,_VRF!L:N,3,FALSE)
+VLOOKUP($N$1,_VRF!L:N,3,FALSE)*AE17
+VLOOKUP($O$1,_VRF!L:N,3,FALSE)*AF17
+VLOOKUP($P$1,_VRF!L:N,3,FALSE)*AG17
+VLOOKUP($Q$1,_VRF!L:N,3,FALSE)*AH17
+VLOOKUP($R$1,_VRF!L:N,3,FALSE)*AI17
+(VLOOKUP("Network cable",'Part List'!$A:$G,5,FALSE)+VLOOKUP("2.5mm Twin and Earth",'Part List'!$A:$G,5,FALSE))*F17,
IF(M17="PAC",VLOOKUP(M17,_VRF!L:N,3,FALSE)
+VLOOKUP($N$1,_VRF!L:N,3,FALSE)*AE17
+VLOOKUP($O$1,_VRF!L:N,3,FALSE)*AF17
+VLOOKUP($P$1,_VRF!L:N,3,FALSE)*AG17
+VLOOKUP($Q$1,_VRF!L:N,3,FALSE)*AH17
+VLOOKUP($R$1,_VRF!L:N,3,FALSE)*AI17
+VLOOKUP("6mm Cable 3 core and Earth",'Part List'!$A:$G,5,FALSE)*F17,
IF(M17="Branch Box",VLOOKUP(M17,_VRF!L:N,3,FALSE)
+VLOOKUP($N$1,_VRF!L:N,3,FALSE)*AE17
+VLOOKUP($O$1,_VRF!L:N,3,FALSE)*AF17
+VLOOKUP($P$1,_VRF!L:N,3,FALSE)*AG17
+VLOOKUP($Q$1,_VRF!L:N,3,FALSE)*AH17
+VLOOKUP($R$1,_VRF!L:N,3,FALSE)*AI17
+(VLOOKUP("2.5mm Twin and Earth",'Part List'!$A:$G,5,FALSE)+VLOOKUP("7030 2 pair TCAS7302P",'Part List'!$A:$G,5,FALSE))*F17,
+IF(NOT(M17="Split"),IF(OR(M17="Outdoor",M17="Indoor"),0,VLOOKUP(AD17,_VRF!L:N,3,FALSE)+VLOOKUP(M17,_VRF!L:N,3,FALSE))
+VLOOKUP($N$1,_VRF!L:N,3,FALSE)*AE17
+VLOOKUP($O$1,_VRF!L:N,3,FALSE)*AF17
+VLOOKUP($P$1,_VRF!L:N,3,FALSE)*AG17
+VLOOKUP($Q$1,_VRF!L:N,3,FALSE)*AH17
+VLOOKUP($R$1,_VRF!L:N,3,FALSE)*AI17
+VLOOKUP(IF(M17="Outdoor","4mm Cable 3 core and Earth","2.5mm Twin and Earth"),'Part List'!$A:$G,5,FALSE)*F17
+IF(M17="Indoor",VLOOKUP("7030 2 pair TCAS7302P",'Part List'!$A:$G,5,FALSE),0)*F17
+VLOOKUP(IF(M17="Outdoor",IF(L17="Local","Outdoor_Local","Outdoor_MSSB"),0),_VRF!L:N,3,FALSE)
+IF(M17="Indoor",VLOOKUP(M17,_VRF!L:N,3,FALSE),0),
VLOOKUP(M17,_VRF!L:N,3,FALSE)
+(VLOOKUP("7030 2 pair TCAS7302P",'Part List'!$A:$G,5,FALSE)+2*VLOOKUP("2.5mm Twin and Earth",'Part List'!$A:$G,5,FALSE))*F17
+VLOOKUP($N$1,_VRF!L:N,3,FALSE)*AE17
+VLOOKUP($O$1,_VRF!L:N,3,FALSE)*AF17
+VLOOKUP($P$1,_VRF!L:N,3,FALSE)*AG17
+VLOOKUP($Q$1,_VRF!L:N,3,FALSE)*AH17
+VLOOKUP($R$1,_VRF!L:N,3,FALSE)*AI17))))</f>
        <v>#N/A</v>
      </c>
      <c r="K17" s="430" t="e">
        <f>_xlfn.CONCAT(VLOOKUP(M17,_VRF!$A$39:$C$44,3,FALSE), "-",
IF(N17="Yes", 1, 0)*X17, IF(O17="Yes", 1, 0)*Y17, IF(P17="Yes", 1, 0)*Z17, AA17*IF(Q17="Yes", 1, 0),IF(R17="Yes", 1, 0)*AB17,IF(W17 = 1, IF(L17="Local", "-L", "-M"),""))</f>
        <v>#N/A</v>
      </c>
      <c r="L17" s="432" t="s">
        <v>678</v>
      </c>
      <c r="M17" s="432"/>
      <c r="N17" s="440"/>
      <c r="O17" s="440"/>
      <c r="P17" s="440"/>
      <c r="Q17" s="440"/>
      <c r="R17" s="440"/>
      <c r="S17" s="114" t="str">
        <f t="shared" si="7"/>
        <v/>
      </c>
      <c r="W17" s="114" t="e">
        <f>VLOOKUP($M17,_VRF!$A$26:$G$31, 2, FALSE)</f>
        <v>#N/A</v>
      </c>
      <c r="X17" s="114" t="e">
        <f>VLOOKUP($M17,_VRF!$A$26:$G$31, 3, FALSE)</f>
        <v>#N/A</v>
      </c>
      <c r="Y17" s="114" t="e">
        <f>VLOOKUP($M17,_VRF!$A$26:$G$31, 4, FALSE)</f>
        <v>#N/A</v>
      </c>
      <c r="Z17" s="114" t="e">
        <f>VLOOKUP($M17,_VRF!$A$26:$G$31, 5, FALSE)</f>
        <v>#N/A</v>
      </c>
      <c r="AA17" s="114" t="e">
        <f>VLOOKUP($M17,_VRF!$A$26:$G$31, 6, FALSE)</f>
        <v>#N/A</v>
      </c>
      <c r="AB17" s="114" t="e">
        <f>VLOOKUP($M17,_VRF!$A$26:$G$31, 7, FALSE)</f>
        <v>#N/A</v>
      </c>
      <c r="AD17" s="114" t="e">
        <f t="shared" si="8"/>
        <v>#N/A</v>
      </c>
      <c r="AE17" s="114">
        <f t="shared" si="9"/>
        <v>0</v>
      </c>
      <c r="AF17" s="114">
        <f t="shared" si="1"/>
        <v>0</v>
      </c>
      <c r="AG17" s="114">
        <f t="shared" si="1"/>
        <v>0</v>
      </c>
      <c r="AH17" s="114">
        <f t="shared" si="1"/>
        <v>0</v>
      </c>
      <c r="AI17" s="114">
        <f t="shared" si="1"/>
        <v>0</v>
      </c>
      <c r="AM17" s="432" t="str">
        <f t="shared" si="10"/>
        <v/>
      </c>
      <c r="AN17" s="114">
        <f t="shared" si="2"/>
        <v>0</v>
      </c>
      <c r="AO17" s="114" t="str">
        <f>_xlfn.CONCAT(E17," (",VLOOKUP(E17,[1]Backend!C:D,2,FALSE),")")</f>
        <v xml:space="preserve"> (Zero)</v>
      </c>
      <c r="AP17" s="114" t="str">
        <f>_xlfn.CONCAT(AN17," - Electrical power supply and controls to ",AO17," ",VLOOKUP(M17,_VRF!$A$39:$G$48,2,FALSE))</f>
        <v xml:space="preserve">0 - Electrical power supply and controls to  (Zero) </v>
      </c>
      <c r="AQ17" s="114" t="str">
        <f t="shared" si="11"/>
        <v xml:space="preserve"> </v>
      </c>
      <c r="AR17" s="114" t="str">
        <f t="shared" si="12"/>
        <v/>
      </c>
      <c r="AS17" s="114" t="e">
        <f t="shared" si="13"/>
        <v>#N/A</v>
      </c>
      <c r="AT17" s="114" t="e">
        <f t="shared" si="14"/>
        <v>#N/A</v>
      </c>
      <c r="AU17" s="114" t="str">
        <f t="shared" si="15"/>
        <v>0.1 - This includes supply and install of power and controls.</v>
      </c>
      <c r="AV17" s="114" t="str">
        <f>_xlfn.CONCAT(AN17,".2 - Power for system includes: ",VLOOKUP(L17,_VRF!L:O,4,FALSE))</f>
        <v xml:space="preserve">0.2 - Power for system includes: CB and cabling to unit from MSSB, and local isolator, </v>
      </c>
      <c r="AW17" s="114" t="e">
        <f t="shared" si="16"/>
        <v>#N/A</v>
      </c>
      <c r="AX17" s="114" t="str">
        <f>_xlfn.CONCAT(
IF(M17="Yes",VLOOKUP(M$1,_VRF!L:Z,4,FALSE),""),
IF(N17="Yes",VLOOKUP(N$1,_VRF!L:Z,4,FALSE),""),
IF(O17="Yes",VLOOKUP(O$1,_VRF!L:Z,4,FALSE),""),
IF(P17="Yes",VLOOKUP(P$1,_VRF!L:Z,4,FALSE),""),
IF(Q17="Yes",VLOOKUP(Q$1,_VRF!L:Z,4,FALSE),""),
IF(R17="Yes",VLOOKUP(R$1,_VRF!L:Z,4,FALSE),""))</f>
        <v/>
      </c>
      <c r="AZ17" s="114" t="str">
        <f>_xlfn.CONCAT(VLOOKUP(M17,_VRF!$A$39:$G$48,2,FALSE),AQ17,AR17,)</f>
        <v xml:space="preserve"> </v>
      </c>
    </row>
    <row r="18" spans="1:52" x14ac:dyDescent="0.4">
      <c r="A18" s="429" t="str">
        <f t="shared" si="3"/>
        <v>INVALID</v>
      </c>
      <c r="B18" s="430" t="str">
        <f t="shared" si="4"/>
        <v>VRF 17</v>
      </c>
      <c r="C18" s="431">
        <f t="shared" si="5"/>
        <v>0</v>
      </c>
      <c r="D18" s="430">
        <f t="shared" si="6"/>
        <v>0</v>
      </c>
      <c r="E18" s="430"/>
      <c r="F18" s="430">
        <f t="shared" si="0"/>
        <v>20</v>
      </c>
      <c r="G18" s="440"/>
      <c r="H18" s="441"/>
      <c r="I18" s="440" t="e">
        <f>F18*VLOOKUP("7030 2 pair TCAS7302P",'Part List'!$A:$G,3,FALSE)*AE18
+IF(M18="Controller",VLOOKUP(M18,_VRF!L:N,2,FALSE)
+VLOOKUP($N$1,_VRF!L:N,2,FALSE)*AE18
+VLOOKUP($O$1,_VRF!L:N,2,FALSE)*AF18
+VLOOKUP($P$1,_VRF!L:N,2,FALSE)*AG18
+VLOOKUP($Q$1,_VRF!L:N,2,FALSE)*AH18
+VLOOKUP($R$1,_VRF!L:N,2,FALSE)*AI18
+(VLOOKUP("Network cable",'Part List'!$A:$G,3,FALSE)+VLOOKUP("2.5mm Twin and Earth",'Part List'!$A:$G,3,FALSE))*F18,
IF(M18="PAC",VLOOKUP(M18,_VRF!L:N,2,FALSE)
+VLOOKUP($N$1,_VRF!L:N,2,FALSE)*AE18
+VLOOKUP($O$1,_VRF!L:N,2,FALSE)*AF18
+VLOOKUP($P$1,_VRF!L:N,2,FALSE)*AG18
+VLOOKUP($Q$1,_VRF!L:N,2,FALSE)*AH18
+VLOOKUP($R$1,_VRF!L:N,2,FALSE)*AI18
+VLOOKUP("6mm Cable 3 core and Earth",'Part List'!$A:$G,3,FALSE)*F18,
IF(M18="Branch Box",VLOOKUP(M18,_VRF!L:N,2,FALSE)
+VLOOKUP($N$1,_VRF!L:N,2,FALSE)*AE18
+VLOOKUP($O$1,_VRF!L:N,2,FALSE)*AF18
+VLOOKUP($P$1,_VRF!L:N,2,FALSE)*AG18
+VLOOKUP($Q$1,_VRF!L:N,2,FALSE)*AH18
+VLOOKUP($R$1,_VRF!L:N,2,FALSE)*AI18
+(VLOOKUP("2.5mm Twin and Earth",'Part List'!$A:$G,3,FALSE)+VLOOKUP("7030 2 pair TCAS7302P",'Part List'!$A:$G,3,FALSE))*F18,
+IF(NOT(M18="Split"),IF(OR(M18="Outdoor",M18="Indoor"),0,VLOOKUP(AD18,_VRF!L:N,2,FALSE)+VLOOKUP(M18,_VRF!L:N,2,FALSE))
+VLOOKUP($N$1,_VRF!L:N,2,FALSE)*AE18
+VLOOKUP($O$1,_VRF!L:N,2,FALSE)*AF18
+VLOOKUP($P$1,_VRF!L:N,2,FALSE)*AG18
+VLOOKUP($Q$1,_VRF!L:N,2,FALSE)*AH18
+VLOOKUP($R$1,_VRF!L:N,2,FALSE)*AI18
+VLOOKUP(IF(M18="Outdoor","4mm Cable 3 core and Earth","2.5mm Twin and Earth"),'Part List'!$A:$G,3,FALSE)*F18
+IF(M18="Indoor",VLOOKUP("7030 2 pair TCAS7302P",'Part List'!$A:$G,3,FALSE),0)*F18
+VLOOKUP(IF(M18="Outdoor",IF(L18="Local","Outdoor_Local","Outdoor_MSSB"),0),_VRF!L:N,2,FALSE)
+IF(M18="Indoor",VLOOKUP(M18,_VRF!L:N,2,FALSE),0),
VLOOKUP(M18,_VRF!L:N,2,FALSE)
+(VLOOKUP("7030 2 pair TCAS7302P",'Part List'!$A:$G,3,FALSE)+2*VLOOKUP("2.5mm Twin and Earth",'Part List'!$A:$G,3,FALSE))*F18
+VLOOKUP($N$1,_VRF!L:N,2,FALSE)*AE18
+VLOOKUP($O$1,_VRF!L:N,2,FALSE)*AF18
+VLOOKUP($P$1,_VRF!L:N,2,FALSE)*AG18
+VLOOKUP($Q$1,_VRF!L:N,2,FALSE)*AH18
+VLOOKUP($R$1,_VRF!L:N,2,FALSE)*AI18))))</f>
        <v>#N/A</v>
      </c>
      <c r="J18" s="441" t="e">
        <f>F18*VLOOKUP("7030 2 pair TCAS7302P",'Part List'!$A:$G,5,FALSE)*AE18+
+
IF(M18="Controller",VLOOKUP(M18,_VRF!L:N,3,FALSE)
+VLOOKUP($N$1,_VRF!L:N,3,FALSE)*AE18
+VLOOKUP($O$1,_VRF!L:N,3,FALSE)*AF18
+VLOOKUP($P$1,_VRF!L:N,3,FALSE)*AG18
+VLOOKUP($Q$1,_VRF!L:N,3,FALSE)*AH18
+VLOOKUP($R$1,_VRF!L:N,3,FALSE)*AI18
+(VLOOKUP("Network cable",'Part List'!$A:$G,5,FALSE)+VLOOKUP("2.5mm Twin and Earth",'Part List'!$A:$G,5,FALSE))*F18,
IF(M18="PAC",VLOOKUP(M18,_VRF!L:N,3,FALSE)
+VLOOKUP($N$1,_VRF!L:N,3,FALSE)*AE18
+VLOOKUP($O$1,_VRF!L:N,3,FALSE)*AF18
+VLOOKUP($P$1,_VRF!L:N,3,FALSE)*AG18
+VLOOKUP($Q$1,_VRF!L:N,3,FALSE)*AH18
+VLOOKUP($R$1,_VRF!L:N,3,FALSE)*AI18
+VLOOKUP("6mm Cable 3 core and Earth",'Part List'!$A:$G,5,FALSE)*F18,
IF(M18="Branch Box",VLOOKUP(M18,_VRF!L:N,3,FALSE)
+VLOOKUP($N$1,_VRF!L:N,3,FALSE)*AE18
+VLOOKUP($O$1,_VRF!L:N,3,FALSE)*AF18
+VLOOKUP($P$1,_VRF!L:N,3,FALSE)*AG18
+VLOOKUP($Q$1,_VRF!L:N,3,FALSE)*AH18
+VLOOKUP($R$1,_VRF!L:N,3,FALSE)*AI18
+(VLOOKUP("2.5mm Twin and Earth",'Part List'!$A:$G,5,FALSE)+VLOOKUP("7030 2 pair TCAS7302P",'Part List'!$A:$G,5,FALSE))*F18,
+IF(NOT(M18="Split"),IF(OR(M18="Outdoor",M18="Indoor"),0,VLOOKUP(AD18,_VRF!L:N,3,FALSE)+VLOOKUP(M18,_VRF!L:N,3,FALSE))
+VLOOKUP($N$1,_VRF!L:N,3,FALSE)*AE18
+VLOOKUP($O$1,_VRF!L:N,3,FALSE)*AF18
+VLOOKUP($P$1,_VRF!L:N,3,FALSE)*AG18
+VLOOKUP($Q$1,_VRF!L:N,3,FALSE)*AH18
+VLOOKUP($R$1,_VRF!L:N,3,FALSE)*AI18
+VLOOKUP(IF(M18="Outdoor","4mm Cable 3 core and Earth","2.5mm Twin and Earth"),'Part List'!$A:$G,5,FALSE)*F18
+IF(M18="Indoor",VLOOKUP("7030 2 pair TCAS7302P",'Part List'!$A:$G,5,FALSE),0)*F18
+VLOOKUP(IF(M18="Outdoor",IF(L18="Local","Outdoor_Local","Outdoor_MSSB"),0),_VRF!L:N,3,FALSE)
+IF(M18="Indoor",VLOOKUP(M18,_VRF!L:N,3,FALSE),0),
VLOOKUP(M18,_VRF!L:N,3,FALSE)
+(VLOOKUP("7030 2 pair TCAS7302P",'Part List'!$A:$G,5,FALSE)+2*VLOOKUP("2.5mm Twin and Earth",'Part List'!$A:$G,5,FALSE))*F18
+VLOOKUP($N$1,_VRF!L:N,3,FALSE)*AE18
+VLOOKUP($O$1,_VRF!L:N,3,FALSE)*AF18
+VLOOKUP($P$1,_VRF!L:N,3,FALSE)*AG18
+VLOOKUP($Q$1,_VRF!L:N,3,FALSE)*AH18
+VLOOKUP($R$1,_VRF!L:N,3,FALSE)*AI18))))</f>
        <v>#N/A</v>
      </c>
      <c r="K18" s="430" t="e">
        <f>_xlfn.CONCAT(VLOOKUP(M18,_VRF!$A$39:$C$44,3,FALSE), "-",
IF(N18="Yes", 1, 0)*X18, IF(O18="Yes", 1, 0)*Y18, IF(P18="Yes", 1, 0)*Z18, AA18*IF(Q18="Yes", 1, 0),IF(R18="Yes", 1, 0)*AB18,IF(W18 = 1, IF(L18="Local", "-L", "-M"),""))</f>
        <v>#N/A</v>
      </c>
      <c r="L18" s="432" t="s">
        <v>678</v>
      </c>
      <c r="M18" s="432"/>
      <c r="N18" s="440"/>
      <c r="O18" s="440"/>
      <c r="P18" s="440"/>
      <c r="Q18" s="440"/>
      <c r="R18" s="440"/>
      <c r="S18" s="114" t="str">
        <f t="shared" si="7"/>
        <v/>
      </c>
      <c r="W18" s="114" t="e">
        <f>VLOOKUP($M18,_VRF!$A$26:$G$31, 2, FALSE)</f>
        <v>#N/A</v>
      </c>
      <c r="X18" s="114" t="e">
        <f>VLOOKUP($M18,_VRF!$A$26:$G$31, 3, FALSE)</f>
        <v>#N/A</v>
      </c>
      <c r="Y18" s="114" t="e">
        <f>VLOOKUP($M18,_VRF!$A$26:$G$31, 4, FALSE)</f>
        <v>#N/A</v>
      </c>
      <c r="Z18" s="114" t="e">
        <f>VLOOKUP($M18,_VRF!$A$26:$G$31, 5, FALSE)</f>
        <v>#N/A</v>
      </c>
      <c r="AA18" s="114" t="e">
        <f>VLOOKUP($M18,_VRF!$A$26:$G$31, 6, FALSE)</f>
        <v>#N/A</v>
      </c>
      <c r="AB18" s="114" t="e">
        <f>VLOOKUP($M18,_VRF!$A$26:$G$31, 7, FALSE)</f>
        <v>#N/A</v>
      </c>
      <c r="AD18" s="114" t="e">
        <f t="shared" si="8"/>
        <v>#N/A</v>
      </c>
      <c r="AE18" s="114">
        <f t="shared" si="9"/>
        <v>0</v>
      </c>
      <c r="AF18" s="114">
        <f t="shared" si="9"/>
        <v>0</v>
      </c>
      <c r="AG18" s="114">
        <f t="shared" si="9"/>
        <v>0</v>
      </c>
      <c r="AH18" s="114">
        <f t="shared" si="9"/>
        <v>0</v>
      </c>
      <c r="AI18" s="114">
        <f t="shared" si="9"/>
        <v>0</v>
      </c>
      <c r="AM18" s="432" t="str">
        <f t="shared" si="10"/>
        <v/>
      </c>
      <c r="AN18" s="114">
        <f t="shared" si="2"/>
        <v>0</v>
      </c>
      <c r="AO18" s="114" t="str">
        <f>_xlfn.CONCAT(E18," (",VLOOKUP(E18,[1]Backend!C:D,2,FALSE),")")</f>
        <v xml:space="preserve"> (Zero)</v>
      </c>
      <c r="AP18" s="114" t="str">
        <f>_xlfn.CONCAT(AN18," - Electrical power supply and controls to ",AO18," ",VLOOKUP(M18,_VRF!$A$39:$G$48,2,FALSE))</f>
        <v xml:space="preserve">0 - Electrical power supply and controls to  (Zero) </v>
      </c>
      <c r="AQ18" s="114" t="str">
        <f t="shared" si="11"/>
        <v xml:space="preserve"> </v>
      </c>
      <c r="AR18" s="114" t="str">
        <f t="shared" si="12"/>
        <v/>
      </c>
      <c r="AS18" s="114" t="e">
        <f t="shared" si="13"/>
        <v>#N/A</v>
      </c>
      <c r="AT18" s="114" t="e">
        <f t="shared" si="14"/>
        <v>#N/A</v>
      </c>
      <c r="AU18" s="114" t="str">
        <f t="shared" si="15"/>
        <v>0.1 - This includes supply and install of power and controls.</v>
      </c>
      <c r="AV18" s="114" t="str">
        <f>_xlfn.CONCAT(AN18,".2 - Power for system includes: ",VLOOKUP(L18,_VRF!L:O,4,FALSE))</f>
        <v xml:space="preserve">0.2 - Power for system includes: CB and cabling to unit from MSSB, and local isolator, </v>
      </c>
      <c r="AW18" s="114" t="e">
        <f t="shared" si="16"/>
        <v>#N/A</v>
      </c>
      <c r="AX18" s="114" t="str">
        <f>_xlfn.CONCAT(
IF(M18="Yes",VLOOKUP(M$1,_VRF!L:Z,4,FALSE),""),
IF(N18="Yes",VLOOKUP(N$1,_VRF!L:Z,4,FALSE),""),
IF(O18="Yes",VLOOKUP(O$1,_VRF!L:Z,4,FALSE),""),
IF(P18="Yes",VLOOKUP(P$1,_VRF!L:Z,4,FALSE),""),
IF(Q18="Yes",VLOOKUP(Q$1,_VRF!L:Z,4,FALSE),""),
IF(R18="Yes",VLOOKUP(R$1,_VRF!L:Z,4,FALSE),""))</f>
        <v/>
      </c>
      <c r="AZ18" s="114" t="str">
        <f>_xlfn.CONCAT(VLOOKUP(M18,_VRF!$A$39:$G$48,2,FALSE),AQ18,AR18,)</f>
        <v xml:space="preserve"> </v>
      </c>
    </row>
    <row r="19" spans="1:52" x14ac:dyDescent="0.4">
      <c r="A19" s="429" t="str">
        <f t="shared" si="3"/>
        <v>INVALID</v>
      </c>
      <c r="B19" s="430" t="str">
        <f t="shared" si="4"/>
        <v>VRF 18</v>
      </c>
      <c r="C19" s="431">
        <f t="shared" si="5"/>
        <v>0</v>
      </c>
      <c r="D19" s="430">
        <f t="shared" si="6"/>
        <v>0</v>
      </c>
      <c r="E19" s="430"/>
      <c r="F19" s="430">
        <f t="shared" si="0"/>
        <v>20</v>
      </c>
      <c r="G19" s="440"/>
      <c r="H19" s="441"/>
      <c r="I19" s="440" t="e">
        <f>F19*VLOOKUP("7030 2 pair TCAS7302P",'Part List'!$A:$G,3,FALSE)*AE19
+IF(M19="Controller",VLOOKUP(M19,_VRF!L:N,2,FALSE)
+VLOOKUP($N$1,_VRF!L:N,2,FALSE)*AE19
+VLOOKUP($O$1,_VRF!L:N,2,FALSE)*AF19
+VLOOKUP($P$1,_VRF!L:N,2,FALSE)*AG19
+VLOOKUP($Q$1,_VRF!L:N,2,FALSE)*AH19
+VLOOKUP($R$1,_VRF!L:N,2,FALSE)*AI19
+(VLOOKUP("Network cable",'Part List'!$A:$G,3,FALSE)+VLOOKUP("2.5mm Twin and Earth",'Part List'!$A:$G,3,FALSE))*F19,
IF(M19="PAC",VLOOKUP(M19,_VRF!L:N,2,FALSE)
+VLOOKUP($N$1,_VRF!L:N,2,FALSE)*AE19
+VLOOKUP($O$1,_VRF!L:N,2,FALSE)*AF19
+VLOOKUP($P$1,_VRF!L:N,2,FALSE)*AG19
+VLOOKUP($Q$1,_VRF!L:N,2,FALSE)*AH19
+VLOOKUP($R$1,_VRF!L:N,2,FALSE)*AI19
+VLOOKUP("6mm Cable 3 core and Earth",'Part List'!$A:$G,3,FALSE)*F19,
IF(M19="Branch Box",VLOOKUP(M19,_VRF!L:N,2,FALSE)
+VLOOKUP($N$1,_VRF!L:N,2,FALSE)*AE19
+VLOOKUP($O$1,_VRF!L:N,2,FALSE)*AF19
+VLOOKUP($P$1,_VRF!L:N,2,FALSE)*AG19
+VLOOKUP($Q$1,_VRF!L:N,2,FALSE)*AH19
+VLOOKUP($R$1,_VRF!L:N,2,FALSE)*AI19
+(VLOOKUP("2.5mm Twin and Earth",'Part List'!$A:$G,3,FALSE)+VLOOKUP("7030 2 pair TCAS7302P",'Part List'!$A:$G,3,FALSE))*F19,
+IF(NOT(M19="Split"),IF(OR(M19="Outdoor",M19="Indoor"),0,VLOOKUP(AD19,_VRF!L:N,2,FALSE)+VLOOKUP(M19,_VRF!L:N,2,FALSE))
+VLOOKUP($N$1,_VRF!L:N,2,FALSE)*AE19
+VLOOKUP($O$1,_VRF!L:N,2,FALSE)*AF19
+VLOOKUP($P$1,_VRF!L:N,2,FALSE)*AG19
+VLOOKUP($Q$1,_VRF!L:N,2,FALSE)*AH19
+VLOOKUP($R$1,_VRF!L:N,2,FALSE)*AI19
+VLOOKUP(IF(M19="Outdoor","4mm Cable 3 core and Earth","2.5mm Twin and Earth"),'Part List'!$A:$G,3,FALSE)*F19
+IF(M19="Indoor",VLOOKUP("7030 2 pair TCAS7302P",'Part List'!$A:$G,3,FALSE),0)*F19
+VLOOKUP(IF(M19="Outdoor",IF(L19="Local","Outdoor_Local","Outdoor_MSSB"),0),_VRF!L:N,2,FALSE)
+IF(M19="Indoor",VLOOKUP(M19,_VRF!L:N,2,FALSE),0),
VLOOKUP(M19,_VRF!L:N,2,FALSE)
+(VLOOKUP("7030 2 pair TCAS7302P",'Part List'!$A:$G,3,FALSE)+2*VLOOKUP("2.5mm Twin and Earth",'Part List'!$A:$G,3,FALSE))*F19
+VLOOKUP($N$1,_VRF!L:N,2,FALSE)*AE19
+VLOOKUP($O$1,_VRF!L:N,2,FALSE)*AF19
+VLOOKUP($P$1,_VRF!L:N,2,FALSE)*AG19
+VLOOKUP($Q$1,_VRF!L:N,2,FALSE)*AH19
+VLOOKUP($R$1,_VRF!L:N,2,FALSE)*AI19))))</f>
        <v>#N/A</v>
      </c>
      <c r="J19" s="441" t="e">
        <f>F19*VLOOKUP("7030 2 pair TCAS7302P",'Part List'!$A:$G,5,FALSE)*AE19+
+
IF(M19="Controller",VLOOKUP(M19,_VRF!L:N,3,FALSE)
+VLOOKUP($N$1,_VRF!L:N,3,FALSE)*AE19
+VLOOKUP($O$1,_VRF!L:N,3,FALSE)*AF19
+VLOOKUP($P$1,_VRF!L:N,3,FALSE)*AG19
+VLOOKUP($Q$1,_VRF!L:N,3,FALSE)*AH19
+VLOOKUP($R$1,_VRF!L:N,3,FALSE)*AI19
+(VLOOKUP("Network cable",'Part List'!$A:$G,5,FALSE)+VLOOKUP("2.5mm Twin and Earth",'Part List'!$A:$G,5,FALSE))*F19,
IF(M19="PAC",VLOOKUP(M19,_VRF!L:N,3,FALSE)
+VLOOKUP($N$1,_VRF!L:N,3,FALSE)*AE19
+VLOOKUP($O$1,_VRF!L:N,3,FALSE)*AF19
+VLOOKUP($P$1,_VRF!L:N,3,FALSE)*AG19
+VLOOKUP($Q$1,_VRF!L:N,3,FALSE)*AH19
+VLOOKUP($R$1,_VRF!L:N,3,FALSE)*AI19
+VLOOKUP("6mm Cable 3 core and Earth",'Part List'!$A:$G,5,FALSE)*F19,
IF(M19="Branch Box",VLOOKUP(M19,_VRF!L:N,3,FALSE)
+VLOOKUP($N$1,_VRF!L:N,3,FALSE)*AE19
+VLOOKUP($O$1,_VRF!L:N,3,FALSE)*AF19
+VLOOKUP($P$1,_VRF!L:N,3,FALSE)*AG19
+VLOOKUP($Q$1,_VRF!L:N,3,FALSE)*AH19
+VLOOKUP($R$1,_VRF!L:N,3,FALSE)*AI19
+(VLOOKUP("2.5mm Twin and Earth",'Part List'!$A:$G,5,FALSE)+VLOOKUP("7030 2 pair TCAS7302P",'Part List'!$A:$G,5,FALSE))*F19,
+IF(NOT(M19="Split"),IF(OR(M19="Outdoor",M19="Indoor"),0,VLOOKUP(AD19,_VRF!L:N,3,FALSE)+VLOOKUP(M19,_VRF!L:N,3,FALSE))
+VLOOKUP($N$1,_VRF!L:N,3,FALSE)*AE19
+VLOOKUP($O$1,_VRF!L:N,3,FALSE)*AF19
+VLOOKUP($P$1,_VRF!L:N,3,FALSE)*AG19
+VLOOKUP($Q$1,_VRF!L:N,3,FALSE)*AH19
+VLOOKUP($R$1,_VRF!L:N,3,FALSE)*AI19
+VLOOKUP(IF(M19="Outdoor","4mm Cable 3 core and Earth","2.5mm Twin and Earth"),'Part List'!$A:$G,5,FALSE)*F19
+IF(M19="Indoor",VLOOKUP("7030 2 pair TCAS7302P",'Part List'!$A:$G,5,FALSE),0)*F19
+VLOOKUP(IF(M19="Outdoor",IF(L19="Local","Outdoor_Local","Outdoor_MSSB"),0),_VRF!L:N,3,FALSE)
+IF(M19="Indoor",VLOOKUP(M19,_VRF!L:N,3,FALSE),0),
VLOOKUP(M19,_VRF!L:N,3,FALSE)
+(VLOOKUP("7030 2 pair TCAS7302P",'Part List'!$A:$G,5,FALSE)+2*VLOOKUP("2.5mm Twin and Earth",'Part List'!$A:$G,5,FALSE))*F19
+VLOOKUP($N$1,_VRF!L:N,3,FALSE)*AE19
+VLOOKUP($O$1,_VRF!L:N,3,FALSE)*AF19
+VLOOKUP($P$1,_VRF!L:N,3,FALSE)*AG19
+VLOOKUP($Q$1,_VRF!L:N,3,FALSE)*AH19
+VLOOKUP($R$1,_VRF!L:N,3,FALSE)*AI19))))</f>
        <v>#N/A</v>
      </c>
      <c r="K19" s="430" t="e">
        <f>_xlfn.CONCAT(VLOOKUP(M19,_VRF!$A$39:$C$44,3,FALSE), "-",
IF(N19="Yes", 1, 0)*X19, IF(O19="Yes", 1, 0)*Y19, IF(P19="Yes", 1, 0)*Z19, AA19*IF(Q19="Yes", 1, 0),IF(R19="Yes", 1, 0)*AB19,IF(W19 = 1, IF(L19="Local", "-L", "-M"),""))</f>
        <v>#N/A</v>
      </c>
      <c r="L19" s="432" t="s">
        <v>678</v>
      </c>
      <c r="M19" s="432"/>
      <c r="N19" s="440"/>
      <c r="O19" s="440"/>
      <c r="P19" s="440"/>
      <c r="Q19" s="440"/>
      <c r="R19" s="440"/>
      <c r="S19" s="114" t="str">
        <f t="shared" si="7"/>
        <v/>
      </c>
      <c r="W19" s="114" t="e">
        <f>VLOOKUP($M19,_VRF!$A$26:$G$31, 2, FALSE)</f>
        <v>#N/A</v>
      </c>
      <c r="X19" s="114" t="e">
        <f>VLOOKUP($M19,_VRF!$A$26:$G$31, 3, FALSE)</f>
        <v>#N/A</v>
      </c>
      <c r="Y19" s="114" t="e">
        <f>VLOOKUP($M19,_VRF!$A$26:$G$31, 4, FALSE)</f>
        <v>#N/A</v>
      </c>
      <c r="Z19" s="114" t="e">
        <f>VLOOKUP($M19,_VRF!$A$26:$G$31, 5, FALSE)</f>
        <v>#N/A</v>
      </c>
      <c r="AA19" s="114" t="e">
        <f>VLOOKUP($M19,_VRF!$A$26:$G$31, 6, FALSE)</f>
        <v>#N/A</v>
      </c>
      <c r="AB19" s="114" t="e">
        <f>VLOOKUP($M19,_VRF!$A$26:$G$31, 7, FALSE)</f>
        <v>#N/A</v>
      </c>
      <c r="AD19" s="114" t="e">
        <f t="shared" si="8"/>
        <v>#N/A</v>
      </c>
      <c r="AE19" s="114">
        <f t="shared" si="9"/>
        <v>0</v>
      </c>
      <c r="AF19" s="114">
        <f t="shared" si="9"/>
        <v>0</v>
      </c>
      <c r="AG19" s="114">
        <f t="shared" si="9"/>
        <v>0</v>
      </c>
      <c r="AH19" s="114">
        <f t="shared" si="9"/>
        <v>0</v>
      </c>
      <c r="AI19" s="114">
        <f t="shared" si="9"/>
        <v>0</v>
      </c>
      <c r="AM19" s="432" t="str">
        <f t="shared" si="10"/>
        <v/>
      </c>
      <c r="AN19" s="114">
        <f t="shared" si="2"/>
        <v>0</v>
      </c>
      <c r="AO19" s="114" t="str">
        <f>_xlfn.CONCAT(E19," (",VLOOKUP(E19,[1]Backend!C:D,2,FALSE),")")</f>
        <v xml:space="preserve"> (Zero)</v>
      </c>
      <c r="AP19" s="114" t="str">
        <f>_xlfn.CONCAT(AN19," - Electrical power supply and controls to ",AO19," ",VLOOKUP(M19,_VRF!$A$39:$G$48,2,FALSE))</f>
        <v xml:space="preserve">0 - Electrical power supply and controls to  (Zero) </v>
      </c>
      <c r="AQ19" s="114" t="str">
        <f t="shared" si="11"/>
        <v xml:space="preserve"> </v>
      </c>
      <c r="AR19" s="114" t="str">
        <f t="shared" si="12"/>
        <v/>
      </c>
      <c r="AS19" s="114" t="e">
        <f t="shared" si="13"/>
        <v>#N/A</v>
      </c>
      <c r="AT19" s="114" t="e">
        <f t="shared" si="14"/>
        <v>#N/A</v>
      </c>
      <c r="AU19" s="114" t="str">
        <f t="shared" si="15"/>
        <v>0.1 - This includes supply and install of power and controls.</v>
      </c>
      <c r="AV19" s="114" t="str">
        <f>_xlfn.CONCAT(AN19,".2 - Power for system includes: ",VLOOKUP(L19,_VRF!L:O,4,FALSE))</f>
        <v xml:space="preserve">0.2 - Power for system includes: CB and cabling to unit from MSSB, and local isolator, </v>
      </c>
      <c r="AW19" s="114" t="e">
        <f t="shared" si="16"/>
        <v>#N/A</v>
      </c>
      <c r="AX19" s="114" t="str">
        <f>_xlfn.CONCAT(
IF(M19="Yes",VLOOKUP(M$1,_VRF!L:Z,4,FALSE),""),
IF(N19="Yes",VLOOKUP(N$1,_VRF!L:Z,4,FALSE),""),
IF(O19="Yes",VLOOKUP(O$1,_VRF!L:Z,4,FALSE),""),
IF(P19="Yes",VLOOKUP(P$1,_VRF!L:Z,4,FALSE),""),
IF(Q19="Yes",VLOOKUP(Q$1,_VRF!L:Z,4,FALSE),""),
IF(R19="Yes",VLOOKUP(R$1,_VRF!L:Z,4,FALSE),""))</f>
        <v/>
      </c>
      <c r="AZ19" s="114" t="str">
        <f>_xlfn.CONCAT(VLOOKUP(M19,_VRF!$A$39:$G$48,2,FALSE),AQ19,AR19,)</f>
        <v xml:space="preserve"> </v>
      </c>
    </row>
    <row r="20" spans="1:52" x14ac:dyDescent="0.4">
      <c r="A20" s="429" t="str">
        <f t="shared" si="3"/>
        <v>INVALID</v>
      </c>
      <c r="B20" s="430" t="str">
        <f t="shared" si="4"/>
        <v>VRF 19</v>
      </c>
      <c r="C20" s="431">
        <f t="shared" si="5"/>
        <v>0</v>
      </c>
      <c r="D20" s="430">
        <f t="shared" si="6"/>
        <v>0</v>
      </c>
      <c r="E20" s="430"/>
      <c r="F20" s="430">
        <f t="shared" si="0"/>
        <v>20</v>
      </c>
      <c r="G20" s="440"/>
      <c r="H20" s="441"/>
      <c r="I20" s="440" t="e">
        <f>F20*VLOOKUP("7030 2 pair TCAS7302P",'Part List'!$A:$G,3,FALSE)*AE20
+IF(M20="Controller",VLOOKUP(M20,_VRF!L:N,2,FALSE)
+VLOOKUP($N$1,_VRF!L:N,2,FALSE)*AE20
+VLOOKUP($O$1,_VRF!L:N,2,FALSE)*AF20
+VLOOKUP($P$1,_VRF!L:N,2,FALSE)*AG20
+VLOOKUP($Q$1,_VRF!L:N,2,FALSE)*AH20
+VLOOKUP($R$1,_VRF!L:N,2,FALSE)*AI20
+(VLOOKUP("Network cable",'Part List'!$A:$G,3,FALSE)+VLOOKUP("2.5mm Twin and Earth",'Part List'!$A:$G,3,FALSE))*F20,
IF(M20="PAC",VLOOKUP(M20,_VRF!L:N,2,FALSE)
+VLOOKUP($N$1,_VRF!L:N,2,FALSE)*AE20
+VLOOKUP($O$1,_VRF!L:N,2,FALSE)*AF20
+VLOOKUP($P$1,_VRF!L:N,2,FALSE)*AG20
+VLOOKUP($Q$1,_VRF!L:N,2,FALSE)*AH20
+VLOOKUP($R$1,_VRF!L:N,2,FALSE)*AI20
+VLOOKUP("6mm Cable 3 core and Earth",'Part List'!$A:$G,3,FALSE)*F20,
IF(M20="Branch Box",VLOOKUP(M20,_VRF!L:N,2,FALSE)
+VLOOKUP($N$1,_VRF!L:N,2,FALSE)*AE20
+VLOOKUP($O$1,_VRF!L:N,2,FALSE)*AF20
+VLOOKUP($P$1,_VRF!L:N,2,FALSE)*AG20
+VLOOKUP($Q$1,_VRF!L:N,2,FALSE)*AH20
+VLOOKUP($R$1,_VRF!L:N,2,FALSE)*AI20
+(VLOOKUP("2.5mm Twin and Earth",'Part List'!$A:$G,3,FALSE)+VLOOKUP("7030 2 pair TCAS7302P",'Part List'!$A:$G,3,FALSE))*F20,
+IF(NOT(M20="Split"),IF(OR(M20="Outdoor",M20="Indoor"),0,VLOOKUP(AD20,_VRF!L:N,2,FALSE)+VLOOKUP(M20,_VRF!L:N,2,FALSE))
+VLOOKUP($N$1,_VRF!L:N,2,FALSE)*AE20
+VLOOKUP($O$1,_VRF!L:N,2,FALSE)*AF20
+VLOOKUP($P$1,_VRF!L:N,2,FALSE)*AG20
+VLOOKUP($Q$1,_VRF!L:N,2,FALSE)*AH20
+VLOOKUP($R$1,_VRF!L:N,2,FALSE)*AI20
+VLOOKUP(IF(M20="Outdoor","4mm Cable 3 core and Earth","2.5mm Twin and Earth"),'Part List'!$A:$G,3,FALSE)*F20
+IF(M20="Indoor",VLOOKUP("7030 2 pair TCAS7302P",'Part List'!$A:$G,3,FALSE),0)*F20
+VLOOKUP(IF(M20="Outdoor",IF(L20="Local","Outdoor_Local","Outdoor_MSSB"),0),_VRF!L:N,2,FALSE)
+IF(M20="Indoor",VLOOKUP(M20,_VRF!L:N,2,FALSE),0),
VLOOKUP(M20,_VRF!L:N,2,FALSE)
+(VLOOKUP("7030 2 pair TCAS7302P",'Part List'!$A:$G,3,FALSE)+2*VLOOKUP("2.5mm Twin and Earth",'Part List'!$A:$G,3,FALSE))*F20
+VLOOKUP($N$1,_VRF!L:N,2,FALSE)*AE20
+VLOOKUP($O$1,_VRF!L:N,2,FALSE)*AF20
+VLOOKUP($P$1,_VRF!L:N,2,FALSE)*AG20
+VLOOKUP($Q$1,_VRF!L:N,2,FALSE)*AH20
+VLOOKUP($R$1,_VRF!L:N,2,FALSE)*AI20))))</f>
        <v>#N/A</v>
      </c>
      <c r="J20" s="441" t="e">
        <f>F20*VLOOKUP("7030 2 pair TCAS7302P",'Part List'!$A:$G,5,FALSE)*AE20+
+
IF(M20="Controller",VLOOKUP(M20,_VRF!L:N,3,FALSE)
+VLOOKUP($N$1,_VRF!L:N,3,FALSE)*AE20
+VLOOKUP($O$1,_VRF!L:N,3,FALSE)*AF20
+VLOOKUP($P$1,_VRF!L:N,3,FALSE)*AG20
+VLOOKUP($Q$1,_VRF!L:N,3,FALSE)*AH20
+VLOOKUP($R$1,_VRF!L:N,3,FALSE)*AI20
+(VLOOKUP("Network cable",'Part List'!$A:$G,5,FALSE)+VLOOKUP("2.5mm Twin and Earth",'Part List'!$A:$G,5,FALSE))*F20,
IF(M20="PAC",VLOOKUP(M20,_VRF!L:N,3,FALSE)
+VLOOKUP($N$1,_VRF!L:N,3,FALSE)*AE20
+VLOOKUP($O$1,_VRF!L:N,3,FALSE)*AF20
+VLOOKUP($P$1,_VRF!L:N,3,FALSE)*AG20
+VLOOKUP($Q$1,_VRF!L:N,3,FALSE)*AH20
+VLOOKUP($R$1,_VRF!L:N,3,FALSE)*AI20
+VLOOKUP("6mm Cable 3 core and Earth",'Part List'!$A:$G,5,FALSE)*F20,
IF(M20="Branch Box",VLOOKUP(M20,_VRF!L:N,3,FALSE)
+VLOOKUP($N$1,_VRF!L:N,3,FALSE)*AE20
+VLOOKUP($O$1,_VRF!L:N,3,FALSE)*AF20
+VLOOKUP($P$1,_VRF!L:N,3,FALSE)*AG20
+VLOOKUP($Q$1,_VRF!L:N,3,FALSE)*AH20
+VLOOKUP($R$1,_VRF!L:N,3,FALSE)*AI20
+(VLOOKUP("2.5mm Twin and Earth",'Part List'!$A:$G,5,FALSE)+VLOOKUP("7030 2 pair TCAS7302P",'Part List'!$A:$G,5,FALSE))*F20,
+IF(NOT(M20="Split"),IF(OR(M20="Outdoor",M20="Indoor"),0,VLOOKUP(AD20,_VRF!L:N,3,FALSE)+VLOOKUP(M20,_VRF!L:N,3,FALSE))
+VLOOKUP($N$1,_VRF!L:N,3,FALSE)*AE20
+VLOOKUP($O$1,_VRF!L:N,3,FALSE)*AF20
+VLOOKUP($P$1,_VRF!L:N,3,FALSE)*AG20
+VLOOKUP($Q$1,_VRF!L:N,3,FALSE)*AH20
+VLOOKUP($R$1,_VRF!L:N,3,FALSE)*AI20
+VLOOKUP(IF(M20="Outdoor","4mm Cable 3 core and Earth","2.5mm Twin and Earth"),'Part List'!$A:$G,5,FALSE)*F20
+IF(M20="Indoor",VLOOKUP("7030 2 pair TCAS7302P",'Part List'!$A:$G,5,FALSE),0)*F20
+VLOOKUP(IF(M20="Outdoor",IF(L20="Local","Outdoor_Local","Outdoor_MSSB"),0),_VRF!L:N,3,FALSE)
+IF(M20="Indoor",VLOOKUP(M20,_VRF!L:N,3,FALSE),0),
VLOOKUP(M20,_VRF!L:N,3,FALSE)
+(VLOOKUP("7030 2 pair TCAS7302P",'Part List'!$A:$G,5,FALSE)+2*VLOOKUP("2.5mm Twin and Earth",'Part List'!$A:$G,5,FALSE))*F20
+VLOOKUP($N$1,_VRF!L:N,3,FALSE)*AE20
+VLOOKUP($O$1,_VRF!L:N,3,FALSE)*AF20
+VLOOKUP($P$1,_VRF!L:N,3,FALSE)*AG20
+VLOOKUP($Q$1,_VRF!L:N,3,FALSE)*AH20
+VLOOKUP($R$1,_VRF!L:N,3,FALSE)*AI20))))</f>
        <v>#N/A</v>
      </c>
      <c r="K20" s="430" t="e">
        <f>_xlfn.CONCAT(VLOOKUP(M20,_VRF!$A$39:$C$44,3,FALSE), "-",
IF(N20="Yes", 1, 0)*X20, IF(O20="Yes", 1, 0)*Y20, IF(P20="Yes", 1, 0)*Z20, AA20*IF(Q20="Yes", 1, 0),IF(R20="Yes", 1, 0)*AB20,IF(W20 = 1, IF(L20="Local", "-L", "-M"),""))</f>
        <v>#N/A</v>
      </c>
      <c r="L20" s="432" t="s">
        <v>678</v>
      </c>
      <c r="M20" s="432"/>
      <c r="N20" s="440"/>
      <c r="O20" s="440"/>
      <c r="P20" s="440"/>
      <c r="Q20" s="440"/>
      <c r="R20" s="440"/>
      <c r="S20" s="114" t="str">
        <f t="shared" si="7"/>
        <v/>
      </c>
      <c r="W20" s="114" t="e">
        <f>VLOOKUP($M20,_VRF!$A$26:$G$31, 2, FALSE)</f>
        <v>#N/A</v>
      </c>
      <c r="X20" s="114" t="e">
        <f>VLOOKUP($M20,_VRF!$A$26:$G$31, 3, FALSE)</f>
        <v>#N/A</v>
      </c>
      <c r="Y20" s="114" t="e">
        <f>VLOOKUP($M20,_VRF!$A$26:$G$31, 4, FALSE)</f>
        <v>#N/A</v>
      </c>
      <c r="Z20" s="114" t="e">
        <f>VLOOKUP($M20,_VRF!$A$26:$G$31, 5, FALSE)</f>
        <v>#N/A</v>
      </c>
      <c r="AA20" s="114" t="e">
        <f>VLOOKUP($M20,_VRF!$A$26:$G$31, 6, FALSE)</f>
        <v>#N/A</v>
      </c>
      <c r="AB20" s="114" t="e">
        <f>VLOOKUP($M20,_VRF!$A$26:$G$31, 7, FALSE)</f>
        <v>#N/A</v>
      </c>
      <c r="AD20" s="114" t="e">
        <f t="shared" si="8"/>
        <v>#N/A</v>
      </c>
      <c r="AE20" s="114">
        <f t="shared" ref="AE20:AI23" si="17">IF(N20="Yes",X20, 0)</f>
        <v>0</v>
      </c>
      <c r="AF20" s="114">
        <f t="shared" si="17"/>
        <v>0</v>
      </c>
      <c r="AG20" s="114">
        <f t="shared" si="17"/>
        <v>0</v>
      </c>
      <c r="AH20" s="114">
        <f t="shared" si="17"/>
        <v>0</v>
      </c>
      <c r="AI20" s="114">
        <f t="shared" si="17"/>
        <v>0</v>
      </c>
      <c r="AM20" s="432" t="str">
        <f t="shared" si="10"/>
        <v/>
      </c>
      <c r="AN20" s="114">
        <f t="shared" si="2"/>
        <v>0</v>
      </c>
      <c r="AO20" s="114" t="str">
        <f>_xlfn.CONCAT(E20," (",VLOOKUP(E20,[1]Backend!C:D,2,FALSE),")")</f>
        <v xml:space="preserve"> (Zero)</v>
      </c>
      <c r="AP20" s="114" t="str">
        <f>_xlfn.CONCAT(AN20," - Electrical power supply and controls to ",AO20," ",VLOOKUP(M20,_VRF!$A$39:$G$48,2,FALSE))</f>
        <v xml:space="preserve">0 - Electrical power supply and controls to  (Zero) </v>
      </c>
      <c r="AQ20" s="114" t="str">
        <f t="shared" si="11"/>
        <v xml:space="preserve"> </v>
      </c>
      <c r="AR20" s="114" t="str">
        <f t="shared" si="12"/>
        <v/>
      </c>
      <c r="AS20" s="114" t="e">
        <f t="shared" si="13"/>
        <v>#N/A</v>
      </c>
      <c r="AT20" s="114" t="e">
        <f t="shared" si="14"/>
        <v>#N/A</v>
      </c>
      <c r="AU20" s="114" t="str">
        <f t="shared" si="15"/>
        <v>0.1 - This includes supply and install of power and controls.</v>
      </c>
      <c r="AV20" s="114" t="str">
        <f>_xlfn.CONCAT(AN20,".2 - Power for system includes: ",VLOOKUP(L20,_VRF!L:O,4,FALSE))</f>
        <v xml:space="preserve">0.2 - Power for system includes: CB and cabling to unit from MSSB, and local isolator, </v>
      </c>
      <c r="AW20" s="114" t="e">
        <f t="shared" si="16"/>
        <v>#N/A</v>
      </c>
      <c r="AX20" s="114" t="str">
        <f>_xlfn.CONCAT(
IF(M20="Yes",VLOOKUP(M$1,_VRF!L:Z,4,FALSE),""),
IF(N20="Yes",VLOOKUP(N$1,_VRF!L:Z,4,FALSE),""),
IF(O20="Yes",VLOOKUP(O$1,_VRF!L:Z,4,FALSE),""),
IF(P20="Yes",VLOOKUP(P$1,_VRF!L:Z,4,FALSE),""),
IF(Q20="Yes",VLOOKUP(Q$1,_VRF!L:Z,4,FALSE),""),
IF(R20="Yes",VLOOKUP(R$1,_VRF!L:Z,4,FALSE),""))</f>
        <v/>
      </c>
      <c r="AZ20" s="114" t="str">
        <f>_xlfn.CONCAT(VLOOKUP(M20,_VRF!$A$39:$G$48,2,FALSE),AQ20,AR20,)</f>
        <v xml:space="preserve"> </v>
      </c>
    </row>
    <row r="21" spans="1:52" x14ac:dyDescent="0.4">
      <c r="A21" s="429" t="str">
        <f t="shared" si="3"/>
        <v>INVALID</v>
      </c>
      <c r="B21" s="430" t="str">
        <f t="shared" si="4"/>
        <v>VRF 20</v>
      </c>
      <c r="C21" s="431">
        <f t="shared" si="5"/>
        <v>0</v>
      </c>
      <c r="D21" s="430">
        <f t="shared" si="6"/>
        <v>0</v>
      </c>
      <c r="E21" s="430"/>
      <c r="F21" s="430">
        <f t="shared" si="0"/>
        <v>20</v>
      </c>
      <c r="G21" s="440"/>
      <c r="H21" s="441"/>
      <c r="I21" s="440" t="e">
        <f>F21*VLOOKUP("7030 2 pair TCAS7302P",'Part List'!$A:$G,3,FALSE)*AE21
+IF(M21="Controller",VLOOKUP(M21,_VRF!L:N,2,FALSE)
+VLOOKUP($N$1,_VRF!L:N,2,FALSE)*AE21
+VLOOKUP($O$1,_VRF!L:N,2,FALSE)*AF21
+VLOOKUP($P$1,_VRF!L:N,2,FALSE)*AG21
+VLOOKUP($Q$1,_VRF!L:N,2,FALSE)*AH21
+VLOOKUP($R$1,_VRF!L:N,2,FALSE)*AI21
+(VLOOKUP("Network cable",'Part List'!$A:$G,3,FALSE)+VLOOKUP("2.5mm Twin and Earth",'Part List'!$A:$G,3,FALSE))*F21,
IF(M21="PAC",VLOOKUP(M21,_VRF!L:N,2,FALSE)
+VLOOKUP($N$1,_VRF!L:N,2,FALSE)*AE21
+VLOOKUP($O$1,_VRF!L:N,2,FALSE)*AF21
+VLOOKUP($P$1,_VRF!L:N,2,FALSE)*AG21
+VLOOKUP($Q$1,_VRF!L:N,2,FALSE)*AH21
+VLOOKUP($R$1,_VRF!L:N,2,FALSE)*AI21
+VLOOKUP("6mm Cable 3 core and Earth",'Part List'!$A:$G,3,FALSE)*F21,
IF(M21="Branch Box",VLOOKUP(M21,_VRF!L:N,2,FALSE)
+VLOOKUP($N$1,_VRF!L:N,2,FALSE)*AE21
+VLOOKUP($O$1,_VRF!L:N,2,FALSE)*AF21
+VLOOKUP($P$1,_VRF!L:N,2,FALSE)*AG21
+VLOOKUP($Q$1,_VRF!L:N,2,FALSE)*AH21
+VLOOKUP($R$1,_VRF!L:N,2,FALSE)*AI21
+(VLOOKUP("2.5mm Twin and Earth",'Part List'!$A:$G,3,FALSE)+VLOOKUP("7030 2 pair TCAS7302P",'Part List'!$A:$G,3,FALSE))*F21,
+IF(NOT(M21="Split"),IF(OR(M21="Outdoor",M21="Indoor"),0,VLOOKUP(AD21,_VRF!L:N,2,FALSE)+VLOOKUP(M21,_VRF!L:N,2,FALSE))
+VLOOKUP($N$1,_VRF!L:N,2,FALSE)*AE21
+VLOOKUP($O$1,_VRF!L:N,2,FALSE)*AF21
+VLOOKUP($P$1,_VRF!L:N,2,FALSE)*AG21
+VLOOKUP($Q$1,_VRF!L:N,2,FALSE)*AH21
+VLOOKUP($R$1,_VRF!L:N,2,FALSE)*AI21
+VLOOKUP(IF(M21="Outdoor","4mm Cable 3 core and Earth","2.5mm Twin and Earth"),'Part List'!$A:$G,3,FALSE)*F21
+IF(M21="Indoor",VLOOKUP("7030 2 pair TCAS7302P",'Part List'!$A:$G,3,FALSE),0)*F21
+VLOOKUP(IF(M21="Outdoor",IF(L21="Local","Outdoor_Local","Outdoor_MSSB"),0),_VRF!L:N,2,FALSE)
+IF(M21="Indoor",VLOOKUP(M21,_VRF!L:N,2,FALSE),0),
VLOOKUP(M21,_VRF!L:N,2,FALSE)
+(VLOOKUP("7030 2 pair TCAS7302P",'Part List'!$A:$G,3,FALSE)+2*VLOOKUP("2.5mm Twin and Earth",'Part List'!$A:$G,3,FALSE))*F21
+VLOOKUP($N$1,_VRF!L:N,2,FALSE)*AE21
+VLOOKUP($O$1,_VRF!L:N,2,FALSE)*AF21
+VLOOKUP($P$1,_VRF!L:N,2,FALSE)*AG21
+VLOOKUP($Q$1,_VRF!L:N,2,FALSE)*AH21
+VLOOKUP($R$1,_VRF!L:N,2,FALSE)*AI21))))</f>
        <v>#N/A</v>
      </c>
      <c r="J21" s="441" t="e">
        <f>F21*VLOOKUP("7030 2 pair TCAS7302P",'Part List'!$A:$G,5,FALSE)*AE21+
+
IF(M21="Controller",VLOOKUP(M21,_VRF!L:N,3,FALSE)
+VLOOKUP($N$1,_VRF!L:N,3,FALSE)*AE21
+VLOOKUP($O$1,_VRF!L:N,3,FALSE)*AF21
+VLOOKUP($P$1,_VRF!L:N,3,FALSE)*AG21
+VLOOKUP($Q$1,_VRF!L:N,3,FALSE)*AH21
+VLOOKUP($R$1,_VRF!L:N,3,FALSE)*AI21
+(VLOOKUP("Network cable",'Part List'!$A:$G,5,FALSE)+VLOOKUP("2.5mm Twin and Earth",'Part List'!$A:$G,5,FALSE))*F21,
IF(M21="PAC",VLOOKUP(M21,_VRF!L:N,3,FALSE)
+VLOOKUP($N$1,_VRF!L:N,3,FALSE)*AE21
+VLOOKUP($O$1,_VRF!L:N,3,FALSE)*AF21
+VLOOKUP($P$1,_VRF!L:N,3,FALSE)*AG21
+VLOOKUP($Q$1,_VRF!L:N,3,FALSE)*AH21
+VLOOKUP($R$1,_VRF!L:N,3,FALSE)*AI21
+VLOOKUP("6mm Cable 3 core and Earth",'Part List'!$A:$G,5,FALSE)*F21,
IF(M21="Branch Box",VLOOKUP(M21,_VRF!L:N,3,FALSE)
+VLOOKUP($N$1,_VRF!L:N,3,FALSE)*AE21
+VLOOKUP($O$1,_VRF!L:N,3,FALSE)*AF21
+VLOOKUP($P$1,_VRF!L:N,3,FALSE)*AG21
+VLOOKUP($Q$1,_VRF!L:N,3,FALSE)*AH21
+VLOOKUP($R$1,_VRF!L:N,3,FALSE)*AI21
+(VLOOKUP("2.5mm Twin and Earth",'Part List'!$A:$G,5,FALSE)+VLOOKUP("7030 2 pair TCAS7302P",'Part List'!$A:$G,5,FALSE))*F21,
+IF(NOT(M21="Split"),IF(OR(M21="Outdoor",M21="Indoor"),0,VLOOKUP(AD21,_VRF!L:N,3,FALSE)+VLOOKUP(M21,_VRF!L:N,3,FALSE))
+VLOOKUP($N$1,_VRF!L:N,3,FALSE)*AE21
+VLOOKUP($O$1,_VRF!L:N,3,FALSE)*AF21
+VLOOKUP($P$1,_VRF!L:N,3,FALSE)*AG21
+VLOOKUP($Q$1,_VRF!L:N,3,FALSE)*AH21
+VLOOKUP($R$1,_VRF!L:N,3,FALSE)*AI21
+VLOOKUP(IF(M21="Outdoor","4mm Cable 3 core and Earth","2.5mm Twin and Earth"),'Part List'!$A:$G,5,FALSE)*F21
+IF(M21="Indoor",VLOOKUP("7030 2 pair TCAS7302P",'Part List'!$A:$G,5,FALSE),0)*F21
+VLOOKUP(IF(M21="Outdoor",IF(L21="Local","Outdoor_Local","Outdoor_MSSB"),0),_VRF!L:N,3,FALSE)
+IF(M21="Indoor",VLOOKUP(M21,_VRF!L:N,3,FALSE),0),
VLOOKUP(M21,_VRF!L:N,3,FALSE)
+(VLOOKUP("7030 2 pair TCAS7302P",'Part List'!$A:$G,5,FALSE)+2*VLOOKUP("2.5mm Twin and Earth",'Part List'!$A:$G,5,FALSE))*F21
+VLOOKUP($N$1,_VRF!L:N,3,FALSE)*AE21
+VLOOKUP($O$1,_VRF!L:N,3,FALSE)*AF21
+VLOOKUP($P$1,_VRF!L:N,3,FALSE)*AG21
+VLOOKUP($Q$1,_VRF!L:N,3,FALSE)*AH21
+VLOOKUP($R$1,_VRF!L:N,3,FALSE)*AI21))))</f>
        <v>#N/A</v>
      </c>
      <c r="K21" s="430" t="e">
        <f>_xlfn.CONCAT(VLOOKUP(M21,_VRF!$A$39:$C$44,3,FALSE), "-",
IF(N21="Yes", 1, 0)*X21, IF(O21="Yes", 1, 0)*Y21, IF(P21="Yes", 1, 0)*Z21, AA21*IF(Q21="Yes", 1, 0),IF(R21="Yes", 1, 0)*AB21,IF(W21 = 1, IF(L21="Local", "-L", "-M"),""))</f>
        <v>#N/A</v>
      </c>
      <c r="L21" s="432" t="s">
        <v>678</v>
      </c>
      <c r="M21" s="432"/>
      <c r="N21" s="440"/>
      <c r="O21" s="440"/>
      <c r="P21" s="440"/>
      <c r="Q21" s="440"/>
      <c r="R21" s="440"/>
      <c r="S21" s="114" t="str">
        <f t="shared" si="7"/>
        <v/>
      </c>
      <c r="W21" s="114" t="e">
        <f>VLOOKUP($M21,_VRF!$A$26:$G$31, 2, FALSE)</f>
        <v>#N/A</v>
      </c>
      <c r="X21" s="114" t="e">
        <f>VLOOKUP($M21,_VRF!$A$26:$G$31, 3, FALSE)</f>
        <v>#N/A</v>
      </c>
      <c r="Y21" s="114" t="e">
        <f>VLOOKUP($M21,_VRF!$A$26:$G$31, 4, FALSE)</f>
        <v>#N/A</v>
      </c>
      <c r="Z21" s="114" t="e">
        <f>VLOOKUP($M21,_VRF!$A$26:$G$31, 5, FALSE)</f>
        <v>#N/A</v>
      </c>
      <c r="AA21" s="114" t="e">
        <f>VLOOKUP($M21,_VRF!$A$26:$G$31, 6, FALSE)</f>
        <v>#N/A</v>
      </c>
      <c r="AB21" s="114" t="e">
        <f>VLOOKUP($M21,_VRF!$A$26:$G$31, 7, FALSE)</f>
        <v>#N/A</v>
      </c>
      <c r="AD21" s="114" t="e">
        <f t="shared" si="8"/>
        <v>#N/A</v>
      </c>
      <c r="AE21" s="114">
        <f t="shared" si="17"/>
        <v>0</v>
      </c>
      <c r="AF21" s="114">
        <f t="shared" si="17"/>
        <v>0</v>
      </c>
      <c r="AG21" s="114">
        <f t="shared" si="17"/>
        <v>0</v>
      </c>
      <c r="AH21" s="114">
        <f t="shared" si="17"/>
        <v>0</v>
      </c>
      <c r="AI21" s="114">
        <f t="shared" si="17"/>
        <v>0</v>
      </c>
      <c r="AM21" s="432" t="str">
        <f t="shared" si="10"/>
        <v/>
      </c>
      <c r="AN21" s="114">
        <f t="shared" si="2"/>
        <v>0</v>
      </c>
      <c r="AO21" s="114" t="str">
        <f>_xlfn.CONCAT(E21," (",VLOOKUP(E21,[1]Backend!C:D,2,FALSE),")")</f>
        <v xml:space="preserve"> (Zero)</v>
      </c>
      <c r="AP21" s="114" t="str">
        <f>_xlfn.CONCAT(AN21," - Electrical power supply and controls to ",AO21," ",VLOOKUP(M21,_VRF!$A$39:$G$48,2,FALSE))</f>
        <v xml:space="preserve">0 - Electrical power supply and controls to  (Zero) </v>
      </c>
      <c r="AQ21" s="114" t="str">
        <f t="shared" si="11"/>
        <v xml:space="preserve"> </v>
      </c>
      <c r="AR21" s="114" t="str">
        <f t="shared" si="12"/>
        <v/>
      </c>
      <c r="AS21" s="114" t="e">
        <f t="shared" si="13"/>
        <v>#N/A</v>
      </c>
      <c r="AT21" s="114" t="e">
        <f t="shared" si="14"/>
        <v>#N/A</v>
      </c>
      <c r="AU21" s="114" t="str">
        <f t="shared" si="15"/>
        <v>0.1 - This includes supply and install of power and controls.</v>
      </c>
      <c r="AV21" s="114" t="str">
        <f>_xlfn.CONCAT(AN21,".2 - Power for system includes: ",VLOOKUP(L21,_VRF!L:O,4,FALSE))</f>
        <v xml:space="preserve">0.2 - Power for system includes: CB and cabling to unit from MSSB, and local isolator, </v>
      </c>
      <c r="AW21" s="114" t="e">
        <f t="shared" si="16"/>
        <v>#N/A</v>
      </c>
      <c r="AX21" s="114" t="str">
        <f>_xlfn.CONCAT(
IF(M21="Yes",VLOOKUP(M$1,_VRF!L:Z,4,FALSE),""),
IF(N21="Yes",VLOOKUP(N$1,_VRF!L:Z,4,FALSE),""),
IF(O21="Yes",VLOOKUP(O$1,_VRF!L:Z,4,FALSE),""),
IF(P21="Yes",VLOOKUP(P$1,_VRF!L:Z,4,FALSE),""),
IF(Q21="Yes",VLOOKUP(Q$1,_VRF!L:Z,4,FALSE),""),
IF(R21="Yes",VLOOKUP(R$1,_VRF!L:Z,4,FALSE),""))</f>
        <v/>
      </c>
      <c r="AZ21" s="114" t="str">
        <f>_xlfn.CONCAT(VLOOKUP(M21,_VRF!$A$39:$G$48,2,FALSE),AQ21,AR21,)</f>
        <v xml:space="preserve"> </v>
      </c>
    </row>
    <row r="22" spans="1:52" x14ac:dyDescent="0.4">
      <c r="A22" s="429" t="str">
        <f t="shared" si="3"/>
        <v>INVALID</v>
      </c>
      <c r="B22" s="430" t="str">
        <f t="shared" si="4"/>
        <v>VRF 21</v>
      </c>
      <c r="C22" s="431">
        <f t="shared" si="5"/>
        <v>0</v>
      </c>
      <c r="D22" s="430">
        <f t="shared" si="6"/>
        <v>0</v>
      </c>
      <c r="E22" s="430"/>
      <c r="F22" s="430">
        <f t="shared" si="0"/>
        <v>20</v>
      </c>
      <c r="G22" s="440"/>
      <c r="H22" s="441"/>
      <c r="I22" s="440" t="e">
        <f>F22*VLOOKUP("7030 2 pair TCAS7302P",'Part List'!$A:$G,3,FALSE)*AE22
+IF(M22="Controller",VLOOKUP(M22,_VRF!L:N,2,FALSE)
+VLOOKUP($N$1,_VRF!L:N,2,FALSE)*AE22
+VLOOKUP($O$1,_VRF!L:N,2,FALSE)*AF22
+VLOOKUP($P$1,_VRF!L:N,2,FALSE)*AG22
+VLOOKUP($Q$1,_VRF!L:N,2,FALSE)*AH22
+VLOOKUP($R$1,_VRF!L:N,2,FALSE)*AI22
+(VLOOKUP("Network cable",'Part List'!$A:$G,3,FALSE)+VLOOKUP("2.5mm Twin and Earth",'Part List'!$A:$G,3,FALSE))*F22,
IF(M22="PAC",VLOOKUP(M22,_VRF!L:N,2,FALSE)
+VLOOKUP($N$1,_VRF!L:N,2,FALSE)*AE22
+VLOOKUP($O$1,_VRF!L:N,2,FALSE)*AF22
+VLOOKUP($P$1,_VRF!L:N,2,FALSE)*AG22
+VLOOKUP($Q$1,_VRF!L:N,2,FALSE)*AH22
+VLOOKUP($R$1,_VRF!L:N,2,FALSE)*AI22
+VLOOKUP("6mm Cable 3 core and Earth",'Part List'!$A:$G,3,FALSE)*F22,
IF(M22="Branch Box",VLOOKUP(M22,_VRF!L:N,2,FALSE)
+VLOOKUP($N$1,_VRF!L:N,2,FALSE)*AE22
+VLOOKUP($O$1,_VRF!L:N,2,FALSE)*AF22
+VLOOKUP($P$1,_VRF!L:N,2,FALSE)*AG22
+VLOOKUP($Q$1,_VRF!L:N,2,FALSE)*AH22
+VLOOKUP($R$1,_VRF!L:N,2,FALSE)*AI22
+(VLOOKUP("2.5mm Twin and Earth",'Part List'!$A:$G,3,FALSE)+VLOOKUP("7030 2 pair TCAS7302P",'Part List'!$A:$G,3,FALSE))*F22,
+IF(NOT(M22="Split"),IF(OR(M22="Outdoor",M22="Indoor"),0,VLOOKUP(AD22,_VRF!L:N,2,FALSE)+VLOOKUP(M22,_VRF!L:N,2,FALSE))
+VLOOKUP($N$1,_VRF!L:N,2,FALSE)*AE22
+VLOOKUP($O$1,_VRF!L:N,2,FALSE)*AF22
+VLOOKUP($P$1,_VRF!L:N,2,FALSE)*AG22
+VLOOKUP($Q$1,_VRF!L:N,2,FALSE)*AH22
+VLOOKUP($R$1,_VRF!L:N,2,FALSE)*AI22
+VLOOKUP(IF(M22="Outdoor","4mm Cable 3 core and Earth","2.5mm Twin and Earth"),'Part List'!$A:$G,3,FALSE)*F22
+IF(M22="Indoor",VLOOKUP("7030 2 pair TCAS7302P",'Part List'!$A:$G,3,FALSE),0)*F22
+VLOOKUP(IF(M22="Outdoor",IF(L22="Local","Outdoor_Local","Outdoor_MSSB"),0),_VRF!L:N,2,FALSE)
+IF(M22="Indoor",VLOOKUP(M22,_VRF!L:N,2,FALSE),0),
VLOOKUP(M22,_VRF!L:N,2,FALSE)
+(VLOOKUP("7030 2 pair TCAS7302P",'Part List'!$A:$G,3,FALSE)+2*VLOOKUP("2.5mm Twin and Earth",'Part List'!$A:$G,3,FALSE))*F22
+VLOOKUP($N$1,_VRF!L:N,2,FALSE)*AE22
+VLOOKUP($O$1,_VRF!L:N,2,FALSE)*AF22
+VLOOKUP($P$1,_VRF!L:N,2,FALSE)*AG22
+VLOOKUP($Q$1,_VRF!L:N,2,FALSE)*AH22
+VLOOKUP($R$1,_VRF!L:N,2,FALSE)*AI22))))</f>
        <v>#N/A</v>
      </c>
      <c r="J22" s="441" t="e">
        <f>F22*VLOOKUP("7030 2 pair TCAS7302P",'Part List'!$A:$G,5,FALSE)*AE22+
+
IF(M22="Controller",VLOOKUP(M22,_VRF!L:N,3,FALSE)
+VLOOKUP($N$1,_VRF!L:N,3,FALSE)*AE22
+VLOOKUP($O$1,_VRF!L:N,3,FALSE)*AF22
+VLOOKUP($P$1,_VRF!L:N,3,FALSE)*AG22
+VLOOKUP($Q$1,_VRF!L:N,3,FALSE)*AH22
+VLOOKUP($R$1,_VRF!L:N,3,FALSE)*AI22
+(VLOOKUP("Network cable",'Part List'!$A:$G,5,FALSE)+VLOOKUP("2.5mm Twin and Earth",'Part List'!$A:$G,5,FALSE))*F22,
IF(M22="PAC",VLOOKUP(M22,_VRF!L:N,3,FALSE)
+VLOOKUP($N$1,_VRF!L:N,3,FALSE)*AE22
+VLOOKUP($O$1,_VRF!L:N,3,FALSE)*AF22
+VLOOKUP($P$1,_VRF!L:N,3,FALSE)*AG22
+VLOOKUP($Q$1,_VRF!L:N,3,FALSE)*AH22
+VLOOKUP($R$1,_VRF!L:N,3,FALSE)*AI22
+VLOOKUP("6mm Cable 3 core and Earth",'Part List'!$A:$G,5,FALSE)*F22,
IF(M22="Branch Box",VLOOKUP(M22,_VRF!L:N,3,FALSE)
+VLOOKUP($N$1,_VRF!L:N,3,FALSE)*AE22
+VLOOKUP($O$1,_VRF!L:N,3,FALSE)*AF22
+VLOOKUP($P$1,_VRF!L:N,3,FALSE)*AG22
+VLOOKUP($Q$1,_VRF!L:N,3,FALSE)*AH22
+VLOOKUP($R$1,_VRF!L:N,3,FALSE)*AI22
+(VLOOKUP("2.5mm Twin and Earth",'Part List'!$A:$G,5,FALSE)+VLOOKUP("7030 2 pair TCAS7302P",'Part List'!$A:$G,5,FALSE))*F22,
+IF(NOT(M22="Split"),IF(OR(M22="Outdoor",M22="Indoor"),0,VLOOKUP(AD22,_VRF!L:N,3,FALSE)+VLOOKUP(M22,_VRF!L:N,3,FALSE))
+VLOOKUP($N$1,_VRF!L:N,3,FALSE)*AE22
+VLOOKUP($O$1,_VRF!L:N,3,FALSE)*AF22
+VLOOKUP($P$1,_VRF!L:N,3,FALSE)*AG22
+VLOOKUP($Q$1,_VRF!L:N,3,FALSE)*AH22
+VLOOKUP($R$1,_VRF!L:N,3,FALSE)*AI22
+VLOOKUP(IF(M22="Outdoor","4mm Cable 3 core and Earth","2.5mm Twin and Earth"),'Part List'!$A:$G,5,FALSE)*F22
+IF(M22="Indoor",VLOOKUP("7030 2 pair TCAS7302P",'Part List'!$A:$G,5,FALSE),0)*F22
+VLOOKUP(IF(M22="Outdoor",IF(L22="Local","Outdoor_Local","Outdoor_MSSB"),0),_VRF!L:N,3,FALSE)
+IF(M22="Indoor",VLOOKUP(M22,_VRF!L:N,3,FALSE),0),
VLOOKUP(M22,_VRF!L:N,3,FALSE)
+(VLOOKUP("7030 2 pair TCAS7302P",'Part List'!$A:$G,5,FALSE)+2*VLOOKUP("2.5mm Twin and Earth",'Part List'!$A:$G,5,FALSE))*F22
+VLOOKUP($N$1,_VRF!L:N,3,FALSE)*AE22
+VLOOKUP($O$1,_VRF!L:N,3,FALSE)*AF22
+VLOOKUP($P$1,_VRF!L:N,3,FALSE)*AG22
+VLOOKUP($Q$1,_VRF!L:N,3,FALSE)*AH22
+VLOOKUP($R$1,_VRF!L:N,3,FALSE)*AI22))))</f>
        <v>#N/A</v>
      </c>
      <c r="K22" s="430" t="e">
        <f>_xlfn.CONCAT(VLOOKUP(M22,_VRF!$A$39:$C$44,3,FALSE), "-",
IF(N22="Yes", 1, 0)*X22, IF(O22="Yes", 1, 0)*Y22, IF(P22="Yes", 1, 0)*Z22, AA22*IF(Q22="Yes", 1, 0),IF(R22="Yes", 1, 0)*AB22,IF(W22 = 1, IF(L22="Local", "-L", "-M"),""))</f>
        <v>#N/A</v>
      </c>
      <c r="L22" s="432" t="s">
        <v>678</v>
      </c>
      <c r="M22" s="432"/>
      <c r="N22" s="440"/>
      <c r="O22" s="440"/>
      <c r="P22" s="440"/>
      <c r="Q22" s="440"/>
      <c r="R22" s="440"/>
      <c r="S22" s="114" t="str">
        <f t="shared" si="7"/>
        <v/>
      </c>
      <c r="W22" s="114" t="e">
        <f>VLOOKUP($M22,_VRF!$A$26:$G$31, 2, FALSE)</f>
        <v>#N/A</v>
      </c>
      <c r="X22" s="114" t="e">
        <f>VLOOKUP($M22,_VRF!$A$26:$G$31, 3, FALSE)</f>
        <v>#N/A</v>
      </c>
      <c r="Y22" s="114" t="e">
        <f>VLOOKUP($M22,_VRF!$A$26:$G$31, 4, FALSE)</f>
        <v>#N/A</v>
      </c>
      <c r="Z22" s="114" t="e">
        <f>VLOOKUP($M22,_VRF!$A$26:$G$31, 5, FALSE)</f>
        <v>#N/A</v>
      </c>
      <c r="AA22" s="114" t="e">
        <f>VLOOKUP($M22,_VRF!$A$26:$G$31, 6, FALSE)</f>
        <v>#N/A</v>
      </c>
      <c r="AB22" s="114" t="e">
        <f>VLOOKUP($M22,_VRF!$A$26:$G$31, 7, FALSE)</f>
        <v>#N/A</v>
      </c>
      <c r="AD22" s="114" t="e">
        <f t="shared" si="8"/>
        <v>#N/A</v>
      </c>
      <c r="AE22" s="114">
        <f t="shared" si="17"/>
        <v>0</v>
      </c>
      <c r="AF22" s="114">
        <f t="shared" si="17"/>
        <v>0</v>
      </c>
      <c r="AG22" s="114">
        <f t="shared" si="17"/>
        <v>0</v>
      </c>
      <c r="AH22" s="114">
        <f t="shared" si="17"/>
        <v>0</v>
      </c>
      <c r="AI22" s="114">
        <f t="shared" si="17"/>
        <v>0</v>
      </c>
      <c r="AM22" s="432" t="str">
        <f t="shared" si="10"/>
        <v/>
      </c>
      <c r="AN22" s="114">
        <f t="shared" si="2"/>
        <v>0</v>
      </c>
      <c r="AO22" s="114" t="str">
        <f>_xlfn.CONCAT(E22," (",VLOOKUP(E22,[1]Backend!C:D,2,FALSE),")")</f>
        <v xml:space="preserve"> (Zero)</v>
      </c>
      <c r="AP22" s="114" t="str">
        <f>_xlfn.CONCAT(AN22," - Electrical power supply and controls to ",AO22," ",VLOOKUP(M22,_VRF!$A$39:$G$48,2,FALSE))</f>
        <v xml:space="preserve">0 - Electrical power supply and controls to  (Zero) </v>
      </c>
      <c r="AQ22" s="114" t="str">
        <f t="shared" si="11"/>
        <v xml:space="preserve"> </v>
      </c>
      <c r="AR22" s="114" t="str">
        <f t="shared" si="12"/>
        <v/>
      </c>
      <c r="AS22" s="114" t="e">
        <f t="shared" si="13"/>
        <v>#N/A</v>
      </c>
      <c r="AT22" s="114" t="e">
        <f t="shared" si="14"/>
        <v>#N/A</v>
      </c>
      <c r="AU22" s="114" t="str">
        <f t="shared" si="15"/>
        <v>0.1 - This includes supply and install of power and controls.</v>
      </c>
      <c r="AV22" s="114" t="str">
        <f>_xlfn.CONCAT(AN22,".2 - Power for system includes: ",VLOOKUP(L22,_VRF!L:O,4,FALSE))</f>
        <v xml:space="preserve">0.2 - Power for system includes: CB and cabling to unit from MSSB, and local isolator, </v>
      </c>
      <c r="AW22" s="114" t="e">
        <f t="shared" si="16"/>
        <v>#N/A</v>
      </c>
      <c r="AX22" s="114" t="str">
        <f>_xlfn.CONCAT(
IF(M22="Yes",VLOOKUP(M$1,_VRF!L:Z,4,FALSE),""),
IF(N22="Yes",VLOOKUP(N$1,_VRF!L:Z,4,FALSE),""),
IF(O22="Yes",VLOOKUP(O$1,_VRF!L:Z,4,FALSE),""),
IF(P22="Yes",VLOOKUP(P$1,_VRF!L:Z,4,FALSE),""),
IF(Q22="Yes",VLOOKUP(Q$1,_VRF!L:Z,4,FALSE),""),
IF(R22="Yes",VLOOKUP(R$1,_VRF!L:Z,4,FALSE),""))</f>
        <v/>
      </c>
      <c r="AZ22" s="114" t="str">
        <f>_xlfn.CONCAT(VLOOKUP(M22,_VRF!$A$39:$G$48,2,FALSE),AQ22,AR22,)</f>
        <v xml:space="preserve"> </v>
      </c>
    </row>
    <row r="23" spans="1:52" x14ac:dyDescent="0.4">
      <c r="A23" s="429" t="str">
        <f t="shared" si="3"/>
        <v>INVALID</v>
      </c>
      <c r="B23" s="430" t="str">
        <f t="shared" si="4"/>
        <v>VRF 22</v>
      </c>
      <c r="C23" s="431">
        <f t="shared" si="5"/>
        <v>0</v>
      </c>
      <c r="D23" s="430">
        <f t="shared" si="6"/>
        <v>0</v>
      </c>
      <c r="E23" s="430"/>
      <c r="F23" s="430">
        <f t="shared" si="0"/>
        <v>20</v>
      </c>
      <c r="G23" s="440"/>
      <c r="H23" s="441"/>
      <c r="I23" s="440" t="e">
        <f>F23*VLOOKUP("7030 2 pair TCAS7302P",'Part List'!$A:$G,3,FALSE)*AE23
+IF(M23="Controller",VLOOKUP(M23,_VRF!L:N,2,FALSE)
+VLOOKUP($N$1,_VRF!L:N,2,FALSE)*AE23
+VLOOKUP($O$1,_VRF!L:N,2,FALSE)*AF23
+VLOOKUP($P$1,_VRF!L:N,2,FALSE)*AG23
+VLOOKUP($Q$1,_VRF!L:N,2,FALSE)*AH23
+VLOOKUP($R$1,_VRF!L:N,2,FALSE)*AI23
+(VLOOKUP("Network cable",'Part List'!$A:$G,3,FALSE)+VLOOKUP("2.5mm Twin and Earth",'Part List'!$A:$G,3,FALSE))*F23,
IF(M23="PAC",VLOOKUP(M23,_VRF!L:N,2,FALSE)
+VLOOKUP($N$1,_VRF!L:N,2,FALSE)*AE23
+VLOOKUP($O$1,_VRF!L:N,2,FALSE)*AF23
+VLOOKUP($P$1,_VRF!L:N,2,FALSE)*AG23
+VLOOKUP($Q$1,_VRF!L:N,2,FALSE)*AH23
+VLOOKUP($R$1,_VRF!L:N,2,FALSE)*AI23
+VLOOKUP("6mm Cable 3 core and Earth",'Part List'!$A:$G,3,FALSE)*F23,
IF(M23="Branch Box",VLOOKUP(M23,_VRF!L:N,2,FALSE)
+VLOOKUP($N$1,_VRF!L:N,2,FALSE)*AE23
+VLOOKUP($O$1,_VRF!L:N,2,FALSE)*AF23
+VLOOKUP($P$1,_VRF!L:N,2,FALSE)*AG23
+VLOOKUP($Q$1,_VRF!L:N,2,FALSE)*AH23
+VLOOKUP($R$1,_VRF!L:N,2,FALSE)*AI23
+(VLOOKUP("2.5mm Twin and Earth",'Part List'!$A:$G,3,FALSE)+VLOOKUP("7030 2 pair TCAS7302P",'Part List'!$A:$G,3,FALSE))*F23,
+IF(NOT(M23="Split"),IF(OR(M23="Outdoor",M23="Indoor"),0,VLOOKUP(AD23,_VRF!L:N,2,FALSE)+VLOOKUP(M23,_VRF!L:N,2,FALSE))
+VLOOKUP($N$1,_VRF!L:N,2,FALSE)*AE23
+VLOOKUP($O$1,_VRF!L:N,2,FALSE)*AF23
+VLOOKUP($P$1,_VRF!L:N,2,FALSE)*AG23
+VLOOKUP($Q$1,_VRF!L:N,2,FALSE)*AH23
+VLOOKUP($R$1,_VRF!L:N,2,FALSE)*AI23
+VLOOKUP(IF(M23="Outdoor","4mm Cable 3 core and Earth","2.5mm Twin and Earth"),'Part List'!$A:$G,3,FALSE)*F23
+IF(M23="Indoor",VLOOKUP("7030 2 pair TCAS7302P",'Part List'!$A:$G,3,FALSE),0)*F23
+VLOOKUP(IF(M23="Outdoor",IF(L23="Local","Outdoor_Local","Outdoor_MSSB"),0),_VRF!L:N,2,FALSE)
+IF(M23="Indoor",VLOOKUP(M23,_VRF!L:N,2,FALSE),0),
VLOOKUP(M23,_VRF!L:N,2,FALSE)
+(VLOOKUP("7030 2 pair TCAS7302P",'Part List'!$A:$G,3,FALSE)+2*VLOOKUP("2.5mm Twin and Earth",'Part List'!$A:$G,3,FALSE))*F23
+VLOOKUP($N$1,_VRF!L:N,2,FALSE)*AE23
+VLOOKUP($O$1,_VRF!L:N,2,FALSE)*AF23
+VLOOKUP($P$1,_VRF!L:N,2,FALSE)*AG23
+VLOOKUP($Q$1,_VRF!L:N,2,FALSE)*AH23
+VLOOKUP($R$1,_VRF!L:N,2,FALSE)*AI23))))</f>
        <v>#N/A</v>
      </c>
      <c r="J23" s="441" t="e">
        <f>F23*VLOOKUP("7030 2 pair TCAS7302P",'Part List'!$A:$G,5,FALSE)*AE23+
+
IF(M23="Controller",VLOOKUP(M23,_VRF!L:N,3,FALSE)
+VLOOKUP($N$1,_VRF!L:N,3,FALSE)*AE23
+VLOOKUP($O$1,_VRF!L:N,3,FALSE)*AF23
+VLOOKUP($P$1,_VRF!L:N,3,FALSE)*AG23
+VLOOKUP($Q$1,_VRF!L:N,3,FALSE)*AH23
+VLOOKUP($R$1,_VRF!L:N,3,FALSE)*AI23
+(VLOOKUP("Network cable",'Part List'!$A:$G,5,FALSE)+VLOOKUP("2.5mm Twin and Earth",'Part List'!$A:$G,5,FALSE))*F23,
IF(M23="PAC",VLOOKUP(M23,_VRF!L:N,3,FALSE)
+VLOOKUP($N$1,_VRF!L:N,3,FALSE)*AE23
+VLOOKUP($O$1,_VRF!L:N,3,FALSE)*AF23
+VLOOKUP($P$1,_VRF!L:N,3,FALSE)*AG23
+VLOOKUP($Q$1,_VRF!L:N,3,FALSE)*AH23
+VLOOKUP($R$1,_VRF!L:N,3,FALSE)*AI23
+VLOOKUP("6mm Cable 3 core and Earth",'Part List'!$A:$G,5,FALSE)*F23,
IF(M23="Branch Box",VLOOKUP(M23,_VRF!L:N,3,FALSE)
+VLOOKUP($N$1,_VRF!L:N,3,FALSE)*AE23
+VLOOKUP($O$1,_VRF!L:N,3,FALSE)*AF23
+VLOOKUP($P$1,_VRF!L:N,3,FALSE)*AG23
+VLOOKUP($Q$1,_VRF!L:N,3,FALSE)*AH23
+VLOOKUP($R$1,_VRF!L:N,3,FALSE)*AI23
+(VLOOKUP("2.5mm Twin and Earth",'Part List'!$A:$G,5,FALSE)+VLOOKUP("7030 2 pair TCAS7302P",'Part List'!$A:$G,5,FALSE))*F23,
+IF(NOT(M23="Split"),IF(OR(M23="Outdoor",M23="Indoor"),0,VLOOKUP(AD23,_VRF!L:N,3,FALSE)+VLOOKUP(M23,_VRF!L:N,3,FALSE))
+VLOOKUP($N$1,_VRF!L:N,3,FALSE)*AE23
+VLOOKUP($O$1,_VRF!L:N,3,FALSE)*AF23
+VLOOKUP($P$1,_VRF!L:N,3,FALSE)*AG23
+VLOOKUP($Q$1,_VRF!L:N,3,FALSE)*AH23
+VLOOKUP($R$1,_VRF!L:N,3,FALSE)*AI23
+VLOOKUP(IF(M23="Outdoor","4mm Cable 3 core and Earth","2.5mm Twin and Earth"),'Part List'!$A:$G,5,FALSE)*F23
+IF(M23="Indoor",VLOOKUP("7030 2 pair TCAS7302P",'Part List'!$A:$G,5,FALSE),0)*F23
+VLOOKUP(IF(M23="Outdoor",IF(L23="Local","Outdoor_Local","Outdoor_MSSB"),0),_VRF!L:N,3,FALSE)
+IF(M23="Indoor",VLOOKUP(M23,_VRF!L:N,3,FALSE),0),
VLOOKUP(M23,_VRF!L:N,3,FALSE)
+(VLOOKUP("7030 2 pair TCAS7302P",'Part List'!$A:$G,5,FALSE)+2*VLOOKUP("2.5mm Twin and Earth",'Part List'!$A:$G,5,FALSE))*F23
+VLOOKUP($N$1,_VRF!L:N,3,FALSE)*AE23
+VLOOKUP($O$1,_VRF!L:N,3,FALSE)*AF23
+VLOOKUP($P$1,_VRF!L:N,3,FALSE)*AG23
+VLOOKUP($Q$1,_VRF!L:N,3,FALSE)*AH23
+VLOOKUP($R$1,_VRF!L:N,3,FALSE)*AI23))))</f>
        <v>#N/A</v>
      </c>
      <c r="K23" s="430" t="e">
        <f>_xlfn.CONCAT(VLOOKUP(M23,_VRF!$A$39:$C$44,3,FALSE), "-",
IF(N23="Yes", 1, 0)*X23, IF(O23="Yes", 1, 0)*Y23, IF(P23="Yes", 1, 0)*Z23, AA23*IF(Q23="Yes", 1, 0),IF(R23="Yes", 1, 0)*AB23,IF(W23 = 1, IF(L23="Local", "-L", "-M"),""))</f>
        <v>#N/A</v>
      </c>
      <c r="L23" s="432" t="s">
        <v>678</v>
      </c>
      <c r="M23" s="432"/>
      <c r="N23" s="440"/>
      <c r="O23" s="440"/>
      <c r="P23" s="440"/>
      <c r="Q23" s="440"/>
      <c r="R23" s="440"/>
      <c r="S23" s="114" t="str">
        <f t="shared" si="7"/>
        <v/>
      </c>
      <c r="W23" s="114" t="e">
        <f>VLOOKUP($M23,_VRF!$A$26:$G$31, 2, FALSE)</f>
        <v>#N/A</v>
      </c>
      <c r="X23" s="114" t="e">
        <f>VLOOKUP($M23,_VRF!$A$26:$G$31, 3, FALSE)</f>
        <v>#N/A</v>
      </c>
      <c r="Y23" s="114" t="e">
        <f>VLOOKUP($M23,_VRF!$A$26:$G$31, 4, FALSE)</f>
        <v>#N/A</v>
      </c>
      <c r="Z23" s="114" t="e">
        <f>VLOOKUP($M23,_VRF!$A$26:$G$31, 5, FALSE)</f>
        <v>#N/A</v>
      </c>
      <c r="AA23" s="114" t="e">
        <f>VLOOKUP($M23,_VRF!$A$26:$G$31, 6, FALSE)</f>
        <v>#N/A</v>
      </c>
      <c r="AB23" s="114" t="e">
        <f>VLOOKUP($M23,_VRF!$A$26:$G$31, 7, FALSE)</f>
        <v>#N/A</v>
      </c>
      <c r="AD23" s="114" t="e">
        <f t="shared" si="8"/>
        <v>#N/A</v>
      </c>
      <c r="AE23" s="114">
        <f t="shared" si="17"/>
        <v>0</v>
      </c>
      <c r="AF23" s="114">
        <f t="shared" si="17"/>
        <v>0</v>
      </c>
      <c r="AG23" s="114">
        <f t="shared" si="17"/>
        <v>0</v>
      </c>
      <c r="AH23" s="114">
        <f t="shared" si="17"/>
        <v>0</v>
      </c>
      <c r="AI23" s="114">
        <f t="shared" si="17"/>
        <v>0</v>
      </c>
      <c r="AM23" s="432" t="str">
        <f t="shared" si="10"/>
        <v/>
      </c>
      <c r="AW23" s="114" t="e">
        <f t="shared" si="16"/>
        <v>#N/A</v>
      </c>
      <c r="AX23" s="114" t="str">
        <f>_xlfn.CONCAT(
IF(M23="Yes",VLOOKUP(M$1,_VRF!L:Z,4,FALSE),""),
IF(N23="Yes",VLOOKUP(N$1,_VRF!L:Z,4,FALSE),""),
IF(O23="Yes",VLOOKUP(O$1,_VRF!L:Z,4,FALSE),""),
IF(P23="Yes",VLOOKUP(P$1,_VRF!L:Z,4,FALSE),""),
IF(Q23="Yes",VLOOKUP(Q$1,_VRF!L:Z,4,FALSE),""),
IF(R23="Yes",VLOOKUP(R$1,_VRF!L:Z,4,FALSE),""))</f>
        <v/>
      </c>
      <c r="AZ23" s="114" t="str">
        <f>_xlfn.CONCAT(VLOOKUP(M23,_VRF!$A$39:$G$48,2,FALSE),AQ23,AR23,)</f>
        <v/>
      </c>
    </row>
    <row r="24" spans="1:52" x14ac:dyDescent="0.4">
      <c r="J24" s="441"/>
      <c r="S24" s="114" t="str">
        <f t="shared" si="7"/>
        <v/>
      </c>
    </row>
    <row r="25" spans="1:52" x14ac:dyDescent="0.4">
      <c r="J25" s="441"/>
      <c r="S25" s="114" t="str">
        <f t="shared" si="7"/>
        <v/>
      </c>
    </row>
  </sheetData>
  <conditionalFormatting sqref="A2:A23">
    <cfRule type="cellIs" dxfId="154" priority="4" operator="equal">
      <formula>"INVALID"</formula>
    </cfRule>
    <cfRule type="cellIs" dxfId="153" priority="5" operator="equal">
      <formula>"VALID"</formula>
    </cfRule>
  </conditionalFormatting>
  <conditionalFormatting sqref="L2:R23">
    <cfRule type="cellIs" dxfId="152" priority="3" operator="equal">
      <formula>$AAF$2</formula>
    </cfRule>
  </conditionalFormatting>
  <conditionalFormatting sqref="AW2:AW1048576">
    <cfRule type="colorScale" priority="2">
      <colorScale>
        <cfvo type="min"/>
        <cfvo type="max"/>
        <color rgb="FF63BE7B"/>
        <color rgb="FFFCFCFF"/>
      </colorScale>
    </cfRule>
  </conditionalFormatting>
  <conditionalFormatting sqref="AF1">
    <cfRule type="colorScale" priority="1">
      <colorScale>
        <cfvo type="min"/>
        <cfvo type="max"/>
        <color rgb="FF63BE7B"/>
        <color rgb="FFFCFCFF"/>
      </colorScale>
    </cfRule>
  </conditionalFormatting>
  <dataValidations count="1">
    <dataValidation type="decimal" operator="greaterThanOrEqual" allowBlank="1" showInputMessage="1" showErrorMessage="1" promptTitle="[OVERRIDE] Hours" prompt="Override the default hours for the unit_x000a_" sqref="J2:J25" xr:uid="{D417AECB-4A38-41DD-9AB5-B23FC6F393A9}">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65EBC32-E4D5-4C57-AC92-E4D3A761ECD2}">
          <x14:formula1>
            <xm:f>_VRF!B$2:B$7</xm:f>
          </x14:formula1>
          <xm:sqref>M2:M23</xm:sqref>
        </x14:dataValidation>
        <x14:dataValidation type="list" allowBlank="1" showInputMessage="1" showErrorMessage="1" xr:uid="{A7D73423-B433-4D88-A269-42FE4EB855CB}">
          <x14:formula1>
            <xm:f>_VRF!D$2:D$3</xm:f>
          </x14:formula1>
          <xm:sqref>O8:R23</xm:sqref>
        </x14:dataValidation>
        <x14:dataValidation type="list" allowBlank="1" showInputMessage="1" showErrorMessage="1" xr:uid="{F4284552-17DE-4DA8-B5DE-45C23BF80161}">
          <x14:formula1>
            <xm:f>_Fan!A$2:A$3</xm:f>
          </x14:formula1>
          <xm:sqref>L2:L23 T2:U23 N7:N23 N2:R6 O7:R7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8EDE4-BB17-40CA-ABE3-14A4299BEA4B}">
  <dimension ref="A1:X48"/>
  <sheetViews>
    <sheetView topLeftCell="H4" workbookViewId="0">
      <selection activeCell="Q17" sqref="Q17"/>
    </sheetView>
  </sheetViews>
  <sheetFormatPr defaultColWidth="9.3046875" defaultRowHeight="14.6" x14ac:dyDescent="0.4"/>
  <cols>
    <col min="1" max="3" width="12.3046875" style="114" customWidth="1"/>
    <col min="4" max="4" width="11.53515625" style="114" customWidth="1"/>
    <col min="5" max="10" width="12.3046875" style="114" customWidth="1"/>
    <col min="11" max="11" width="9.3046875" style="114"/>
    <col min="12" max="12" width="18.3046875" style="114" customWidth="1"/>
    <col min="13" max="13" width="9.3046875" style="114"/>
    <col min="14" max="14" width="9.3046875" style="114" customWidth="1"/>
    <col min="15" max="20" width="19.84375" style="114" customWidth="1"/>
    <col min="21" max="16384" width="9.3046875" style="114"/>
  </cols>
  <sheetData>
    <row r="1" spans="1:24" s="418" customFormat="1" ht="43.75" x14ac:dyDescent="0.4">
      <c r="A1" s="427" t="s">
        <v>676</v>
      </c>
      <c r="B1" s="427" t="s">
        <v>1033</v>
      </c>
      <c r="C1" s="427" t="s">
        <v>1021</v>
      </c>
      <c r="D1" s="427" t="s">
        <v>1022</v>
      </c>
      <c r="E1" s="427" t="s">
        <v>1023</v>
      </c>
      <c r="F1" s="418" t="s">
        <v>1024</v>
      </c>
      <c r="G1" s="418" t="s">
        <v>990</v>
      </c>
      <c r="L1" s="418" t="s">
        <v>995</v>
      </c>
      <c r="M1" s="418" t="s">
        <v>996</v>
      </c>
      <c r="N1" s="418" t="s">
        <v>997</v>
      </c>
    </row>
    <row r="2" spans="1:24" x14ac:dyDescent="0.4">
      <c r="A2" s="114" t="s">
        <v>991</v>
      </c>
      <c r="B2" s="114" t="s">
        <v>1028</v>
      </c>
      <c r="C2" s="114" t="s">
        <v>886</v>
      </c>
      <c r="D2" s="114" t="s">
        <v>886</v>
      </c>
      <c r="E2" s="114" t="s">
        <v>886</v>
      </c>
      <c r="F2" s="114" t="s">
        <v>886</v>
      </c>
      <c r="G2" s="114" t="s">
        <v>886</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1034</v>
      </c>
      <c r="P2" s="114" t="s">
        <v>253</v>
      </c>
      <c r="Q2" s="114" t="s">
        <v>999</v>
      </c>
      <c r="R2" s="114" t="s">
        <v>268</v>
      </c>
      <c r="S2" s="114" t="s">
        <v>1000</v>
      </c>
      <c r="T2" s="114" t="s">
        <v>1001</v>
      </c>
    </row>
    <row r="3" spans="1:24" x14ac:dyDescent="0.4">
      <c r="A3" s="114" t="s">
        <v>678</v>
      </c>
      <c r="B3" s="114" t="s">
        <v>1029</v>
      </c>
      <c r="C3" s="114" t="s">
        <v>887</v>
      </c>
      <c r="D3" s="114" t="s">
        <v>887</v>
      </c>
      <c r="E3" s="114" t="s">
        <v>887</v>
      </c>
      <c r="F3" s="114" t="s">
        <v>887</v>
      </c>
      <c r="G3" s="114" t="s">
        <v>887</v>
      </c>
      <c r="P3" s="114">
        <v>1</v>
      </c>
      <c r="Q3" s="114">
        <v>1</v>
      </c>
      <c r="R3" s="114" t="s">
        <v>1002</v>
      </c>
      <c r="S3" s="114">
        <v>1</v>
      </c>
      <c r="T3" s="114">
        <v>1</v>
      </c>
    </row>
    <row r="4" spans="1:24" x14ac:dyDescent="0.4">
      <c r="B4" s="114" t="s">
        <v>1030</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1035</v>
      </c>
      <c r="P4" s="114" t="s">
        <v>253</v>
      </c>
      <c r="Q4" s="114" t="s">
        <v>999</v>
      </c>
      <c r="R4" s="114" t="s">
        <v>268</v>
      </c>
      <c r="S4" s="114" t="s">
        <v>304</v>
      </c>
      <c r="T4" s="114" t="s">
        <v>1341</v>
      </c>
      <c r="U4" s="114" t="s">
        <v>1004</v>
      </c>
      <c r="V4" s="114" t="s">
        <v>1005</v>
      </c>
      <c r="W4" s="114" t="s">
        <v>1001</v>
      </c>
    </row>
    <row r="5" spans="1:24" x14ac:dyDescent="0.4">
      <c r="B5" s="114" t="s">
        <v>1031</v>
      </c>
      <c r="P5" s="114">
        <v>1</v>
      </c>
      <c r="Q5" s="114">
        <v>1</v>
      </c>
      <c r="R5" s="114" t="s">
        <v>1002</v>
      </c>
      <c r="S5" s="114">
        <v>1</v>
      </c>
      <c r="T5" s="114">
        <v>1</v>
      </c>
      <c r="U5" s="114">
        <v>1</v>
      </c>
      <c r="V5" s="114">
        <v>1</v>
      </c>
      <c r="W5" s="114">
        <v>1</v>
      </c>
      <c r="X5" s="114">
        <v>1</v>
      </c>
    </row>
    <row r="6" spans="1:24" x14ac:dyDescent="0.4">
      <c r="B6" s="114" t="s">
        <v>1027</v>
      </c>
      <c r="L6" s="114" t="s">
        <v>1028</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1034</v>
      </c>
      <c r="P6" s="114" t="s">
        <v>253</v>
      </c>
      <c r="Q6" s="114">
        <v>0</v>
      </c>
      <c r="R6" s="114" t="s">
        <v>268</v>
      </c>
      <c r="S6" s="114" t="s">
        <v>269</v>
      </c>
      <c r="T6" s="114" t="s">
        <v>1036</v>
      </c>
      <c r="U6" s="114" t="s">
        <v>239</v>
      </c>
    </row>
    <row r="7" spans="1:24" x14ac:dyDescent="0.4">
      <c r="B7" s="114" t="s">
        <v>1032</v>
      </c>
      <c r="P7" s="114">
        <v>1</v>
      </c>
      <c r="Q7" s="114">
        <v>0</v>
      </c>
      <c r="R7" s="114" t="s">
        <v>1002</v>
      </c>
      <c r="S7" s="114" t="s">
        <v>1002</v>
      </c>
      <c r="T7" s="114">
        <v>1</v>
      </c>
      <c r="U7" s="114">
        <v>1</v>
      </c>
    </row>
    <row r="8" spans="1:24" x14ac:dyDescent="0.4">
      <c r="L8" s="114" t="s">
        <v>1037</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1038</v>
      </c>
      <c r="P8" s="114" t="s">
        <v>267</v>
      </c>
    </row>
    <row r="9" spans="1:24" x14ac:dyDescent="0.4">
      <c r="P9" s="114" t="s">
        <v>1002</v>
      </c>
    </row>
    <row r="10" spans="1:24" x14ac:dyDescent="0.4">
      <c r="L10" s="114" t="s">
        <v>1030</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8.4499999999999993</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1039</v>
      </c>
      <c r="Q10" s="114" t="s">
        <v>1019</v>
      </c>
      <c r="R10" s="114" t="s">
        <v>253</v>
      </c>
      <c r="S10" s="114" t="s">
        <v>999</v>
      </c>
    </row>
    <row r="11" spans="1:24" x14ac:dyDescent="0.4">
      <c r="P11" s="114">
        <v>1</v>
      </c>
      <c r="Q11" s="114">
        <v>1</v>
      </c>
      <c r="R11" s="114">
        <v>1</v>
      </c>
      <c r="S11" s="114">
        <v>0</v>
      </c>
    </row>
    <row r="12" spans="1:24" x14ac:dyDescent="0.4">
      <c r="L12" s="114" t="s">
        <v>1031</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89.9</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1</v>
      </c>
      <c r="P12" s="114" t="s">
        <v>266</v>
      </c>
      <c r="Q12" s="114" t="s">
        <v>1040</v>
      </c>
      <c r="R12" s="114" t="s">
        <v>1041</v>
      </c>
      <c r="S12" s="114" t="s">
        <v>1019</v>
      </c>
    </row>
    <row r="13" spans="1:24" x14ac:dyDescent="0.4">
      <c r="P13" s="114" t="s">
        <v>1002</v>
      </c>
      <c r="Q13" s="114">
        <v>1</v>
      </c>
      <c r="R13" s="114">
        <v>1</v>
      </c>
      <c r="S13" s="114">
        <v>1</v>
      </c>
    </row>
    <row r="14" spans="1:24" x14ac:dyDescent="0.4">
      <c r="A14" s="33" t="s">
        <v>975</v>
      </c>
      <c r="L14" s="114" t="s">
        <v>1027</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965</v>
      </c>
      <c r="B15" s="114" t="s">
        <v>977</v>
      </c>
      <c r="P15" s="114">
        <v>1</v>
      </c>
      <c r="Q15" s="114">
        <v>1</v>
      </c>
      <c r="R15" s="114" t="s">
        <v>1002</v>
      </c>
      <c r="S15" s="114" t="s">
        <v>1002</v>
      </c>
    </row>
    <row r="16" spans="1:24" x14ac:dyDescent="0.4">
      <c r="A16" s="114" t="s">
        <v>978</v>
      </c>
      <c r="B16" s="114" t="s">
        <v>979</v>
      </c>
      <c r="L16" s="114" t="s">
        <v>1032</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1034</v>
      </c>
      <c r="P16" s="114" t="s">
        <v>253</v>
      </c>
      <c r="Q16" s="114" t="s">
        <v>999</v>
      </c>
      <c r="R16" s="114" t="s">
        <v>268</v>
      </c>
      <c r="S16" s="114" t="s">
        <v>269</v>
      </c>
      <c r="T16" s="114" t="s">
        <v>1036</v>
      </c>
      <c r="U16" s="114" t="s">
        <v>239</v>
      </c>
      <c r="V16" s="114" t="s">
        <v>301</v>
      </c>
    </row>
    <row r="17" spans="1:22" x14ac:dyDescent="0.4">
      <c r="P17" s="114">
        <v>1</v>
      </c>
      <c r="R17" s="114" t="s">
        <v>1002</v>
      </c>
      <c r="S17" s="114" t="s">
        <v>1002</v>
      </c>
      <c r="T17" s="114">
        <v>1</v>
      </c>
      <c r="U17" s="114">
        <v>1</v>
      </c>
      <c r="V17" s="114">
        <v>1</v>
      </c>
    </row>
    <row r="18" spans="1:22" x14ac:dyDescent="0.4">
      <c r="A18" s="114" t="s">
        <v>1042</v>
      </c>
      <c r="B18" s="114" t="s">
        <v>1043</v>
      </c>
      <c r="L18" s="114" t="s">
        <v>1021</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0</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1044</v>
      </c>
      <c r="P18" s="114" t="s">
        <v>280</v>
      </c>
    </row>
    <row r="19" spans="1:22" x14ac:dyDescent="0.4">
      <c r="A19" s="114" t="s">
        <v>1028</v>
      </c>
      <c r="B19" s="415" t="s">
        <v>1045</v>
      </c>
      <c r="C19" s="114" t="s">
        <v>639</v>
      </c>
      <c r="P19" s="114">
        <v>1</v>
      </c>
    </row>
    <row r="20" spans="1:22" x14ac:dyDescent="0.4">
      <c r="A20" s="114" t="s">
        <v>1029</v>
      </c>
      <c r="L20" s="114" t="s">
        <v>1022</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1015</v>
      </c>
      <c r="P20" s="114" t="s">
        <v>588</v>
      </c>
    </row>
    <row r="21" spans="1:22" x14ac:dyDescent="0.4">
      <c r="A21" s="114" t="s">
        <v>1030</v>
      </c>
      <c r="P21" s="114">
        <v>1</v>
      </c>
    </row>
    <row r="22" spans="1:22" x14ac:dyDescent="0.4">
      <c r="A22" s="114" t="s">
        <v>1031</v>
      </c>
      <c r="L22" s="114" t="s">
        <v>1023</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1046</v>
      </c>
      <c r="P22" s="114" t="s">
        <v>268</v>
      </c>
    </row>
    <row r="23" spans="1:22" x14ac:dyDescent="0.4">
      <c r="A23" s="114" t="s">
        <v>1027</v>
      </c>
      <c r="B23" s="415" t="s">
        <v>1047</v>
      </c>
      <c r="P23" s="114">
        <v>999999</v>
      </c>
    </row>
    <row r="24" spans="1:22" x14ac:dyDescent="0.4">
      <c r="L24" s="114" t="s">
        <v>1024</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1048</v>
      </c>
      <c r="P24" s="114" t="s">
        <v>268</v>
      </c>
      <c r="Q24" s="114" t="s">
        <v>1024</v>
      </c>
    </row>
    <row r="25" spans="1:22" x14ac:dyDescent="0.4">
      <c r="A25" s="114" t="s">
        <v>1033</v>
      </c>
      <c r="B25" s="114" t="s">
        <v>676</v>
      </c>
      <c r="C25" s="114" t="s">
        <v>1021</v>
      </c>
      <c r="D25" s="114" t="s">
        <v>1022</v>
      </c>
      <c r="E25" s="114" t="s">
        <v>1023</v>
      </c>
      <c r="F25" s="114" t="s">
        <v>1024</v>
      </c>
      <c r="G25" s="114" t="s">
        <v>990</v>
      </c>
      <c r="P25" s="114">
        <v>999999</v>
      </c>
      <c r="Q25" s="114">
        <v>1</v>
      </c>
    </row>
    <row r="26" spans="1:22" x14ac:dyDescent="0.4">
      <c r="A26" s="114" t="str">
        <f>B2</f>
        <v>Indoor</v>
      </c>
      <c r="B26" s="114">
        <v>1</v>
      </c>
      <c r="C26" s="114">
        <v>1</v>
      </c>
      <c r="D26" s="114">
        <v>1</v>
      </c>
      <c r="E26" s="114">
        <v>1</v>
      </c>
      <c r="F26" s="114">
        <v>1</v>
      </c>
      <c r="G26" s="114">
        <v>1</v>
      </c>
      <c r="L26" s="114" t="s">
        <v>990</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1017</v>
      </c>
      <c r="P26" s="114" t="s">
        <v>268</v>
      </c>
      <c r="Q26" s="114" t="s">
        <v>990</v>
      </c>
    </row>
    <row r="27" spans="1:22" x14ac:dyDescent="0.4">
      <c r="A27" s="114" t="str">
        <f t="shared" ref="A27:A35" si="0">B3</f>
        <v>Outdoor</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L28" s="114" t="s">
        <v>1049</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1050</v>
      </c>
      <c r="P28" s="114" t="s">
        <v>267</v>
      </c>
      <c r="Q28" s="114" t="s">
        <v>1040</v>
      </c>
      <c r="R28" s="114" t="s">
        <v>1041</v>
      </c>
    </row>
    <row r="29" spans="1:22" x14ac:dyDescent="0.4">
      <c r="A29" s="114" t="str">
        <f t="shared" si="0"/>
        <v>PAC</v>
      </c>
      <c r="B29" s="114">
        <v>0</v>
      </c>
      <c r="C29" s="114">
        <v>1</v>
      </c>
      <c r="D29" s="114">
        <v>0</v>
      </c>
      <c r="E29" s="114">
        <v>1</v>
      </c>
      <c r="F29" s="114">
        <v>1</v>
      </c>
      <c r="G29" s="114">
        <v>1</v>
      </c>
      <c r="P29" s="114" t="s">
        <v>1002</v>
      </c>
      <c r="Q29" s="114">
        <v>1</v>
      </c>
      <c r="R29" s="114">
        <v>1</v>
      </c>
    </row>
    <row r="30" spans="1:22" x14ac:dyDescent="0.4">
      <c r="A30" s="114" t="str">
        <f t="shared" si="0"/>
        <v>Controller</v>
      </c>
      <c r="B30" s="114">
        <v>0</v>
      </c>
      <c r="C30" s="114">
        <v>0</v>
      </c>
      <c r="D30" s="114">
        <v>0</v>
      </c>
      <c r="E30" s="114">
        <v>0</v>
      </c>
      <c r="F30" s="114">
        <v>0</v>
      </c>
      <c r="G30" s="114">
        <v>0</v>
      </c>
      <c r="L30" s="114" t="s">
        <v>887</v>
      </c>
      <c r="M30" s="114">
        <v>0</v>
      </c>
      <c r="N30" s="114">
        <v>0</v>
      </c>
      <c r="O30" s="114" t="s">
        <v>1018</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f t="shared" si="0"/>
        <v>0</v>
      </c>
      <c r="L32" s="114" t="s">
        <v>1029</v>
      </c>
      <c r="M32" s="114">
        <v>0</v>
      </c>
      <c r="N32" s="114">
        <v>0</v>
      </c>
    </row>
    <row r="33" spans="1:3" x14ac:dyDescent="0.4">
      <c r="A33" s="114">
        <f t="shared" si="0"/>
        <v>0</v>
      </c>
    </row>
    <row r="34" spans="1:3" x14ac:dyDescent="0.4">
      <c r="A34" s="114">
        <f t="shared" si="0"/>
        <v>0</v>
      </c>
    </row>
    <row r="35" spans="1:3" x14ac:dyDescent="0.4">
      <c r="A35" s="114">
        <f t="shared" si="0"/>
        <v>0</v>
      </c>
    </row>
    <row r="38" spans="1:3" x14ac:dyDescent="0.4">
      <c r="A38" s="114" t="str">
        <f>A25</f>
        <v>Type</v>
      </c>
    </row>
    <row r="39" spans="1:3" x14ac:dyDescent="0.4">
      <c r="A39" s="114" t="str">
        <f t="shared" ref="A39:A48" si="1">A26</f>
        <v>Indoor</v>
      </c>
      <c r="B39" s="114" t="s">
        <v>1051</v>
      </c>
      <c r="C39" s="114" t="s">
        <v>1052</v>
      </c>
    </row>
    <row r="40" spans="1:3" x14ac:dyDescent="0.4">
      <c r="A40" s="114" t="str">
        <f t="shared" si="1"/>
        <v>Outdoor</v>
      </c>
      <c r="B40" s="114" t="s">
        <v>1267</v>
      </c>
      <c r="C40" s="114" t="s">
        <v>1053</v>
      </c>
    </row>
    <row r="41" spans="1:3" x14ac:dyDescent="0.4">
      <c r="A41" s="114" t="str">
        <f t="shared" si="1"/>
        <v>Split</v>
      </c>
      <c r="B41" s="114" t="s">
        <v>1054</v>
      </c>
      <c r="C41" s="114" t="s">
        <v>1055</v>
      </c>
    </row>
    <row r="42" spans="1:3" x14ac:dyDescent="0.4">
      <c r="A42" s="114" t="str">
        <f t="shared" si="1"/>
        <v>PAC</v>
      </c>
      <c r="B42" s="282" t="s">
        <v>1056</v>
      </c>
      <c r="C42" s="114" t="s">
        <v>1031</v>
      </c>
    </row>
    <row r="43" spans="1:3" x14ac:dyDescent="0.4">
      <c r="A43" s="114" t="str">
        <f t="shared" si="1"/>
        <v>Controller</v>
      </c>
      <c r="B43" s="114" t="s">
        <v>1057</v>
      </c>
      <c r="C43" s="114" t="s">
        <v>1058</v>
      </c>
    </row>
    <row r="44" spans="1:3" x14ac:dyDescent="0.4">
      <c r="A44" s="114" t="str">
        <f t="shared" si="1"/>
        <v>Branch Box</v>
      </c>
      <c r="B44" s="114" t="s">
        <v>1032</v>
      </c>
      <c r="C44" s="114" t="s">
        <v>1059</v>
      </c>
    </row>
    <row r="45" spans="1:3" x14ac:dyDescent="0.4">
      <c r="A45" s="114">
        <f t="shared" si="1"/>
        <v>0</v>
      </c>
    </row>
    <row r="46" spans="1:3" x14ac:dyDescent="0.4">
      <c r="A46" s="114">
        <f t="shared" si="1"/>
        <v>0</v>
      </c>
    </row>
    <row r="47" spans="1:3" x14ac:dyDescent="0.4">
      <c r="A47" s="114">
        <f>A34</f>
        <v>0</v>
      </c>
    </row>
    <row r="48" spans="1:3"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FDE0A4A7-C883-47C9-8728-498577650292}">
          <x14:formula1>
            <xm:f>'Part List'!$A:$A</xm:f>
          </x14:formula1>
          <xm:sqref>W4 G25 H23:H24 P10:Q10 E25 S12 F23:F24 P18:R18 P20</xm:sqref>
        </x14:dataValidation>
        <x14:dataValidation type="list" allowBlank="1" showInputMessage="1" showErrorMessage="1" xr:uid="{03B17D7B-F606-43F7-9D92-8CCEF58A3C7E}">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BF4F4-6675-4EA7-8AC0-EC558BB69F5F}">
  <dimension ref="A1:AS25"/>
  <sheetViews>
    <sheetView topLeftCell="C1" workbookViewId="0">
      <selection activeCell="M2" sqref="M2:U2"/>
    </sheetView>
  </sheetViews>
  <sheetFormatPr defaultColWidth="9.3046875" defaultRowHeight="14.6" x14ac:dyDescent="0.4"/>
  <cols>
    <col min="1" max="1" width="7.53515625" style="422" bestFit="1" customWidth="1"/>
    <col min="2" max="2" width="10.15234375" style="114" bestFit="1" customWidth="1"/>
    <col min="3" max="3" width="13.53515625" style="423" bestFit="1" customWidth="1"/>
    <col min="4" max="4" width="6.3046875" style="114" bestFit="1" customWidth="1"/>
    <col min="5" max="5" width="4.15234375" style="114" bestFit="1" customWidth="1"/>
    <col min="6" max="6" width="4.15234375" style="114" customWidth="1"/>
    <col min="7" max="8" width="12.15234375" style="114" customWidth="1"/>
    <col min="9" max="10" width="13.3046875" style="114" customWidth="1"/>
    <col min="11" max="11" width="27.15234375" style="114" customWidth="1"/>
    <col min="12" max="12" width="12.3046875" style="114" customWidth="1"/>
    <col min="13" max="13" width="19.53515625" style="114" customWidth="1"/>
    <col min="14" max="21" width="12.3046875" style="114" customWidth="1"/>
    <col min="22" max="22" width="12.3828125" style="424" hidden="1" customWidth="1"/>
    <col min="23" max="23" width="12.3828125" style="114" hidden="1" customWidth="1"/>
    <col min="24" max="24" width="16" style="114" hidden="1" customWidth="1"/>
    <col min="25" max="25" width="79.15234375" style="114" hidden="1" customWidth="1"/>
    <col min="26" max="26" width="9.3046875" style="114" hidden="1" customWidth="1"/>
    <col min="27" max="27" width="53.3046875" style="114" hidden="1" customWidth="1"/>
    <col min="28" max="28" width="28.3828125" style="114" hidden="1" customWidth="1"/>
    <col min="29" max="29" width="14.3046875" style="114" hidden="1" customWidth="1"/>
    <col min="30" max="30" width="9.3046875" style="114" hidden="1" customWidth="1"/>
    <col min="31" max="31" width="93.69140625" style="114" hidden="1" customWidth="1"/>
    <col min="32" max="32" width="86.84375" style="114" hidden="1" customWidth="1"/>
    <col min="33" max="33" width="79.53515625" style="114" hidden="1" customWidth="1"/>
    <col min="34" max="44" width="9.3046875" style="114" hidden="1" customWidth="1"/>
    <col min="45" max="48" width="0" style="114" hidden="1" customWidth="1"/>
    <col min="49" max="16384" width="9.3046875" style="114"/>
  </cols>
  <sheetData>
    <row r="1" spans="1:45" s="299" customFormat="1" ht="29.15" x14ac:dyDescent="0.4">
      <c r="A1" s="425" t="s">
        <v>931</v>
      </c>
      <c r="B1" s="425" t="s">
        <v>932</v>
      </c>
      <c r="C1" s="426" t="s">
        <v>933</v>
      </c>
      <c r="D1" s="425" t="s">
        <v>934</v>
      </c>
      <c r="E1" s="425" t="s">
        <v>844</v>
      </c>
      <c r="F1" s="425"/>
      <c r="G1" s="427" t="s">
        <v>980</v>
      </c>
      <c r="H1" s="427" t="s">
        <v>981</v>
      </c>
      <c r="I1" s="425" t="s">
        <v>936</v>
      </c>
      <c r="J1" s="425" t="s">
        <v>937</v>
      </c>
      <c r="K1" s="427" t="s">
        <v>982</v>
      </c>
      <c r="L1" s="427" t="s">
        <v>676</v>
      </c>
      <c r="M1" s="427" t="s">
        <v>1033</v>
      </c>
      <c r="N1" s="427" t="s">
        <v>1291</v>
      </c>
      <c r="O1" s="427" t="s">
        <v>1292</v>
      </c>
      <c r="P1" s="427" t="s">
        <v>1294</v>
      </c>
      <c r="Q1" s="427" t="s">
        <v>1293</v>
      </c>
      <c r="R1" s="427" t="s">
        <v>1295</v>
      </c>
      <c r="S1" s="418" t="s">
        <v>987</v>
      </c>
      <c r="T1" s="418" t="s">
        <v>1024</v>
      </c>
      <c r="U1" s="418" t="s">
        <v>990</v>
      </c>
      <c r="V1" s="428"/>
      <c r="W1" s="299">
        <f>MAX('@VRF'!AN:AN)</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151" priority="13" operator="equal">
      <formula>"INVALID"</formula>
    </cfRule>
    <cfRule type="cellIs" dxfId="150" priority="14" operator="equal">
      <formula>"VALID"</formula>
    </cfRule>
  </conditionalFormatting>
  <conditionalFormatting sqref="L2:U22">
    <cfRule type="cellIs" dxfId="149" priority="12" operator="equal">
      <formula>$ZO$2</formula>
    </cfRule>
  </conditionalFormatting>
  <conditionalFormatting sqref="AF1:AF1048576">
    <cfRule type="colorScale" priority="11">
      <colorScale>
        <cfvo type="min"/>
        <cfvo type="max"/>
        <color rgb="FF63BE7B"/>
        <color rgb="FFFCFCFF"/>
      </colorScale>
    </cfRule>
  </conditionalFormatting>
  <dataValidations count="1">
    <dataValidation type="decimal" operator="greaterThanOrEqual" allowBlank="1" showInputMessage="1" showErrorMessage="1" promptTitle="[OVERRIDE] Hours" prompt="Override the default hours for the unit_x000a_" sqref="J2:J22" xr:uid="{6CCF0343-E912-43EB-BFCD-8B77329300A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30817D58-5227-4936-BF27-0B0454750C3E}">
          <x14:formula1>
            <xm:f>_Fan!A$2:A$3</xm:f>
          </x14:formula1>
          <xm:sqref>L2:L22</xm:sqref>
        </x14:dataValidation>
        <x14:dataValidation type="list" allowBlank="1" showInputMessage="1" showErrorMessage="1" xr:uid="{D28A7F3B-F6D4-4A91-9377-9E1AD4BBCE1E}">
          <x14:formula1>
            <xm:f>_Chiller!B$2:B$6</xm:f>
          </x14:formula1>
          <xm:sqref>M2:U22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2126A-FE96-4A8B-8E24-6BB1BFE9A14A}">
  <dimension ref="A1:AG38"/>
  <sheetViews>
    <sheetView topLeftCell="Q1" workbookViewId="0">
      <selection activeCell="D26" sqref="D26"/>
    </sheetView>
  </sheetViews>
  <sheetFormatPr defaultColWidth="9.3046875" defaultRowHeight="14.6" x14ac:dyDescent="0.4"/>
  <cols>
    <col min="1" max="3" width="12.3046875" style="114" customWidth="1"/>
    <col min="4" max="4" width="29.84375" style="114" customWidth="1"/>
    <col min="5" max="10" width="12.3046875" style="114" customWidth="1"/>
    <col min="11" max="13" width="9.3046875" style="114"/>
    <col min="14" max="14" width="27.69140625" style="114" customWidth="1"/>
    <col min="15" max="17" width="9.3046875" style="114"/>
    <col min="18" max="18" width="21.3828125" style="114" customWidth="1"/>
    <col min="19" max="19" width="28.15234375" style="114" customWidth="1"/>
    <col min="20" max="20" width="40.84375" style="114" customWidth="1"/>
    <col min="21" max="16384" width="9.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995</v>
      </c>
      <c r="O1" s="418" t="s">
        <v>996</v>
      </c>
      <c r="P1" s="418" t="s">
        <v>997</v>
      </c>
      <c r="AG1" s="418" t="s">
        <v>1325</v>
      </c>
    </row>
    <row r="2" spans="1:33" x14ac:dyDescent="0.4">
      <c r="A2" s="114" t="s">
        <v>991</v>
      </c>
      <c r="B2" s="114" t="s">
        <v>1297</v>
      </c>
      <c r="C2" s="114" t="s">
        <v>1301</v>
      </c>
      <c r="D2" s="114" t="s">
        <v>886</v>
      </c>
      <c r="E2" s="114" t="s">
        <v>886</v>
      </c>
      <c r="F2" s="114" t="s">
        <v>886</v>
      </c>
      <c r="G2" s="114" t="s">
        <v>886</v>
      </c>
      <c r="H2" s="114" t="s">
        <v>886</v>
      </c>
      <c r="I2" s="114" t="s">
        <v>886</v>
      </c>
      <c r="J2" s="114" t="s">
        <v>886</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998</v>
      </c>
      <c r="R2" s="114" t="s">
        <v>253</v>
      </c>
      <c r="S2" s="114" t="s">
        <v>999</v>
      </c>
      <c r="T2" s="114" t="s">
        <v>268</v>
      </c>
      <c r="U2" s="114" t="s">
        <v>1000</v>
      </c>
      <c r="V2" s="114" t="s">
        <v>1001</v>
      </c>
      <c r="AF2" s="114" t="str">
        <f>N2</f>
        <v>Local</v>
      </c>
    </row>
    <row r="3" spans="1:33" x14ac:dyDescent="0.4">
      <c r="A3" s="114" t="s">
        <v>678</v>
      </c>
      <c r="B3" s="114" t="s">
        <v>1296</v>
      </c>
      <c r="C3" s="114" t="s">
        <v>1302</v>
      </c>
      <c r="D3" s="114" t="s">
        <v>887</v>
      </c>
      <c r="E3" s="114" t="s">
        <v>887</v>
      </c>
      <c r="F3" s="114" t="s">
        <v>887</v>
      </c>
      <c r="G3" s="114" t="s">
        <v>887</v>
      </c>
      <c r="H3" s="114" t="s">
        <v>887</v>
      </c>
      <c r="I3" s="114" t="s">
        <v>887</v>
      </c>
      <c r="J3" s="114" t="s">
        <v>887</v>
      </c>
      <c r="R3" s="114">
        <v>1</v>
      </c>
      <c r="S3" s="114">
        <v>1</v>
      </c>
      <c r="T3" s="114" t="s">
        <v>1002</v>
      </c>
      <c r="U3" s="114">
        <v>1</v>
      </c>
      <c r="V3" s="114">
        <v>1</v>
      </c>
    </row>
    <row r="4" spans="1:33" x14ac:dyDescent="0.4">
      <c r="B4" s="114" t="s">
        <v>1298</v>
      </c>
      <c r="C4" s="114" t="s">
        <v>1303</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1035</v>
      </c>
      <c r="R4" s="114" t="s">
        <v>253</v>
      </c>
      <c r="S4" s="114" t="s">
        <v>999</v>
      </c>
      <c r="T4" s="114" t="s">
        <v>268</v>
      </c>
      <c r="U4" s="114" t="s">
        <v>304</v>
      </c>
      <c r="V4" s="114" t="s">
        <v>1341</v>
      </c>
      <c r="W4" s="114" t="s">
        <v>1004</v>
      </c>
      <c r="X4" s="114" t="s">
        <v>1005</v>
      </c>
      <c r="Y4" s="114" t="s">
        <v>1001</v>
      </c>
      <c r="AF4" s="114" t="str">
        <f t="shared" ref="AF4:AF38" si="0">N4</f>
        <v>MSSB</v>
      </c>
    </row>
    <row r="5" spans="1:33" x14ac:dyDescent="0.4">
      <c r="B5" s="114" t="s">
        <v>1299</v>
      </c>
      <c r="C5" s="467" t="s">
        <v>887</v>
      </c>
      <c r="R5" s="114">
        <v>1</v>
      </c>
      <c r="S5" s="114">
        <v>1</v>
      </c>
      <c r="T5" s="114" t="s">
        <v>1002</v>
      </c>
      <c r="U5" s="114">
        <v>1</v>
      </c>
      <c r="V5" s="114">
        <v>1</v>
      </c>
      <c r="W5" s="114">
        <v>1</v>
      </c>
      <c r="X5" s="114">
        <v>1</v>
      </c>
      <c r="Y5" s="114">
        <v>1</v>
      </c>
      <c r="Z5" s="114">
        <v>1</v>
      </c>
    </row>
    <row r="6" spans="1:33" x14ac:dyDescent="0.4">
      <c r="B6" s="114" t="s">
        <v>1300</v>
      </c>
      <c r="N6" s="114" t="s">
        <v>1300</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2.1</v>
      </c>
      <c r="Q6" s="114" t="str">
        <f>IF(N6=M6,"",_xlfn.CONCAT("[",N6,"]"))</f>
        <v>[EDH]</v>
      </c>
      <c r="R6" s="114" t="s">
        <v>1040</v>
      </c>
      <c r="S6" s="114" t="s">
        <v>1041</v>
      </c>
      <c r="T6" s="114" t="s">
        <v>1005</v>
      </c>
      <c r="U6" s="114" t="s">
        <v>476</v>
      </c>
      <c r="V6" s="114" t="s">
        <v>477</v>
      </c>
      <c r="W6" s="114" t="s">
        <v>1341</v>
      </c>
      <c r="X6" s="114" t="s">
        <v>1004</v>
      </c>
      <c r="Y6" s="114" t="s">
        <v>322</v>
      </c>
      <c r="Z6" s="443"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1002</v>
      </c>
      <c r="AA7" s="114" t="s">
        <v>1002</v>
      </c>
    </row>
    <row r="8" spans="1:33" x14ac:dyDescent="0.4">
      <c r="N8" s="114" t="s">
        <v>1297</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1.1000000000000001</v>
      </c>
      <c r="Q8" s="114" t="str">
        <f t="shared" si="1"/>
        <v>[Chilled Water FCU]</v>
      </c>
      <c r="R8" s="114" t="s">
        <v>1040</v>
      </c>
      <c r="S8" s="114" t="s">
        <v>1041</v>
      </c>
      <c r="T8" s="114" t="s">
        <v>304</v>
      </c>
      <c r="U8" s="114" t="s">
        <v>1341</v>
      </c>
      <c r="V8" s="114" t="s">
        <v>1004</v>
      </c>
      <c r="W8" s="114" t="s">
        <v>1005</v>
      </c>
      <c r="X8" s="114" t="s">
        <v>1251</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1002</v>
      </c>
      <c r="AB9" s="114" t="s">
        <v>1002</v>
      </c>
    </row>
    <row r="10" spans="1:33" x14ac:dyDescent="0.4">
      <c r="N10" s="114" t="s">
        <v>1296</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1.1000000000000001</v>
      </c>
      <c r="Q10" s="114" t="str">
        <f t="shared" si="1"/>
        <v>[Chilled Water AHU]</v>
      </c>
      <c r="R10" s="114" t="s">
        <v>1307</v>
      </c>
      <c r="S10" s="114" t="s">
        <v>1041</v>
      </c>
      <c r="T10" s="114" t="s">
        <v>304</v>
      </c>
      <c r="U10" s="114" t="s">
        <v>1341</v>
      </c>
      <c r="V10" s="114" t="s">
        <v>1004</v>
      </c>
      <c r="W10" s="114" t="s">
        <v>1005</v>
      </c>
      <c r="X10" s="114" t="s">
        <v>1251</v>
      </c>
      <c r="Y10" s="114" t="s">
        <v>322</v>
      </c>
      <c r="Z10" s="443"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3" t="s">
        <v>1002</v>
      </c>
      <c r="AA11" s="114" t="s">
        <v>1002</v>
      </c>
    </row>
    <row r="12" spans="1:33" x14ac:dyDescent="0.4">
      <c r="N12" s="114" t="s">
        <v>1298</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1308</v>
      </c>
      <c r="AF12" s="114" t="str">
        <f t="shared" si="0"/>
        <v>Air Cooled Chiller</v>
      </c>
      <c r="AG12" s="114" t="s">
        <v>1340</v>
      </c>
    </row>
    <row r="13" spans="1:33" x14ac:dyDescent="0.4">
      <c r="Q13" s="114" t="str">
        <f t="shared" si="1"/>
        <v/>
      </c>
      <c r="S13" s="114">
        <v>1</v>
      </c>
    </row>
    <row r="14" spans="1:33" x14ac:dyDescent="0.4">
      <c r="A14" s="33" t="s">
        <v>975</v>
      </c>
      <c r="N14" s="114" t="s">
        <v>1299</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1041</v>
      </c>
      <c r="T14" s="114" t="s">
        <v>304</v>
      </c>
      <c r="U14" s="114" t="s">
        <v>1341</v>
      </c>
      <c r="V14" s="114" t="s">
        <v>1004</v>
      </c>
      <c r="W14" s="114" t="s">
        <v>1005</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965</v>
      </c>
      <c r="B15" s="114" t="s">
        <v>977</v>
      </c>
      <c r="Q15" s="114" t="str">
        <f t="shared" si="1"/>
        <v/>
      </c>
      <c r="S15" s="114">
        <v>1</v>
      </c>
      <c r="T15" s="114">
        <v>1</v>
      </c>
      <c r="U15" s="114">
        <v>1</v>
      </c>
      <c r="V15" s="114">
        <v>2</v>
      </c>
      <c r="W15" s="114">
        <v>1</v>
      </c>
      <c r="X15" s="114" t="s">
        <v>1002</v>
      </c>
      <c r="Y15" s="114" t="s">
        <v>1002</v>
      </c>
    </row>
    <row r="16" spans="1:33" x14ac:dyDescent="0.4">
      <c r="A16" s="114" t="s">
        <v>978</v>
      </c>
      <c r="B16" s="114" t="s">
        <v>979</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1297</v>
      </c>
      <c r="B18" s="114" t="s">
        <v>1319</v>
      </c>
      <c r="C18" s="114" t="s">
        <v>1311</v>
      </c>
      <c r="D18" s="114" t="s">
        <v>1309</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1296</v>
      </c>
      <c r="B19" s="114" t="s">
        <v>1320</v>
      </c>
      <c r="C19" s="114" t="s">
        <v>1312</v>
      </c>
      <c r="D19" s="114" t="s">
        <v>1310</v>
      </c>
      <c r="Q19" s="114" t="str">
        <f t="shared" si="1"/>
        <v/>
      </c>
      <c r="R19" s="114">
        <v>1</v>
      </c>
      <c r="S19" s="114">
        <v>1</v>
      </c>
    </row>
    <row r="20" spans="1:33" x14ac:dyDescent="0.4">
      <c r="A20" s="114" t="s">
        <v>1298</v>
      </c>
      <c r="B20" s="114" t="s">
        <v>1321</v>
      </c>
      <c r="C20" s="114" t="s">
        <v>1315</v>
      </c>
      <c r="D20" s="114" t="s">
        <v>1324</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1299</v>
      </c>
      <c r="B21" s="114" t="s">
        <v>1322</v>
      </c>
      <c r="C21" s="114" t="s">
        <v>1313</v>
      </c>
      <c r="D21" s="114" t="s">
        <v>1299</v>
      </c>
      <c r="Q21" s="114" t="str">
        <f t="shared" si="1"/>
        <v/>
      </c>
    </row>
    <row r="22" spans="1:33" x14ac:dyDescent="0.4">
      <c r="A22" s="114" t="s">
        <v>1300</v>
      </c>
      <c r="B22" s="114" t="s">
        <v>1323</v>
      </c>
      <c r="C22" s="114" t="s">
        <v>1314</v>
      </c>
      <c r="D22" s="114" t="s">
        <v>1300</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1304</v>
      </c>
      <c r="S24" s="114" t="s">
        <v>1040</v>
      </c>
      <c r="AF24" s="114" t="str">
        <f t="shared" si="0"/>
        <v>Small</v>
      </c>
      <c r="AG24" s="114" t="str">
        <f>_xlfn.CONCAT(R24,", ",S24,", ")</f>
        <v xml:space="preserve">VSD Small (2k2), 3 Phase Isolator, </v>
      </c>
    </row>
    <row r="25" spans="1:33" x14ac:dyDescent="0.4">
      <c r="A25" s="114" t="s">
        <v>1301</v>
      </c>
      <c r="B25" s="114" t="s">
        <v>1316</v>
      </c>
      <c r="Q25" s="114" t="str">
        <f t="shared" si="1"/>
        <v/>
      </c>
      <c r="R25" s="114">
        <v>1</v>
      </c>
      <c r="S25" s="114">
        <v>1</v>
      </c>
    </row>
    <row r="26" spans="1:33" x14ac:dyDescent="0.4">
      <c r="A26" s="114" t="s">
        <v>1302</v>
      </c>
      <c r="B26" s="114" t="s">
        <v>1317</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1305</v>
      </c>
      <c r="S26" s="114" t="s">
        <v>1040</v>
      </c>
      <c r="AF26" s="114" t="str">
        <f t="shared" si="0"/>
        <v>Medium</v>
      </c>
      <c r="AG26" s="114" t="str">
        <f>_xlfn.CONCAT(R26,", ",S26,", ")</f>
        <v xml:space="preserve">VSD Medium (5k5), 3 Phase Isolator, </v>
      </c>
    </row>
    <row r="27" spans="1:33" x14ac:dyDescent="0.4">
      <c r="A27" s="114" t="s">
        <v>1303</v>
      </c>
      <c r="B27" s="114" t="s">
        <v>1318</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1306</v>
      </c>
      <c r="S28" s="114" t="s">
        <v>1040</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987</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1014</v>
      </c>
      <c r="R32" s="114" t="s">
        <v>987</v>
      </c>
      <c r="X32" s="117"/>
      <c r="Z32" s="135"/>
      <c r="AF32" s="114" t="str">
        <f t="shared" si="0"/>
        <v>Run On Timer</v>
      </c>
      <c r="AG32" s="114" t="str">
        <f>_xlfn.CONCAT(R32,", ",)</f>
        <v xml:space="preserve">Run On Timer, </v>
      </c>
    </row>
    <row r="33" spans="14:33" x14ac:dyDescent="0.4">
      <c r="R33" s="114">
        <v>1</v>
      </c>
      <c r="W33" s="117"/>
      <c r="X33" s="448"/>
      <c r="Y33" s="448"/>
      <c r="Z33" s="448"/>
      <c r="AA33" s="448"/>
      <c r="AB33" s="448"/>
      <c r="AF33" s="114">
        <f t="shared" si="0"/>
        <v>0</v>
      </c>
    </row>
    <row r="34" spans="14:33" x14ac:dyDescent="0.4">
      <c r="N34" s="114" t="s">
        <v>1024</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1048</v>
      </c>
      <c r="R34" s="114" t="s">
        <v>268</v>
      </c>
      <c r="S34" s="114" t="s">
        <v>1024</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990</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1017</v>
      </c>
      <c r="R36" s="114" t="s">
        <v>268</v>
      </c>
      <c r="S36" s="114" t="s">
        <v>990</v>
      </c>
      <c r="AA36" s="117"/>
      <c r="AB36" s="448"/>
      <c r="AE36" s="448"/>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148" priority="4">
      <formula>IF(ROW() = ROW(), TRUE, FALSE)</formula>
    </cfRule>
  </conditionalFormatting>
  <conditionalFormatting sqref="X32">
    <cfRule type="expression" dxfId="147" priority="3">
      <formula>IF(ROW() = ROW(), TRUE, FALSE)</formula>
    </cfRule>
  </conditionalFormatting>
  <conditionalFormatting sqref="AA36:AB36">
    <cfRule type="expression" dxfId="146" priority="2">
      <formula>IF(ROW() = ROW(), TRUE, FALSE)</formula>
    </cfRule>
  </conditionalFormatting>
  <conditionalFormatting sqref="AE36">
    <cfRule type="expression" dxfId="14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6AD7595-B587-4F1A-AFD3-0C5837709C16}">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61C52-140D-455F-9CF6-842335801F18}">
  <dimension ref="A1:AE25"/>
  <sheetViews>
    <sheetView workbookViewId="0">
      <selection activeCell="AT18" sqref="AT18"/>
    </sheetView>
  </sheetViews>
  <sheetFormatPr defaultColWidth="9.3046875" defaultRowHeight="14.6" x14ac:dyDescent="0.4"/>
  <cols>
    <col min="1" max="1" width="7.53515625" style="422" bestFit="1" customWidth="1"/>
    <col min="2" max="2" width="10.15234375" style="114" bestFit="1" customWidth="1"/>
    <col min="3" max="3" width="13.53515625" style="423" bestFit="1" customWidth="1"/>
    <col min="4" max="4" width="6.3046875" style="114" bestFit="1" customWidth="1"/>
    <col min="5" max="5" width="4.15234375" style="114" bestFit="1" customWidth="1"/>
    <col min="6" max="6" width="4.15234375" style="114" customWidth="1"/>
    <col min="7" max="8" width="12.15234375" style="114" customWidth="1"/>
    <col min="9" max="10" width="13.3046875" style="114" customWidth="1"/>
    <col min="11" max="11" width="27.15234375" style="114" customWidth="1"/>
    <col min="12" max="12" width="19.53515625" style="114" customWidth="1"/>
    <col min="13" max="13" width="12.3046875" style="114" customWidth="1"/>
    <col min="14" max="14" width="12.3828125" style="424" hidden="1" customWidth="1"/>
    <col min="15" max="15" width="12.3828125" style="114" hidden="1" customWidth="1"/>
    <col min="16" max="16" width="16" style="114" hidden="1" customWidth="1"/>
    <col min="17" max="17" width="79.15234375" style="114" hidden="1" customWidth="1"/>
    <col min="18" max="18" width="9.3046875" style="114" hidden="1" customWidth="1"/>
    <col min="19" max="19" width="53.3046875" style="114" hidden="1" customWidth="1"/>
    <col min="20" max="20" width="28.3828125" style="114" hidden="1" customWidth="1"/>
    <col min="21" max="21" width="76.15234375" style="114" hidden="1" customWidth="1"/>
    <col min="22" max="22" width="87.3046875" style="114" hidden="1" customWidth="1"/>
    <col min="23" max="23" width="93.69140625" style="114" hidden="1" customWidth="1"/>
    <col min="24" max="24" width="86.84375" style="114" hidden="1" customWidth="1"/>
    <col min="25" max="25" width="79.53515625" style="114" hidden="1" customWidth="1"/>
    <col min="26" max="31" width="9.3046875" style="114" hidden="1" customWidth="1"/>
    <col min="32" max="33" width="0" style="114" hidden="1" customWidth="1"/>
    <col min="34" max="16384" width="9.3046875" style="114"/>
  </cols>
  <sheetData>
    <row r="1" spans="1:31" s="299" customFormat="1" ht="29.15" x14ac:dyDescent="0.4">
      <c r="A1" s="425" t="s">
        <v>931</v>
      </c>
      <c r="B1" s="425" t="s">
        <v>932</v>
      </c>
      <c r="C1" s="426" t="s">
        <v>933</v>
      </c>
      <c r="D1" s="425" t="s">
        <v>934</v>
      </c>
      <c r="E1" s="425" t="s">
        <v>844</v>
      </c>
      <c r="F1" s="425"/>
      <c r="G1" s="427" t="s">
        <v>980</v>
      </c>
      <c r="H1" s="427" t="s">
        <v>981</v>
      </c>
      <c r="I1" s="425" t="s">
        <v>936</v>
      </c>
      <c r="J1" s="425" t="s">
        <v>937</v>
      </c>
      <c r="K1" s="427" t="s">
        <v>982</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144" priority="3" operator="equal">
      <formula>"INVALID"</formula>
    </cfRule>
    <cfRule type="cellIs" dxfId="143"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142"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822DB85-F843-445E-8CBF-4FD29D4D4A15}">
          <x14:formula1>
            <xm:f>_Chiller!B$2:B$6</xm:f>
          </x14:formula1>
          <xm:sqref>L16:M22</xm:sqref>
        </x14:dataValidation>
        <x14:dataValidation type="list" allowBlank="1" showInputMessage="1" showErrorMessage="1" xr:uid="{61925ADE-362B-42D5-94AE-48C5295E6DD3}">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FA7C6-1DFB-4917-8205-14C88E4297AB}">
  <dimension ref="A1:AG36"/>
  <sheetViews>
    <sheetView topLeftCell="A13" workbookViewId="0">
      <selection activeCell="D26" sqref="D26"/>
    </sheetView>
  </sheetViews>
  <sheetFormatPr defaultColWidth="9.3046875" defaultRowHeight="14.6" x14ac:dyDescent="0.4"/>
  <cols>
    <col min="1" max="3" width="12.3046875" style="114" customWidth="1"/>
    <col min="4" max="4" width="29.84375" style="114" customWidth="1"/>
    <col min="5" max="10" width="12.3046875" style="114" customWidth="1"/>
    <col min="11" max="13" width="9.3046875" style="114"/>
    <col min="14" max="14" width="27.69140625" style="114" customWidth="1"/>
    <col min="15" max="17" width="9.3046875" style="114"/>
    <col min="18" max="18" width="21.3828125" style="114" customWidth="1"/>
    <col min="19" max="19" width="28.15234375" style="114" customWidth="1"/>
    <col min="20" max="20" width="40.84375" style="114" customWidth="1"/>
    <col min="21" max="16384" width="9.3046875" style="114"/>
  </cols>
  <sheetData>
    <row r="1" spans="1:33" s="418" customFormat="1" x14ac:dyDescent="0.4">
      <c r="B1" s="418" t="str">
        <f>'@Chiller'!M1</f>
        <v>Type</v>
      </c>
      <c r="C1" s="418" t="s">
        <v>1330</v>
      </c>
      <c r="N1" s="418" t="s">
        <v>995</v>
      </c>
      <c r="O1" s="418" t="s">
        <v>996</v>
      </c>
      <c r="P1" s="418" t="s">
        <v>997</v>
      </c>
      <c r="AG1" s="418" t="s">
        <v>1325</v>
      </c>
    </row>
    <row r="2" spans="1:33" x14ac:dyDescent="0.4">
      <c r="B2" s="114" t="s">
        <v>1327</v>
      </c>
      <c r="C2" s="114" t="s">
        <v>887</v>
      </c>
      <c r="AF2" s="114">
        <f>N2</f>
        <v>0</v>
      </c>
      <c r="AG2" s="114" t="str">
        <f>_xlfn.CONCAT("{ CONTROLS FOR: ",AF2,"}, ")</f>
        <v xml:space="preserve">{ CONTROLS FOR: 0}, </v>
      </c>
    </row>
    <row r="3" spans="1:33" x14ac:dyDescent="0.4">
      <c r="B3" s="114" t="s">
        <v>1328</v>
      </c>
      <c r="C3" s="114" t="s">
        <v>1331</v>
      </c>
      <c r="AG3" s="114" t="str">
        <f t="shared" ref="AG3:AG30" si="0">_xlfn.CONCAT("{ CONTROLS FOR: ",AF3,"}, ")</f>
        <v xml:space="preserve">{ CONTROLS FOR: }, </v>
      </c>
    </row>
    <row r="4" spans="1:33" x14ac:dyDescent="0.4">
      <c r="B4" s="114" t="s">
        <v>1329</v>
      </c>
      <c r="C4" s="114" t="s">
        <v>1332</v>
      </c>
      <c r="AF4" s="114">
        <f t="shared" ref="AF4:AF30" si="1">N4</f>
        <v>0</v>
      </c>
      <c r="AG4" s="114" t="str">
        <f t="shared" si="0"/>
        <v xml:space="preserve">{ CONTROLS FOR: 0}, </v>
      </c>
    </row>
    <row r="5" spans="1:33" x14ac:dyDescent="0.4">
      <c r="C5" s="467"/>
      <c r="AG5" s="114" t="str">
        <f t="shared" si="0"/>
        <v xml:space="preserve">{ CONTROLS FOR: }, </v>
      </c>
    </row>
    <row r="6" spans="1:33" x14ac:dyDescent="0.4">
      <c r="Z6" s="443"/>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3"/>
      <c r="AF10" s="114">
        <f t="shared" si="1"/>
        <v>0</v>
      </c>
      <c r="AG10" s="114" t="str">
        <f t="shared" si="0"/>
        <v xml:space="preserve">{ CONTROLS FOR: 0}, </v>
      </c>
    </row>
    <row r="11" spans="1:33" x14ac:dyDescent="0.4">
      <c r="Z11" s="443"/>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975</v>
      </c>
      <c r="AF14" s="114">
        <f t="shared" si="1"/>
        <v>0</v>
      </c>
      <c r="AG14" s="114" t="str">
        <f t="shared" si="0"/>
        <v xml:space="preserve">{ CONTROLS FOR: 0}, </v>
      </c>
    </row>
    <row r="15" spans="1:33" x14ac:dyDescent="0.4">
      <c r="A15" s="114" t="s">
        <v>965</v>
      </c>
      <c r="B15" s="114" t="s">
        <v>977</v>
      </c>
      <c r="AG15" s="114" t="str">
        <f t="shared" si="0"/>
        <v xml:space="preserve">{ CONTROLS FOR: }, </v>
      </c>
    </row>
    <row r="16" spans="1:33" x14ac:dyDescent="0.4">
      <c r="A16" s="114" t="s">
        <v>978</v>
      </c>
      <c r="B16" s="114" t="s">
        <v>979</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1336</v>
      </c>
      <c r="C18" s="114" t="s">
        <v>1333</v>
      </c>
      <c r="AF18" s="114">
        <f t="shared" si="1"/>
        <v>0</v>
      </c>
      <c r="AG18" s="114" t="str">
        <f t="shared" si="0"/>
        <v xml:space="preserve">{ CONTROLS FOR: 0}, </v>
      </c>
    </row>
    <row r="19" spans="1:33" x14ac:dyDescent="0.4">
      <c r="A19" s="114" t="str">
        <f t="shared" ref="A19:A20" si="2">B3</f>
        <v>Smoke Damper</v>
      </c>
      <c r="B19" s="114" t="s">
        <v>1337</v>
      </c>
      <c r="C19" s="114" t="s">
        <v>1334</v>
      </c>
      <c r="AG19" s="114" t="str">
        <f t="shared" si="0"/>
        <v xml:space="preserve">{ CONTROLS FOR: }, </v>
      </c>
    </row>
    <row r="20" spans="1:33" x14ac:dyDescent="0.4">
      <c r="A20" s="114" t="str">
        <f t="shared" si="2"/>
        <v>Make Safe &amp; Disconnect</v>
      </c>
      <c r="B20" s="114" t="s">
        <v>1338</v>
      </c>
      <c r="C20" s="114" t="s">
        <v>1335</v>
      </c>
      <c r="N20" s="114" t="s">
        <v>1327</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1331</v>
      </c>
      <c r="C21" s="114">
        <v>1</v>
      </c>
      <c r="AG21" s="114" t="str">
        <f t="shared" si="0"/>
        <v xml:space="preserve">{ CONTROLS FOR: }, </v>
      </c>
    </row>
    <row r="22" spans="1:33" x14ac:dyDescent="0.4">
      <c r="A22" s="114" t="s">
        <v>1332</v>
      </c>
      <c r="C22" s="114">
        <v>3</v>
      </c>
      <c r="N22" s="114" t="s">
        <v>1328</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887</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8"/>
      <c r="Y33" s="448"/>
      <c r="Z33" s="448"/>
      <c r="AA33" s="448"/>
      <c r="AB33" s="448"/>
    </row>
    <row r="36" spans="23:31" x14ac:dyDescent="0.4">
      <c r="AA36" s="117"/>
      <c r="AB36" s="448"/>
      <c r="AE36" s="448"/>
    </row>
  </sheetData>
  <conditionalFormatting sqref="W33:AB33">
    <cfRule type="expression" dxfId="141" priority="4">
      <formula>IF(ROW() = ROW(), TRUE, FALSE)</formula>
    </cfRule>
  </conditionalFormatting>
  <conditionalFormatting sqref="X32">
    <cfRule type="expression" dxfId="140" priority="3">
      <formula>IF(ROW() = ROW(), TRUE, FALSE)</formula>
    </cfRule>
  </conditionalFormatting>
  <conditionalFormatting sqref="AA36:AB36">
    <cfRule type="expression" dxfId="139" priority="2">
      <formula>IF(ROW() = ROW(), TRUE, FALSE)</formula>
    </cfRule>
  </conditionalFormatting>
  <conditionalFormatting sqref="AE36">
    <cfRule type="expression" dxfId="138"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916732B-A714-4B28-8567-B654EF33BA1E}">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89"/>
  <sheetViews>
    <sheetView zoomScale="85" zoomScaleNormal="85" workbookViewId="0">
      <selection activeCell="G17" sqref="G17"/>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843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3828125" style="114" customWidth="1"/>
    <col min="26" max="42" width="9.3046875" style="114" customWidth="1"/>
    <col min="43" max="43" width="34.3828125" style="114" customWidth="1"/>
    <col min="44" max="16384" width="9.3046875" style="114"/>
  </cols>
  <sheetData>
    <row r="1" spans="1:43" ht="20.149999999999999" x14ac:dyDescent="0.5">
      <c r="A1" s="342">
        <f>ROUNDUP(C1/6,0)</f>
        <v>0</v>
      </c>
      <c r="B1" s="341" t="s">
        <v>796</v>
      </c>
      <c r="C1" s="306">
        <v>0</v>
      </c>
      <c r="H1" s="310" t="s">
        <v>848</v>
      </c>
      <c r="I1" s="114" t="str">
        <f>_xlfn.CONCAT(VLOOKUP(C1,[3]Sheet2!D:E,2,TRUE)," (",C1,")",IF(C1=1,L12,M12))</f>
        <v>Zero (0) CO Detectors</v>
      </c>
      <c r="J1" s="330" t="s">
        <v>864</v>
      </c>
      <c r="L1" s="307" t="s">
        <v>881</v>
      </c>
      <c r="M1" s="307"/>
      <c r="N1" s="307"/>
      <c r="O1" s="307"/>
      <c r="AE1" s="114" t="b">
        <f>NOT((AG1+1)=AG14)</f>
        <v>0</v>
      </c>
      <c r="AF1" s="114" t="s">
        <v>1255</v>
      </c>
      <c r="AG1" s="114">
        <f>MAX('@Other'!O:O)</f>
        <v>0</v>
      </c>
      <c r="AH1" s="114" t="s">
        <v>1263</v>
      </c>
      <c r="AI1" s="114" t="s">
        <v>1260</v>
      </c>
      <c r="AJ1" s="114" t="s">
        <v>1261</v>
      </c>
      <c r="AK1" s="114" t="s">
        <v>1262</v>
      </c>
      <c r="AL1" s="114">
        <v>0.1</v>
      </c>
      <c r="AM1" s="114">
        <v>0.2</v>
      </c>
      <c r="AN1" s="114">
        <v>0.3</v>
      </c>
      <c r="AO1" s="114">
        <v>0.4</v>
      </c>
    </row>
    <row r="2" spans="1:43" ht="20.149999999999999" x14ac:dyDescent="0.5">
      <c r="A2" s="343" t="s">
        <v>886</v>
      </c>
      <c r="B2" s="341" t="s">
        <v>863</v>
      </c>
      <c r="C2" s="306">
        <v>0</v>
      </c>
      <c r="E2" s="310" t="s">
        <v>717</v>
      </c>
      <c r="F2" s="339" t="s">
        <v>716</v>
      </c>
      <c r="G2" s="339" t="s">
        <v>894</v>
      </c>
      <c r="J2" s="330" t="s">
        <v>864</v>
      </c>
      <c r="L2" s="328" t="s">
        <v>0</v>
      </c>
      <c r="M2" s="328"/>
      <c r="N2" s="328" t="s">
        <v>353</v>
      </c>
      <c r="O2" s="328"/>
      <c r="AF2" s="114" t="s">
        <v>1256</v>
      </c>
      <c r="AG2" s="114">
        <f>IF(C2*D7&gt;0, AG1+1, AG1)</f>
        <v>0</v>
      </c>
      <c r="AH2" s="114" t="s">
        <v>1264</v>
      </c>
      <c r="AI2" s="114">
        <f>C2</f>
        <v>0</v>
      </c>
      <c r="AK2" s="114" t="s">
        <v>1268</v>
      </c>
      <c r="AL2" s="415" t="s">
        <v>1270</v>
      </c>
      <c r="AM2" s="415" t="s">
        <v>1280</v>
      </c>
      <c r="AN2" s="114" t="s">
        <v>1273</v>
      </c>
      <c r="AQ2" s="114" t="str">
        <f>IF(AG1=AG2,"",_xlfn.CONCAT("
",AG2," - ",AK2,AI2," ",AH2, "
",REPT(" ",8),AG2,".1 - ",AL2,  "
",REPT(" ",8),AG2,".2 - ",AM2,  "
",REPT(" ",8),AG2,".3 - ",AN2))</f>
        <v/>
      </c>
    </row>
    <row r="3" spans="1:43" ht="20.6" thickBot="1" x14ac:dyDescent="0.55000000000000004">
      <c r="A3" s="344" t="s">
        <v>887</v>
      </c>
      <c r="B3" s="341" t="s">
        <v>909</v>
      </c>
      <c r="C3" s="306">
        <v>0</v>
      </c>
      <c r="E3" s="348">
        <f>SUM(E7:E12)-E8</f>
        <v>0</v>
      </c>
      <c r="F3" s="349">
        <f>SUM(F7:F12)</f>
        <v>0</v>
      </c>
      <c r="G3" s="348">
        <f>SUM(G7:G12)</f>
        <v>0</v>
      </c>
      <c r="J3" s="330" t="s">
        <v>864</v>
      </c>
      <c r="L3" s="328"/>
      <c r="M3" s="328"/>
      <c r="N3" s="328" t="s">
        <v>798</v>
      </c>
      <c r="O3" s="328">
        <v>80</v>
      </c>
      <c r="AF3" s="114" t="s">
        <v>1257</v>
      </c>
      <c r="AG3" s="114">
        <f>IF(C4*D7&gt;0, AG2+1, AG2)</f>
        <v>0</v>
      </c>
      <c r="AH3" s="114" t="s">
        <v>1271</v>
      </c>
      <c r="AI3" s="114">
        <f>C4</f>
        <v>0</v>
      </c>
      <c r="AK3" s="114" t="s">
        <v>1268</v>
      </c>
      <c r="AL3" s="415" t="s">
        <v>1270</v>
      </c>
      <c r="AM3" s="415" t="s">
        <v>1269</v>
      </c>
      <c r="AN3" s="415" t="s">
        <v>1272</v>
      </c>
      <c r="AQ3" s="114" t="str">
        <f>IF(AG2=AG3,"",_xlfn.CONCAT("
",AG3," - ",AK3,AI3," ",AH3, "
",REPT(" ",8),AG3,".1 - ",AL3,  "
",REPT(" ",8),AG3,".2 - ",AM3,  "
",REPT(" ",8),AG3,".3 - ",AN3))</f>
        <v/>
      </c>
    </row>
    <row r="4" spans="1:43" ht="20.149999999999999" x14ac:dyDescent="0.5">
      <c r="B4" s="341" t="s">
        <v>1238</v>
      </c>
      <c r="C4" s="306">
        <v>0</v>
      </c>
      <c r="J4" s="330" t="s">
        <v>864</v>
      </c>
      <c r="L4" s="328" t="str">
        <f>N4</f>
        <v>Gas (0ppm)</v>
      </c>
      <c r="M4" s="328">
        <v>1</v>
      </c>
      <c r="N4" s="328" t="s">
        <v>846</v>
      </c>
      <c r="O4" s="328">
        <f>'[3]MJS Controls'!D20</f>
        <v>55</v>
      </c>
      <c r="AF4" s="114" t="s">
        <v>1258</v>
      </c>
      <c r="AG4" s="114">
        <f>IF(C1*D7&gt;0, AG3+1, AG3)</f>
        <v>0</v>
      </c>
      <c r="AH4" s="114" t="s">
        <v>1265</v>
      </c>
      <c r="AI4" s="114">
        <f>C1</f>
        <v>0</v>
      </c>
      <c r="AK4" s="114" t="s">
        <v>1268</v>
      </c>
      <c r="AL4" s="415" t="s">
        <v>800</v>
      </c>
      <c r="AM4" s="415" t="s">
        <v>639</v>
      </c>
      <c r="AQ4" s="114" t="str">
        <f>IF(AG3=AG4,"",_xlfn.CONCAT("
",AG4," - ",AK4,AI4," ",AH4,"
",REPT(" ",8),AG4,".1 - ",AL4))</f>
        <v/>
      </c>
    </row>
    <row r="5" spans="1:43" x14ac:dyDescent="0.4">
      <c r="J5" s="330" t="s">
        <v>864</v>
      </c>
      <c r="L5" s="328" t="str">
        <f>N5</f>
        <v>Gas (50ppm)</v>
      </c>
      <c r="M5" s="328">
        <v>1</v>
      </c>
      <c r="N5" s="328" t="s">
        <v>847</v>
      </c>
      <c r="O5" s="328">
        <f>'[3]MJS Controls'!D21</f>
        <v>55</v>
      </c>
      <c r="AF5" s="114" t="s">
        <v>1259</v>
      </c>
      <c r="AG5" s="114">
        <f>IF(C3*D8&gt;0,AG4+1,AG4)</f>
        <v>0</v>
      </c>
      <c r="AH5" s="114" t="str">
        <f>AH4</f>
        <v>CO Sensor</v>
      </c>
      <c r="AI5" s="114">
        <f>C3</f>
        <v>0</v>
      </c>
      <c r="AJ5" s="114">
        <f>C1</f>
        <v>0</v>
      </c>
      <c r="AK5" s="114" t="s">
        <v>799</v>
      </c>
      <c r="AL5" s="415" t="s">
        <v>800</v>
      </c>
      <c r="AM5" s="415" t="s">
        <v>1278</v>
      </c>
      <c r="AN5" s="415" t="s">
        <v>1279</v>
      </c>
      <c r="AQ5" s="114" t="str">
        <f>IF(AG4=AG5,"",_xlfn.CONCAT("
",AG5," - ",AK5,AJ5," ",AH5,AM5,AI5,AN5,"
",REPT(" ",8),AG5,".1 - ",AL5))</f>
        <v/>
      </c>
    </row>
    <row r="6" spans="1:43" ht="20.149999999999999" x14ac:dyDescent="0.5">
      <c r="D6" s="310" t="s">
        <v>844</v>
      </c>
      <c r="E6" s="310" t="s">
        <v>717</v>
      </c>
      <c r="F6" s="339" t="s">
        <v>716</v>
      </c>
      <c r="G6" s="339" t="s">
        <v>894</v>
      </c>
      <c r="I6" s="350" t="s">
        <v>904</v>
      </c>
      <c r="J6" s="330" t="s">
        <v>864</v>
      </c>
      <c r="L6" s="328" t="s">
        <v>716</v>
      </c>
      <c r="M6" s="328">
        <v>1</v>
      </c>
      <c r="N6" s="328" t="s">
        <v>716</v>
      </c>
      <c r="O6" s="328">
        <f>'[3]MJS Controls'!D19</f>
        <v>110</v>
      </c>
      <c r="AF6" s="114" t="str">
        <f>B9</f>
        <v>Smoke Detector</v>
      </c>
      <c r="AG6" s="114">
        <f>IF(D9&gt;0,AG5+1,AG5)</f>
        <v>0</v>
      </c>
      <c r="AH6" s="114" t="str">
        <f>AF6</f>
        <v>Smoke Detector</v>
      </c>
      <c r="AI6" s="114">
        <f>D9</f>
        <v>0</v>
      </c>
      <c r="AK6" s="114" t="s">
        <v>1268</v>
      </c>
      <c r="AL6" s="415" t="s">
        <v>1270</v>
      </c>
      <c r="AM6" s="415" t="s">
        <v>639</v>
      </c>
      <c r="AQ6" s="114" t="str">
        <f>IF(AG5=AG6,"",_xlfn.CONCAT("
",AG6," - ",AK6,AI6," ",AH6, "
",REPT(" ",8),AG6,".1 - ",AL6,  "
",REPT(" ",8),AG6,".2 - ",AM6,  "
",REPT(" ",8),AG6,".3 - ",AN6))</f>
        <v/>
      </c>
    </row>
    <row r="7" spans="1:43" ht="20.149999999999999" x14ac:dyDescent="0.5">
      <c r="B7" s="310" t="s">
        <v>891</v>
      </c>
      <c r="C7" s="305" t="s">
        <v>887</v>
      </c>
      <c r="D7" s="286">
        <f>IF(C7="Yes", 1, 0)</f>
        <v>0</v>
      </c>
      <c r="E7" s="291">
        <f>E15+E52+E34</f>
        <v>0</v>
      </c>
      <c r="F7" s="340">
        <f>C26+C63+C47</f>
        <v>0</v>
      </c>
      <c r="G7" s="291">
        <f>E15+E26+E52+E63+E34+E47</f>
        <v>0</v>
      </c>
      <c r="I7" s="351">
        <f>F3-F8-C27</f>
        <v>0</v>
      </c>
      <c r="J7" s="330" t="s">
        <v>864</v>
      </c>
      <c r="L7" s="328" t="s">
        <v>849</v>
      </c>
      <c r="M7" s="328">
        <v>2</v>
      </c>
      <c r="N7" s="328" t="s">
        <v>852</v>
      </c>
      <c r="O7" s="328">
        <v>72.5</v>
      </c>
      <c r="AF7" s="114" t="str">
        <f t="shared" ref="AF7:AF9" si="0">B10</f>
        <v>Occupancy Sensor</v>
      </c>
      <c r="AG7" s="114">
        <f t="shared" ref="AG7:AG9" si="1">IF(D10&gt;0,AG6+1,AG6)</f>
        <v>0</v>
      </c>
      <c r="AH7" s="114" t="str">
        <f t="shared" ref="AH7:AH9" si="2">AF7</f>
        <v>Occupancy Sensor</v>
      </c>
      <c r="AI7" s="114">
        <f t="shared" ref="AI7:AI9" si="3">D10</f>
        <v>0</v>
      </c>
      <c r="AK7" s="114" t="s">
        <v>1268</v>
      </c>
      <c r="AL7" s="415" t="s">
        <v>1270</v>
      </c>
      <c r="AM7" s="415" t="s">
        <v>639</v>
      </c>
      <c r="AQ7" s="114" t="str">
        <f t="shared" ref="AQ7:AQ9" si="4">IF(AG6=AG7,"",_xlfn.CONCAT("
",AG7," - ",AK7,AI7," ",AH7, "
",REPT(" ",8),AG7,".1 - ",AL7,  "
",REPT(" ",8),AG7,".2 - ",AM7,  "
",REPT(" ",8),AG7,".3 - ",AN7))</f>
        <v/>
      </c>
    </row>
    <row r="8" spans="1:43" ht="20.149999999999999" x14ac:dyDescent="0.5">
      <c r="B8" s="310" t="s">
        <v>910</v>
      </c>
      <c r="C8" s="305" t="s">
        <v>887</v>
      </c>
      <c r="D8" s="286">
        <f>IF(C8="Yes", C3, 0)</f>
        <v>0</v>
      </c>
      <c r="E8" s="291">
        <f>IF(D8=0,0,E77+E73+E69+E68)</f>
        <v>0</v>
      </c>
      <c r="F8" s="340">
        <f>IF(D8=0,0,D82)</f>
        <v>0</v>
      </c>
      <c r="G8" s="291">
        <f>IF(D8=0,0,E82+E8)</f>
        <v>0</v>
      </c>
      <c r="J8" s="330" t="s">
        <v>864</v>
      </c>
      <c r="L8" s="328" t="s">
        <v>802</v>
      </c>
      <c r="M8" s="328">
        <v>2</v>
      </c>
      <c r="N8" s="328" t="s">
        <v>802</v>
      </c>
      <c r="O8" s="328">
        <f>'[3]MJS Controls'!D18</f>
        <v>110</v>
      </c>
      <c r="AF8" s="114" t="str">
        <f t="shared" si="0"/>
        <v>IO-IRM-A</v>
      </c>
      <c r="AG8" s="114">
        <f t="shared" si="1"/>
        <v>0</v>
      </c>
      <c r="AH8" s="114" t="s">
        <v>1266</v>
      </c>
      <c r="AI8" s="114">
        <f t="shared" si="3"/>
        <v>0</v>
      </c>
      <c r="AK8" s="114" t="s">
        <v>1268</v>
      </c>
      <c r="AL8" s="415" t="s">
        <v>1270</v>
      </c>
      <c r="AM8" s="415" t="s">
        <v>639</v>
      </c>
      <c r="AQ8" s="114" t="str">
        <f t="shared" si="4"/>
        <v/>
      </c>
    </row>
    <row r="9" spans="1:43" ht="20.149999999999999" x14ac:dyDescent="0.5">
      <c r="B9" s="310" t="s">
        <v>869</v>
      </c>
      <c r="C9" s="305" t="s">
        <v>887</v>
      </c>
      <c r="D9" s="286">
        <f>IF(C9="Yes", 1, 0)</f>
        <v>0</v>
      </c>
      <c r="E9" s="291">
        <f>O39*D9</f>
        <v>0</v>
      </c>
      <c r="F9" s="340"/>
      <c r="G9" s="291">
        <f>E9</f>
        <v>0</v>
      </c>
      <c r="I9" s="350" t="s">
        <v>907</v>
      </c>
      <c r="J9" s="330" t="s">
        <v>864</v>
      </c>
      <c r="AF9" s="114" t="str">
        <f t="shared" si="0"/>
        <v>Stand Alone Fire Panel</v>
      </c>
      <c r="AG9" s="114">
        <f t="shared" si="1"/>
        <v>0</v>
      </c>
      <c r="AH9" s="114" t="str">
        <f t="shared" si="2"/>
        <v>Stand Alone Fire Panel</v>
      </c>
      <c r="AI9" s="114">
        <f t="shared" si="3"/>
        <v>0</v>
      </c>
      <c r="AK9" s="114" t="s">
        <v>1268</v>
      </c>
      <c r="AL9" s="415" t="s">
        <v>1270</v>
      </c>
      <c r="AM9" s="415" t="s">
        <v>639</v>
      </c>
      <c r="AQ9" s="114" t="str">
        <f t="shared" si="4"/>
        <v/>
      </c>
    </row>
    <row r="10" spans="1:43" ht="20.149999999999999" x14ac:dyDescent="0.5">
      <c r="B10" s="310" t="s">
        <v>889</v>
      </c>
      <c r="C10" s="305" t="s">
        <v>887</v>
      </c>
      <c r="D10" s="286">
        <f t="shared" ref="D10:D12" si="5">IF(C10="Yes", 1, 0)</f>
        <v>0</v>
      </c>
      <c r="E10" s="291">
        <f>O44*D10</f>
        <v>0</v>
      </c>
      <c r="F10" s="340"/>
      <c r="G10" s="291">
        <f t="shared" ref="G10:G11" si="6">E10</f>
        <v>0</v>
      </c>
      <c r="I10" s="352">
        <f>E82</f>
        <v>0</v>
      </c>
      <c r="J10" s="330" t="s">
        <v>864</v>
      </c>
      <c r="AG10" s="114">
        <f>AG9</f>
        <v>0</v>
      </c>
      <c r="AQ10" s="114" t="str">
        <f t="shared" ref="AQ10:AQ11" si="7">IF(AG9=AG10,"",_xlfn.CONCAT("
",AG10," - ",AK10,AI10," ",AH10, "
",REPT(" ",8),AG10,".1 - ",AL10,  "
",REPT(" ",8),AG10,".2 - ",AM10,  "
",REPT(" ",8),AG10,".3 - ",AN10))</f>
        <v/>
      </c>
    </row>
    <row r="11" spans="1:43" ht="20.149999999999999" x14ac:dyDescent="0.5">
      <c r="B11" s="310" t="s">
        <v>885</v>
      </c>
      <c r="C11" s="305" t="s">
        <v>887</v>
      </c>
      <c r="D11" s="286">
        <f t="shared" si="5"/>
        <v>0</v>
      </c>
      <c r="E11" s="291">
        <f>O34*D11</f>
        <v>0</v>
      </c>
      <c r="F11" s="340"/>
      <c r="G11" s="291">
        <f t="shared" si="6"/>
        <v>0</v>
      </c>
      <c r="I11" s="350" t="s">
        <v>908</v>
      </c>
      <c r="J11" s="330" t="s">
        <v>864</v>
      </c>
      <c r="L11" s="328" t="s">
        <v>799</v>
      </c>
      <c r="AG11" s="114">
        <f t="shared" ref="AG11:AG13" si="8">AG10</f>
        <v>0</v>
      </c>
      <c r="AQ11" s="114" t="str">
        <f t="shared" si="7"/>
        <v/>
      </c>
    </row>
    <row r="12" spans="1:43" ht="20.149999999999999" x14ac:dyDescent="0.5">
      <c r="B12" s="310" t="s">
        <v>890</v>
      </c>
      <c r="C12" s="305" t="s">
        <v>887</v>
      </c>
      <c r="D12" s="286">
        <f t="shared" si="5"/>
        <v>0</v>
      </c>
      <c r="E12" s="291">
        <f>IF(D12=0,0,E85)</f>
        <v>0</v>
      </c>
      <c r="F12" s="340">
        <f>IF(D12=0,0,C89)</f>
        <v>0</v>
      </c>
      <c r="G12" s="291">
        <f>IF(D12=0,0,E89+E12)</f>
        <v>0</v>
      </c>
      <c r="I12" s="352">
        <f>E8</f>
        <v>0</v>
      </c>
      <c r="J12" s="330" t="s">
        <v>864</v>
      </c>
      <c r="L12" s="328" t="s">
        <v>853</v>
      </c>
      <c r="M12" s="329" t="s">
        <v>854</v>
      </c>
      <c r="AG12" s="114">
        <f t="shared" si="8"/>
        <v>0</v>
      </c>
      <c r="AQ12" s="114" t="str">
        <f t="shared" ref="AQ12" si="9">IF(AG11=AG12,"",_xlfn.CONCAT("
",AG12," - ",AK12,AI12,AH12, "
",REPT(" ",8),AG12,".1 - ",AL12,  "
",REPT(" ",8),AG12,".2 - ",AM12,  "
",REPT(" ",8),AG12,".3 - ",AN12))</f>
        <v/>
      </c>
    </row>
    <row r="13" spans="1:43" ht="43.75" x14ac:dyDescent="0.4">
      <c r="J13" s="330" t="s">
        <v>864</v>
      </c>
      <c r="L13" s="328" t="s">
        <v>800</v>
      </c>
      <c r="AG13" s="114">
        <f t="shared" si="8"/>
        <v>0</v>
      </c>
      <c r="AQ13" s="282" t="s">
        <v>1281</v>
      </c>
    </row>
    <row r="14" spans="1:43" ht="20.149999999999999" x14ac:dyDescent="0.5">
      <c r="B14" s="310" t="s">
        <v>892</v>
      </c>
      <c r="C14" s="529" t="s">
        <v>1249</v>
      </c>
      <c r="D14" s="530"/>
      <c r="E14" s="531"/>
      <c r="J14" s="330" t="s">
        <v>864</v>
      </c>
      <c r="AF14" s="114" t="s">
        <v>1019</v>
      </c>
      <c r="AG14" s="114">
        <f>AG13+1</f>
        <v>1</v>
      </c>
      <c r="AH14" s="114" t="s">
        <v>1019</v>
      </c>
      <c r="AK14" s="114" t="s">
        <v>1277</v>
      </c>
      <c r="AL14" s="114" t="s">
        <v>1275</v>
      </c>
      <c r="AM14" s="114" t="s">
        <v>1276</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895</v>
      </c>
      <c r="D15" s="309" t="s">
        <v>896</v>
      </c>
      <c r="E15" s="308">
        <f>SUM(E16:E23)</f>
        <v>0</v>
      </c>
      <c r="I15" s="446"/>
      <c r="J15" s="330" t="s">
        <v>864</v>
      </c>
      <c r="L15" s="307" t="s">
        <v>882</v>
      </c>
      <c r="M15" s="307"/>
      <c r="N15" s="307"/>
      <c r="O15" s="307"/>
      <c r="P15" s="307" t="s">
        <v>883</v>
      </c>
      <c r="Q15" s="307" t="s">
        <v>884</v>
      </c>
    </row>
    <row r="16" spans="1:43" x14ac:dyDescent="0.4">
      <c r="B16" s="338" t="str">
        <f>IF($C$1&gt;5, M16,M17)</f>
        <v>ECB-350</v>
      </c>
      <c r="C16" s="338">
        <f>IF($C$7="Yes",IF($C$1&gt;5,N16,N17),0)</f>
        <v>0</v>
      </c>
      <c r="D16" s="338">
        <f>IF($C$1&gt;5, O16,O17)</f>
        <v>725</v>
      </c>
      <c r="E16" s="338">
        <f>D16*C16</f>
        <v>0</v>
      </c>
      <c r="H16" s="446"/>
      <c r="J16" s="330" t="s">
        <v>864</v>
      </c>
      <c r="L16" s="114" t="s">
        <v>771</v>
      </c>
      <c r="M16" s="114" t="s">
        <v>893</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864</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864</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864</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864</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864</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864</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864</v>
      </c>
    </row>
    <row r="25" spans="2:26" x14ac:dyDescent="0.4">
      <c r="B25" s="338"/>
      <c r="C25" s="338"/>
      <c r="D25" s="338"/>
      <c r="E25" s="338"/>
      <c r="J25" s="330" t="s">
        <v>864</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897</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898</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899</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900</v>
      </c>
      <c r="C30" s="338">
        <f>IF($C$7="Yes",N29,0)</f>
        <v>0</v>
      </c>
      <c r="D30" s="338">
        <f>O29</f>
        <v>85</v>
      </c>
      <c r="E30" s="338">
        <f t="shared" si="13"/>
        <v>0</v>
      </c>
    </row>
    <row r="31" spans="2:26" x14ac:dyDescent="0.4">
      <c r="B31" s="338" t="s">
        <v>901</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29" t="s">
        <v>1250</v>
      </c>
      <c r="D33" s="530"/>
      <c r="E33" s="531"/>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885</v>
      </c>
      <c r="N34" s="114">
        <v>1</v>
      </c>
      <c r="O34" s="114">
        <v>200</v>
      </c>
      <c r="Y34" s="66" t="s">
        <v>406</v>
      </c>
      <c r="AA34" s="122" t="s">
        <v>245</v>
      </c>
    </row>
    <row r="35" spans="2:30" x14ac:dyDescent="0.4">
      <c r="B35" s="338" t="s">
        <v>1041</v>
      </c>
      <c r="C35" s="338">
        <f>$C$2*$D$7*1</f>
        <v>0</v>
      </c>
      <c r="D35" s="338">
        <f>VLOOKUP(B35,'Part List'!A:G,3,FALSE)</f>
        <v>43.44</v>
      </c>
      <c r="E35" s="338">
        <f>D35*C35</f>
        <v>0</v>
      </c>
      <c r="Y35" s="66" t="s">
        <v>328</v>
      </c>
      <c r="Z35" s="121" t="s">
        <v>242</v>
      </c>
    </row>
    <row r="36" spans="2:30" x14ac:dyDescent="0.4">
      <c r="B36" s="338" t="s">
        <v>1248</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1040</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1237</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1341</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1251</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1004</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888</v>
      </c>
      <c r="N44" s="114">
        <v>1</v>
      </c>
      <c r="O44" s="114">
        <v>120</v>
      </c>
      <c r="Y44" s="66" t="s">
        <v>402</v>
      </c>
      <c r="AB44" s="121" t="s">
        <v>274</v>
      </c>
    </row>
    <row r="45" spans="2:30" x14ac:dyDescent="0.4">
      <c r="B45" s="338" t="s">
        <v>267</v>
      </c>
      <c r="C45" s="454">
        <f>IF(ISNUMBER(F45),F45,$C$2*$D$7*15)</f>
        <v>0</v>
      </c>
      <c r="D45" s="338">
        <f>VLOOKUP(B45,'Part List'!A:G,3,FALSE)</f>
        <v>3.48</v>
      </c>
      <c r="E45" s="338">
        <f t="shared" si="21"/>
        <v>0</v>
      </c>
      <c r="F45" s="454" t="s">
        <v>1253</v>
      </c>
      <c r="Y45" s="66" t="s">
        <v>408</v>
      </c>
      <c r="Z45" s="121" t="s">
        <v>362</v>
      </c>
    </row>
    <row r="46" spans="2:30" x14ac:dyDescent="0.4">
      <c r="B46" s="338" t="s">
        <v>1252</v>
      </c>
      <c r="C46" s="454">
        <f>IF(ISNUMBER(F46),F46,$C$2*$D$7*35)</f>
        <v>0</v>
      </c>
      <c r="D46" s="338">
        <f>VLOOKUP(B46,'Part List'!A:G,3,FALSE)</f>
        <v>5.8</v>
      </c>
      <c r="E46" s="338">
        <f t="shared" si="21"/>
        <v>0</v>
      </c>
      <c r="F46" s="454" t="s">
        <v>1253</v>
      </c>
    </row>
    <row r="47" spans="2:30" x14ac:dyDescent="0.4">
      <c r="B47" s="309" t="s">
        <v>716</v>
      </c>
      <c r="C47" s="345">
        <f>SUM(C48:C49)</f>
        <v>0</v>
      </c>
      <c r="D47" s="308">
        <f>SUM(D48:D49)</f>
        <v>170</v>
      </c>
      <c r="E47" s="308">
        <f>SUM(E48:E49)</f>
        <v>0</v>
      </c>
    </row>
    <row r="48" spans="2:30" x14ac:dyDescent="0.4">
      <c r="B48" s="455" t="s">
        <v>891</v>
      </c>
      <c r="C48" s="454">
        <f>(C46+C45)/20</f>
        <v>0</v>
      </c>
      <c r="D48" s="338">
        <v>85</v>
      </c>
      <c r="E48" s="338">
        <f>C48*D48</f>
        <v>0</v>
      </c>
    </row>
    <row r="49" spans="2:6" x14ac:dyDescent="0.4">
      <c r="B49" s="455" t="s">
        <v>1019</v>
      </c>
      <c r="C49" s="454">
        <f>$C$2*$D$7*1</f>
        <v>0</v>
      </c>
      <c r="D49" s="338">
        <v>85</v>
      </c>
      <c r="E49" s="338">
        <f>C49*D49</f>
        <v>0</v>
      </c>
    </row>
    <row r="50" spans="2:6" x14ac:dyDescent="0.4">
      <c r="B50" s="114"/>
    </row>
    <row r="51" spans="2:6" ht="20.149999999999999" x14ac:dyDescent="0.5">
      <c r="B51" s="310" t="s">
        <v>1236</v>
      </c>
    </row>
    <row r="52" spans="2:6" x14ac:dyDescent="0.4">
      <c r="B52" s="309" t="s">
        <v>717</v>
      </c>
      <c r="C52" s="309" t="s">
        <v>895</v>
      </c>
      <c r="D52" s="309" t="s">
        <v>896</v>
      </c>
      <c r="E52" s="308">
        <f>SUM(E53:E62)</f>
        <v>0</v>
      </c>
    </row>
    <row r="53" spans="2:6" x14ac:dyDescent="0.4">
      <c r="B53" s="445" t="s">
        <v>1040</v>
      </c>
      <c r="C53" s="445">
        <f>1*$C$4</f>
        <v>0</v>
      </c>
      <c r="D53" s="445">
        <f>VLOOKUP(B53,'Part List'!A:G,3,FALSE)</f>
        <v>46.46</v>
      </c>
      <c r="E53" s="445">
        <f>C53*D53</f>
        <v>0</v>
      </c>
    </row>
    <row r="54" spans="2:6" x14ac:dyDescent="0.4">
      <c r="B54" s="445" t="s">
        <v>986</v>
      </c>
      <c r="C54" s="445">
        <f t="shared" ref="C54:C59" si="23">1*$C$4</f>
        <v>0</v>
      </c>
      <c r="D54" s="445">
        <f>VLOOKUP(B54,'Part List'!A:G,3,FALSE)</f>
        <v>307.2</v>
      </c>
      <c r="E54" s="445">
        <f t="shared" ref="E54:E61" si="24">C54*D54</f>
        <v>0</v>
      </c>
    </row>
    <row r="55" spans="2:6" x14ac:dyDescent="0.4">
      <c r="B55" s="445" t="s">
        <v>326</v>
      </c>
      <c r="C55" s="445">
        <f t="shared" si="23"/>
        <v>0</v>
      </c>
      <c r="D55" s="445">
        <f>VLOOKUP(B55,'Part List'!A:G,3,FALSE)</f>
        <v>24.2</v>
      </c>
      <c r="E55" s="445">
        <f t="shared" si="24"/>
        <v>0</v>
      </c>
    </row>
    <row r="56" spans="2:6" x14ac:dyDescent="0.4">
      <c r="B56" s="445" t="s">
        <v>1004</v>
      </c>
      <c r="C56" s="445">
        <f>2*$C$4</f>
        <v>0</v>
      </c>
      <c r="D56" s="445">
        <f>VLOOKUP(B56,'Part List'!A:G,3,FALSE)</f>
        <v>16</v>
      </c>
      <c r="E56" s="445">
        <f t="shared" si="24"/>
        <v>0</v>
      </c>
    </row>
    <row r="57" spans="2:6" x14ac:dyDescent="0.4">
      <c r="B57" s="445" t="s">
        <v>1000</v>
      </c>
      <c r="C57" s="445">
        <f t="shared" si="23"/>
        <v>0</v>
      </c>
      <c r="D57" s="445">
        <f>VLOOKUP(B57,'Part List'!A:G,3,FALSE)</f>
        <v>60</v>
      </c>
      <c r="E57" s="445">
        <f t="shared" si="24"/>
        <v>0</v>
      </c>
    </row>
    <row r="58" spans="2:6" x14ac:dyDescent="0.4">
      <c r="B58" s="445" t="s">
        <v>304</v>
      </c>
      <c r="C58" s="445">
        <f t="shared" si="23"/>
        <v>0</v>
      </c>
      <c r="D58" s="445">
        <f>VLOOKUP(B58,'Part List'!A:G,3,FALSE)</f>
        <v>57.95</v>
      </c>
      <c r="E58" s="445">
        <f t="shared" si="24"/>
        <v>0</v>
      </c>
    </row>
    <row r="59" spans="2:6" x14ac:dyDescent="0.4">
      <c r="B59" s="445" t="s">
        <v>1237</v>
      </c>
      <c r="C59" s="445">
        <f t="shared" si="23"/>
        <v>0</v>
      </c>
      <c r="D59" s="445">
        <f>VLOOKUP(B59,'Part List'!A:G,3,FALSE)</f>
        <v>360</v>
      </c>
      <c r="E59" s="445">
        <f t="shared" si="24"/>
        <v>0</v>
      </c>
    </row>
    <row r="60" spans="2:6" x14ac:dyDescent="0.4">
      <c r="B60" s="445" t="s">
        <v>267</v>
      </c>
      <c r="C60" s="454">
        <f>IF(ISNUMBER(F62),F62,$C$4*$D$7*15)</f>
        <v>0</v>
      </c>
      <c r="D60" s="445">
        <f>VLOOKUP(B60,'Part List'!A:G,3,FALSE)</f>
        <v>3.48</v>
      </c>
      <c r="E60" s="445">
        <f t="shared" si="24"/>
        <v>0</v>
      </c>
    </row>
    <row r="61" spans="2:6" x14ac:dyDescent="0.4">
      <c r="B61" s="445" t="s">
        <v>269</v>
      </c>
      <c r="C61" s="454">
        <f>IF(ISNUMBER(F63),F63,$C$4*$D$7*10)</f>
        <v>0</v>
      </c>
      <c r="D61" s="445">
        <f>VLOOKUP(B61,'Part List'!A:G,3,FALSE)</f>
        <v>1.056</v>
      </c>
      <c r="E61" s="445">
        <f t="shared" si="24"/>
        <v>0</v>
      </c>
    </row>
    <row r="62" spans="2:6" x14ac:dyDescent="0.4">
      <c r="B62" s="445" t="s">
        <v>1341</v>
      </c>
      <c r="C62" s="445">
        <f>1*$C$4</f>
        <v>0</v>
      </c>
      <c r="D62" s="445">
        <f>VLOOKUP(B62,'Part List'!A:G,3,FALSE)</f>
        <v>91.05</v>
      </c>
      <c r="E62" s="445">
        <f t="shared" ref="E62" si="25">C62*D62</f>
        <v>0</v>
      </c>
      <c r="F62" s="454" t="s">
        <v>1253</v>
      </c>
    </row>
    <row r="63" spans="2:6" x14ac:dyDescent="0.4">
      <c r="B63" s="309" t="s">
        <v>716</v>
      </c>
      <c r="C63" s="345">
        <f>SUM(C64:C65)</f>
        <v>0</v>
      </c>
      <c r="D63" s="345">
        <f t="shared" ref="D63:E63" si="26">SUM(D64:D65)</f>
        <v>170</v>
      </c>
      <c r="E63" s="345">
        <f t="shared" si="26"/>
        <v>0</v>
      </c>
      <c r="F63" s="454" t="s">
        <v>1253</v>
      </c>
    </row>
    <row r="64" spans="2:6" x14ac:dyDescent="0.4">
      <c r="B64" s="445" t="s">
        <v>1239</v>
      </c>
      <c r="C64" s="445">
        <f>4*$C$4</f>
        <v>0</v>
      </c>
      <c r="D64" s="445">
        <v>85</v>
      </c>
      <c r="E64" s="445">
        <f>C64*D64</f>
        <v>0</v>
      </c>
    </row>
    <row r="65" spans="2:5" x14ac:dyDescent="0.4">
      <c r="B65" s="445" t="s">
        <v>1240</v>
      </c>
      <c r="C65" s="445">
        <f>4*$C$4</f>
        <v>0</v>
      </c>
      <c r="D65" s="445">
        <v>85</v>
      </c>
      <c r="E65" s="445">
        <f>C65*D65</f>
        <v>0</v>
      </c>
    </row>
    <row r="67" spans="2:5" ht="20.149999999999999" x14ac:dyDescent="0.5">
      <c r="B67" s="310" t="s">
        <v>849</v>
      </c>
    </row>
    <row r="68" spans="2:5" x14ac:dyDescent="0.4">
      <c r="B68" s="333" t="s">
        <v>797</v>
      </c>
      <c r="C68" s="334">
        <v>0</v>
      </c>
      <c r="D68" s="335"/>
      <c r="E68" s="308">
        <f>C68*$C$3</f>
        <v>0</v>
      </c>
    </row>
    <row r="69" spans="2:5" x14ac:dyDescent="0.4">
      <c r="B69" s="333" t="s">
        <v>801</v>
      </c>
      <c r="C69" s="334">
        <v>0</v>
      </c>
      <c r="D69" s="335"/>
      <c r="E69" s="308">
        <f>C69*$C$3*C1</f>
        <v>0</v>
      </c>
    </row>
    <row r="70" spans="2:5" x14ac:dyDescent="0.4">
      <c r="B70" s="335"/>
      <c r="C70" s="335"/>
      <c r="D70" s="335"/>
      <c r="E70" s="334"/>
    </row>
    <row r="71" spans="2:5" x14ac:dyDescent="0.4">
      <c r="B71" s="333" t="s">
        <v>743</v>
      </c>
      <c r="C71" s="335">
        <f>'Job Summary'!E1</f>
        <v>0</v>
      </c>
      <c r="D71" s="335"/>
      <c r="E71" s="334"/>
    </row>
    <row r="72" spans="2:5" x14ac:dyDescent="0.4">
      <c r="B72" s="333" t="s">
        <v>794</v>
      </c>
      <c r="C72" s="336">
        <v>0</v>
      </c>
      <c r="D72" s="335"/>
      <c r="E72" s="334"/>
    </row>
    <row r="73" spans="2:5" x14ac:dyDescent="0.4">
      <c r="B73" s="309" t="s">
        <v>795</v>
      </c>
      <c r="C73" s="308">
        <f>C72*O3</f>
        <v>0</v>
      </c>
      <c r="D73" s="309" t="s">
        <v>795</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851</v>
      </c>
      <c r="C79" s="336">
        <f>M7*A1</f>
        <v>0</v>
      </c>
      <c r="D79" s="336">
        <f>IF($C$3&gt;0,C79, 0)</f>
        <v>0</v>
      </c>
      <c r="E79" s="308">
        <f>D79*O7</f>
        <v>0</v>
      </c>
    </row>
    <row r="80" spans="2:5" x14ac:dyDescent="0.4">
      <c r="B80" s="336" t="s">
        <v>803</v>
      </c>
      <c r="C80" s="336">
        <f>M8*A1</f>
        <v>0</v>
      </c>
      <c r="D80" s="336">
        <f t="shared" ref="D80:D81" si="28">C80*$C$3</f>
        <v>0</v>
      </c>
      <c r="E80" s="308">
        <f>D80*O8</f>
        <v>0</v>
      </c>
    </row>
    <row r="81" spans="2:5" x14ac:dyDescent="0.4">
      <c r="B81" s="336" t="s">
        <v>850</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890</v>
      </c>
    </row>
    <row r="85" spans="2:5" x14ac:dyDescent="0.4">
      <c r="B85" s="309" t="s">
        <v>717</v>
      </c>
      <c r="C85" s="308" t="s">
        <v>895</v>
      </c>
      <c r="D85" s="309" t="s">
        <v>896</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37" priority="4">
      <formula>IF(ROW() = ROW(), TRUE, FALSE)</formula>
    </cfRule>
  </conditionalFormatting>
  <conditionalFormatting sqref="Y32">
    <cfRule type="expression" dxfId="136" priority="34">
      <formula>RIGHT(Y32,2)="  "</formula>
    </cfRule>
    <cfRule type="expression" dxfId="135" priority="35">
      <formula>RIGHT(Y32,1)=" "</formula>
    </cfRule>
  </conditionalFormatting>
  <conditionalFormatting sqref="Y32">
    <cfRule type="expression" dxfId="134" priority="33">
      <formula>IF(ROW() = ROW(), TRUE, FALSE)</formula>
    </cfRule>
  </conditionalFormatting>
  <conditionalFormatting sqref="Y33">
    <cfRule type="expression" dxfId="133" priority="31">
      <formula>RIGHT(Y33,2)="  "</formula>
    </cfRule>
    <cfRule type="expression" dxfId="132" priority="32">
      <formula>RIGHT(Y33,1)=" "</formula>
    </cfRule>
  </conditionalFormatting>
  <conditionalFormatting sqref="Y33">
    <cfRule type="expression" dxfId="131" priority="30">
      <formula>IF(ROW() = ROW(), TRUE, FALSE)</formula>
    </cfRule>
  </conditionalFormatting>
  <conditionalFormatting sqref="Y34">
    <cfRule type="expression" dxfId="130" priority="28">
      <formula>RIGHT(Y34,2)="  "</formula>
    </cfRule>
    <cfRule type="expression" dxfId="129" priority="29">
      <formula>RIGHT(Y34,1)=" "</formula>
    </cfRule>
  </conditionalFormatting>
  <conditionalFormatting sqref="Y34">
    <cfRule type="expression" dxfId="128" priority="27">
      <formula>IF(ROW() = ROW(), TRUE, FALSE)</formula>
    </cfRule>
  </conditionalFormatting>
  <conditionalFormatting sqref="Y35">
    <cfRule type="expression" dxfId="127" priority="25">
      <formula>RIGHT(Y35,2)="  "</formula>
    </cfRule>
    <cfRule type="expression" dxfId="126" priority="26">
      <formula>RIGHT(Y35,1)=" "</formula>
    </cfRule>
  </conditionalFormatting>
  <conditionalFormatting sqref="Y35">
    <cfRule type="expression" dxfId="125" priority="24">
      <formula>IF(ROW() = ROW(), TRUE, FALSE)</formula>
    </cfRule>
  </conditionalFormatting>
  <conditionalFormatting sqref="Y36:Y41">
    <cfRule type="expression" dxfId="124" priority="22">
      <formula>RIGHT(Y36,2)="  "</formula>
    </cfRule>
    <cfRule type="expression" dxfId="123" priority="23">
      <formula>RIGHT(Y36,1)=" "</formula>
    </cfRule>
  </conditionalFormatting>
  <conditionalFormatting sqref="Y36:Y41">
    <cfRule type="expression" dxfId="122" priority="21">
      <formula>IF(ROW() = ROW(), TRUE, FALSE)</formula>
    </cfRule>
  </conditionalFormatting>
  <conditionalFormatting sqref="Y42:Y45">
    <cfRule type="expression" dxfId="121" priority="19">
      <formula>RIGHT(Y42,2)="  "</formula>
    </cfRule>
    <cfRule type="expression" dxfId="120" priority="20">
      <formula>RIGHT(Y42,1)=" "</formula>
    </cfRule>
  </conditionalFormatting>
  <conditionalFormatting sqref="Y42:Y45">
    <cfRule type="expression" dxfId="119" priority="18">
      <formula>IF(ROW() = ROW(), TRUE, FALSE)</formula>
    </cfRule>
  </conditionalFormatting>
  <conditionalFormatting sqref="Z32:Z33">
    <cfRule type="expression" dxfId="118" priority="17">
      <formula>IF(ROW() = ROW(), TRUE, FALSE)</formula>
    </cfRule>
  </conditionalFormatting>
  <conditionalFormatting sqref="Z35">
    <cfRule type="expression" dxfId="117" priority="16">
      <formula>IF(ROW() = ROW(), TRUE, FALSE)</formula>
    </cfRule>
  </conditionalFormatting>
  <conditionalFormatting sqref="Z36:Z41">
    <cfRule type="expression" dxfId="116" priority="15">
      <formula>IF(ROW() = ROW(), TRUE, FALSE)</formula>
    </cfRule>
  </conditionalFormatting>
  <conditionalFormatting sqref="Z45">
    <cfRule type="expression" dxfId="115" priority="14">
      <formula>IF(ROW() = ROW(), TRUE, FALSE)</formula>
    </cfRule>
  </conditionalFormatting>
  <conditionalFormatting sqref="AA34">
    <cfRule type="expression" dxfId="114" priority="13">
      <formula>IF(ROW() = ROW(), TRUE, FALSE)</formula>
    </cfRule>
  </conditionalFormatting>
  <conditionalFormatting sqref="AB33">
    <cfRule type="expression" dxfId="113" priority="12">
      <formula>IF(ROW() = ROW(), TRUE, FALSE)</formula>
    </cfRule>
  </conditionalFormatting>
  <conditionalFormatting sqref="AA36">
    <cfRule type="expression" dxfId="112" priority="11">
      <formula>IF(ROW() = ROW(), TRUE, FALSE)</formula>
    </cfRule>
  </conditionalFormatting>
  <conditionalFormatting sqref="AB37">
    <cfRule type="expression" dxfId="111" priority="10">
      <formula>IF(ROW() = ROW(), TRUE, FALSE)</formula>
    </cfRule>
  </conditionalFormatting>
  <conditionalFormatting sqref="AB39">
    <cfRule type="expression" dxfId="110" priority="9">
      <formula>IF(ROW() = ROW(), TRUE, FALSE)</formula>
    </cfRule>
  </conditionalFormatting>
  <conditionalFormatting sqref="AB38">
    <cfRule type="expression" dxfId="109" priority="8">
      <formula>IF(ROW() = ROW(), TRUE, FALSE)</formula>
    </cfRule>
  </conditionalFormatting>
  <conditionalFormatting sqref="AA40">
    <cfRule type="expression" dxfId="108" priority="7">
      <formula>IF(ROW() = ROW(), TRUE, FALSE)</formula>
    </cfRule>
  </conditionalFormatting>
  <conditionalFormatting sqref="AA41">
    <cfRule type="expression" dxfId="107" priority="6">
      <formula>IF(ROW() = ROW(), TRUE, FALSE)</formula>
    </cfRule>
  </conditionalFormatting>
  <conditionalFormatting sqref="AB42:AB44">
    <cfRule type="expression" dxfId="106" priority="5">
      <formula>IF(ROW() = ROW(), TRUE, FALSE)</formula>
    </cfRule>
  </conditionalFormatting>
  <dataValidations count="2">
    <dataValidation type="list" allowBlank="1" showInputMessage="1" showErrorMessage="1" sqref="C7:C12" xr:uid="{00000000-0002-0000-0600-000000000000}">
      <formula1>$A$2:$A$3</formula1>
    </dataValidation>
    <dataValidation type="list" allowBlank="1" showInputMessage="1" showErrorMessage="1" sqref="AB42:AB44 Z32:Z33 Z35 Z38:Z41 AA34 AB33 AA36 AB37:AB39 AA40:AA41" xr:uid="{0B251F32-A2C2-44F8-A5A6-12A757CD261F}">
      <formula1>#REF!</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DEE-26C3-42AE-8EDD-737DBB80583A}">
  <dimension ref="A1:G138"/>
  <sheetViews>
    <sheetView workbookViewId="0">
      <pane ySplit="1" topLeftCell="A119" activePane="bottomLeft" state="frozen"/>
      <selection pane="bottomLeft" activeCell="E126" sqref="E126"/>
    </sheetView>
  </sheetViews>
  <sheetFormatPr defaultColWidth="9.3046875" defaultRowHeight="14.6" x14ac:dyDescent="0.4"/>
  <cols>
    <col min="1" max="2" width="19.3828125" style="114" customWidth="1"/>
    <col min="3" max="3" width="16.69140625" style="423" customWidth="1"/>
    <col min="4" max="4" width="14.69140625" style="114" customWidth="1"/>
    <col min="5" max="5" width="11.53515625" style="114" customWidth="1"/>
    <col min="6" max="6" width="20" style="114" customWidth="1"/>
    <col min="7" max="7" width="19.3828125" style="114" customWidth="1"/>
    <col min="8" max="16384" width="9.3046875" style="114"/>
  </cols>
  <sheetData>
    <row r="1" spans="1:7" s="33" customFormat="1" x14ac:dyDescent="0.4">
      <c r="A1" s="33" t="s">
        <v>845</v>
      </c>
      <c r="B1" s="33" t="s">
        <v>1060</v>
      </c>
      <c r="C1" s="423" t="s">
        <v>933</v>
      </c>
      <c r="D1" s="33" t="s">
        <v>750</v>
      </c>
      <c r="E1" s="33" t="s">
        <v>904</v>
      </c>
      <c r="F1" s="33" t="s">
        <v>930</v>
      </c>
      <c r="G1" s="33" t="s">
        <v>743</v>
      </c>
    </row>
    <row r="2" spans="1:7" x14ac:dyDescent="0.4">
      <c r="A2" s="114" t="s">
        <v>999</v>
      </c>
      <c r="B2" s="114" t="s">
        <v>745</v>
      </c>
      <c r="C2" s="423">
        <v>19.8</v>
      </c>
      <c r="D2" s="114" t="s">
        <v>834</v>
      </c>
      <c r="E2" s="114">
        <v>0</v>
      </c>
      <c r="G2" s="114" t="s">
        <v>748</v>
      </c>
    </row>
    <row r="3" spans="1:7" x14ac:dyDescent="0.4">
      <c r="A3" s="114" t="s">
        <v>1040</v>
      </c>
      <c r="B3" s="114" t="s">
        <v>744</v>
      </c>
      <c r="C3" s="423">
        <v>46.46</v>
      </c>
      <c r="D3" s="114" t="s">
        <v>834</v>
      </c>
      <c r="E3" s="114">
        <v>0</v>
      </c>
      <c r="G3" s="114" t="s">
        <v>748</v>
      </c>
    </row>
    <row r="4" spans="1:7" x14ac:dyDescent="0.4">
      <c r="A4" s="114" t="s">
        <v>268</v>
      </c>
      <c r="C4" s="423">
        <v>0.85</v>
      </c>
      <c r="D4" s="114" t="s">
        <v>774</v>
      </c>
      <c r="E4" s="332">
        <v>0.1</v>
      </c>
    </row>
    <row r="5" spans="1:7" x14ac:dyDescent="0.4">
      <c r="A5" s="114" t="s">
        <v>304</v>
      </c>
      <c r="B5" s="114" t="s">
        <v>766</v>
      </c>
      <c r="C5" s="423">
        <v>57.95</v>
      </c>
      <c r="D5" s="114" t="s">
        <v>834</v>
      </c>
      <c r="E5" s="114">
        <v>1</v>
      </c>
      <c r="G5" s="114" t="s">
        <v>761</v>
      </c>
    </row>
    <row r="6" spans="1:7" x14ac:dyDescent="0.4">
      <c r="A6" s="114" t="s">
        <v>253</v>
      </c>
      <c r="B6" s="114" t="s">
        <v>757</v>
      </c>
      <c r="C6" s="423">
        <v>8.4499999999999993</v>
      </c>
      <c r="D6" s="114" t="s">
        <v>834</v>
      </c>
      <c r="E6" s="114">
        <v>0</v>
      </c>
      <c r="G6" s="114" t="s">
        <v>763</v>
      </c>
    </row>
    <row r="7" spans="1:7" x14ac:dyDescent="0.4">
      <c r="A7" s="114" t="s">
        <v>1041</v>
      </c>
      <c r="B7" s="114" t="s">
        <v>759</v>
      </c>
      <c r="C7" s="423">
        <v>43.44</v>
      </c>
      <c r="D7" s="114" t="s">
        <v>834</v>
      </c>
      <c r="E7" s="114">
        <v>0</v>
      </c>
      <c r="G7" s="114" t="s">
        <v>763</v>
      </c>
    </row>
    <row r="8" spans="1:7" x14ac:dyDescent="0.4">
      <c r="A8" s="114" t="s">
        <v>1001</v>
      </c>
      <c r="C8" s="423">
        <v>0</v>
      </c>
      <c r="E8" s="114">
        <v>1</v>
      </c>
    </row>
    <row r="9" spans="1:7" x14ac:dyDescent="0.4">
      <c r="A9" s="114" t="s">
        <v>1341</v>
      </c>
      <c r="B9" s="415" t="s">
        <v>779</v>
      </c>
      <c r="C9" s="423">
        <f>37.8 +
53.25</f>
        <v>91.05</v>
      </c>
    </row>
    <row r="10" spans="1:7" x14ac:dyDescent="0.4">
      <c r="A10" s="117" t="s">
        <v>326</v>
      </c>
      <c r="B10" s="114" t="s">
        <v>769</v>
      </c>
      <c r="C10" s="423">
        <v>24.2</v>
      </c>
      <c r="D10" s="114" t="s">
        <v>834</v>
      </c>
      <c r="G10" s="114" t="s">
        <v>768</v>
      </c>
    </row>
    <row r="11" spans="1:7" x14ac:dyDescent="0.4">
      <c r="A11" s="442" t="s">
        <v>588</v>
      </c>
      <c r="C11" s="423">
        <v>80</v>
      </c>
      <c r="E11" s="114">
        <v>2</v>
      </c>
    </row>
    <row r="12" spans="1:7" x14ac:dyDescent="0.4">
      <c r="A12" s="114" t="s">
        <v>669</v>
      </c>
      <c r="C12" s="423">
        <v>60</v>
      </c>
    </row>
    <row r="13" spans="1:7" x14ac:dyDescent="0.4">
      <c r="A13" s="114" t="s">
        <v>1004</v>
      </c>
      <c r="B13" s="114" t="s">
        <v>755</v>
      </c>
      <c r="C13" s="423">
        <v>16</v>
      </c>
      <c r="D13" s="114" t="s">
        <v>834</v>
      </c>
      <c r="G13" s="114" t="s">
        <v>754</v>
      </c>
    </row>
    <row r="14" spans="1:7" x14ac:dyDescent="0.4">
      <c r="A14" s="114" t="s">
        <v>418</v>
      </c>
      <c r="C14" s="423">
        <v>0.28000000000000003</v>
      </c>
      <c r="E14" s="114">
        <v>0.1</v>
      </c>
    </row>
    <row r="15" spans="1:7" x14ac:dyDescent="0.4">
      <c r="A15" s="114" t="s">
        <v>1005</v>
      </c>
      <c r="B15" s="114" t="s">
        <v>695</v>
      </c>
      <c r="C15" s="423">
        <v>360</v>
      </c>
    </row>
    <row r="16" spans="1:7" x14ac:dyDescent="0.4">
      <c r="A16" s="114" t="s">
        <v>986</v>
      </c>
      <c r="B16" s="114" t="s">
        <v>764</v>
      </c>
      <c r="C16" s="423">
        <v>307.2</v>
      </c>
    </row>
    <row r="17" spans="1:7" x14ac:dyDescent="0.4">
      <c r="A17" s="114" t="s">
        <v>1000</v>
      </c>
      <c r="C17" s="423">
        <v>60</v>
      </c>
      <c r="F17" s="282"/>
    </row>
    <row r="18" spans="1:7" x14ac:dyDescent="0.4">
      <c r="A18" s="135" t="s">
        <v>832</v>
      </c>
      <c r="B18" s="114" t="s">
        <v>1061</v>
      </c>
      <c r="C18" s="423">
        <v>23.4</v>
      </c>
    </row>
    <row r="19" spans="1:7" x14ac:dyDescent="0.4">
      <c r="A19" s="443" t="s">
        <v>697</v>
      </c>
      <c r="B19" s="114" t="s">
        <v>769</v>
      </c>
      <c r="C19" s="423">
        <v>24.2</v>
      </c>
      <c r="D19" s="114" t="s">
        <v>834</v>
      </c>
    </row>
    <row r="20" spans="1:7" x14ac:dyDescent="0.4">
      <c r="A20" s="443" t="s">
        <v>987</v>
      </c>
      <c r="C20" s="423">
        <v>60</v>
      </c>
      <c r="E20" s="114">
        <v>1</v>
      </c>
    </row>
    <row r="21" spans="1:7" x14ac:dyDescent="0.4">
      <c r="A21" s="443"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1036</v>
      </c>
      <c r="E24" s="114">
        <v>0.5</v>
      </c>
      <c r="F24" s="282"/>
    </row>
    <row r="25" spans="1:7" x14ac:dyDescent="0.4">
      <c r="A25" s="443" t="s">
        <v>1019</v>
      </c>
      <c r="E25" s="114">
        <v>1</v>
      </c>
      <c r="F25" s="282"/>
    </row>
    <row r="26" spans="1:7" x14ac:dyDescent="0.4">
      <c r="A26" s="443" t="s">
        <v>1039</v>
      </c>
      <c r="E26" s="114">
        <v>1</v>
      </c>
      <c r="F26" s="282"/>
    </row>
    <row r="27" spans="1:7" x14ac:dyDescent="0.4">
      <c r="A27" s="114" t="s">
        <v>1237</v>
      </c>
      <c r="C27" s="423">
        <v>360</v>
      </c>
      <c r="F27" s="282"/>
    </row>
    <row r="28" spans="1:7" x14ac:dyDescent="0.4">
      <c r="A28" s="443" t="s">
        <v>1248</v>
      </c>
      <c r="B28" s="297" t="s">
        <v>787</v>
      </c>
      <c r="C28" s="423">
        <v>971.52</v>
      </c>
      <c r="F28" s="282"/>
    </row>
    <row r="29" spans="1:7" x14ac:dyDescent="0.4">
      <c r="A29" s="114" t="s">
        <v>1062</v>
      </c>
      <c r="B29" s="114" t="s">
        <v>961</v>
      </c>
      <c r="C29" s="423">
        <v>243.55</v>
      </c>
      <c r="D29" s="114" t="s">
        <v>834</v>
      </c>
      <c r="E29" s="114">
        <v>4</v>
      </c>
      <c r="G29" s="282"/>
    </row>
    <row r="30" spans="1:7" x14ac:dyDescent="0.4">
      <c r="A30" s="114" t="s">
        <v>1063</v>
      </c>
      <c r="B30" s="114" t="s">
        <v>746</v>
      </c>
      <c r="C30" s="423">
        <v>294.60000000000002</v>
      </c>
      <c r="D30" s="114" t="s">
        <v>834</v>
      </c>
      <c r="E30" s="114">
        <v>4</v>
      </c>
    </row>
    <row r="31" spans="1:7" x14ac:dyDescent="0.4">
      <c r="A31" s="114" t="s">
        <v>1064</v>
      </c>
      <c r="B31" s="114" t="s">
        <v>964</v>
      </c>
      <c r="C31" s="423">
        <v>488.25</v>
      </c>
      <c r="D31" s="114" t="s">
        <v>834</v>
      </c>
      <c r="E31" s="114">
        <v>4</v>
      </c>
      <c r="F31" s="282"/>
    </row>
    <row r="32" spans="1:7" x14ac:dyDescent="0.4">
      <c r="A32" s="114" t="s">
        <v>1065</v>
      </c>
      <c r="B32" s="114" t="s">
        <v>970</v>
      </c>
      <c r="C32" s="423">
        <v>700.9</v>
      </c>
      <c r="D32" s="114" t="s">
        <v>834</v>
      </c>
      <c r="E32" s="114">
        <v>4</v>
      </c>
    </row>
    <row r="33" spans="1:5" x14ac:dyDescent="0.4">
      <c r="A33" s="114" t="s">
        <v>1066</v>
      </c>
      <c r="B33" s="114" t="s">
        <v>971</v>
      </c>
      <c r="C33" s="423">
        <v>243.55</v>
      </c>
      <c r="D33" s="114" t="s">
        <v>834</v>
      </c>
      <c r="E33" s="114">
        <v>4</v>
      </c>
    </row>
    <row r="34" spans="1:5" x14ac:dyDescent="0.4">
      <c r="A34" s="114" t="s">
        <v>1067</v>
      </c>
      <c r="B34" s="114" t="s">
        <v>972</v>
      </c>
      <c r="C34" s="423">
        <v>356.4</v>
      </c>
      <c r="D34" s="114" t="s">
        <v>834</v>
      </c>
      <c r="E34" s="114">
        <v>4</v>
      </c>
    </row>
    <row r="35" spans="1:5" x14ac:dyDescent="0.4">
      <c r="A35" s="114" t="s">
        <v>1068</v>
      </c>
      <c r="B35" s="114" t="s">
        <v>973</v>
      </c>
      <c r="C35" s="423">
        <v>541.75</v>
      </c>
      <c r="D35" s="114" t="s">
        <v>834</v>
      </c>
      <c r="E35" s="114">
        <v>4</v>
      </c>
    </row>
    <row r="36" spans="1:5" x14ac:dyDescent="0.4">
      <c r="A36" s="114" t="s">
        <v>1069</v>
      </c>
      <c r="B36" s="114" t="s">
        <v>974</v>
      </c>
      <c r="C36" s="423">
        <v>651</v>
      </c>
      <c r="D36" s="114" t="s">
        <v>834</v>
      </c>
      <c r="E36" s="114">
        <v>4</v>
      </c>
    </row>
    <row r="37" spans="1:5" x14ac:dyDescent="0.4">
      <c r="A37" s="114" t="s">
        <v>1070</v>
      </c>
      <c r="B37" s="114" t="s">
        <v>970</v>
      </c>
      <c r="C37" s="423">
        <v>700.9</v>
      </c>
      <c r="D37" s="114" t="s">
        <v>834</v>
      </c>
      <c r="E37" s="114">
        <v>4</v>
      </c>
    </row>
    <row r="38" spans="1:5" x14ac:dyDescent="0.4">
      <c r="A38" s="114" t="s">
        <v>1071</v>
      </c>
      <c r="B38" s="114" t="s">
        <v>1072</v>
      </c>
      <c r="C38" s="423">
        <v>999999</v>
      </c>
      <c r="D38" s="114" t="s">
        <v>1073</v>
      </c>
      <c r="E38" s="114">
        <v>999999</v>
      </c>
    </row>
    <row r="39" spans="1:5" x14ac:dyDescent="0.4">
      <c r="A39" s="114" t="s">
        <v>1074</v>
      </c>
      <c r="B39" s="114" t="s">
        <v>1075</v>
      </c>
      <c r="C39" s="423">
        <v>999999</v>
      </c>
      <c r="D39" s="114" t="s">
        <v>1073</v>
      </c>
      <c r="E39" s="114">
        <v>999999</v>
      </c>
    </row>
    <row r="40" spans="1:5" x14ac:dyDescent="0.4">
      <c r="A40" s="114" t="s">
        <v>1076</v>
      </c>
      <c r="B40" s="114" t="s">
        <v>1077</v>
      </c>
      <c r="C40" s="423">
        <v>999999</v>
      </c>
      <c r="D40" s="114" t="s">
        <v>1073</v>
      </c>
      <c r="E40" s="114">
        <v>999999</v>
      </c>
    </row>
    <row r="41" spans="1:5" x14ac:dyDescent="0.4">
      <c r="A41" s="114" t="s">
        <v>1078</v>
      </c>
      <c r="B41" s="114" t="s">
        <v>1079</v>
      </c>
      <c r="C41" s="423">
        <v>999999</v>
      </c>
      <c r="D41" s="114" t="s">
        <v>1073</v>
      </c>
      <c r="E41" s="114">
        <v>999999</v>
      </c>
    </row>
    <row r="42" spans="1:5" x14ac:dyDescent="0.4">
      <c r="A42" s="114" t="s">
        <v>1080</v>
      </c>
      <c r="B42" s="114" t="s">
        <v>1081</v>
      </c>
      <c r="C42" s="423">
        <v>999999</v>
      </c>
      <c r="D42" s="114" t="s">
        <v>1073</v>
      </c>
      <c r="E42" s="114">
        <v>999999</v>
      </c>
    </row>
    <row r="43" spans="1:5" x14ac:dyDescent="0.4">
      <c r="A43" s="114" t="s">
        <v>1082</v>
      </c>
      <c r="B43" s="114" t="s">
        <v>1083</v>
      </c>
      <c r="C43" s="423">
        <v>999999</v>
      </c>
      <c r="D43" s="114" t="s">
        <v>1073</v>
      </c>
      <c r="E43" s="114">
        <v>999999</v>
      </c>
    </row>
    <row r="44" spans="1:5" x14ac:dyDescent="0.4">
      <c r="A44" s="114" t="s">
        <v>1084</v>
      </c>
      <c r="B44" s="114" t="s">
        <v>1085</v>
      </c>
      <c r="C44" s="423">
        <v>999999</v>
      </c>
      <c r="D44" s="114" t="s">
        <v>1073</v>
      </c>
      <c r="E44" s="114">
        <v>999999</v>
      </c>
    </row>
    <row r="45" spans="1:5" x14ac:dyDescent="0.4">
      <c r="A45" s="114" t="s">
        <v>1086</v>
      </c>
      <c r="B45" s="114" t="s">
        <v>1087</v>
      </c>
      <c r="C45" s="423">
        <v>999999</v>
      </c>
      <c r="D45" s="114" t="s">
        <v>1073</v>
      </c>
      <c r="E45" s="114">
        <v>999999</v>
      </c>
    </row>
    <row r="46" spans="1:5" x14ac:dyDescent="0.4">
      <c r="A46" s="114" t="s">
        <v>1088</v>
      </c>
      <c r="B46" s="114" t="s">
        <v>1089</v>
      </c>
      <c r="C46" s="423">
        <v>999999</v>
      </c>
      <c r="D46" s="114" t="s">
        <v>1073</v>
      </c>
      <c r="E46" s="114">
        <v>999999</v>
      </c>
    </row>
    <row r="47" spans="1:5" x14ac:dyDescent="0.4">
      <c r="A47" s="114" t="s">
        <v>1090</v>
      </c>
      <c r="B47" s="114" t="s">
        <v>1091</v>
      </c>
      <c r="C47" s="423">
        <v>999999</v>
      </c>
      <c r="D47" s="114" t="s">
        <v>1073</v>
      </c>
      <c r="E47" s="114">
        <v>999999</v>
      </c>
    </row>
    <row r="48" spans="1:5" x14ac:dyDescent="0.4">
      <c r="A48" s="114" t="s">
        <v>1092</v>
      </c>
      <c r="B48" s="114" t="s">
        <v>1093</v>
      </c>
      <c r="C48" s="423">
        <v>999999</v>
      </c>
      <c r="D48" s="114" t="s">
        <v>1073</v>
      </c>
      <c r="E48" s="114">
        <v>999999</v>
      </c>
    </row>
    <row r="49" spans="1:5" x14ac:dyDescent="0.4">
      <c r="A49" s="114" t="s">
        <v>1094</v>
      </c>
      <c r="B49" s="114" t="s">
        <v>1095</v>
      </c>
      <c r="C49" s="423">
        <v>999999</v>
      </c>
      <c r="D49" s="114" t="s">
        <v>1073</v>
      </c>
      <c r="E49" s="114">
        <v>999999</v>
      </c>
    </row>
    <row r="50" spans="1:5" x14ac:dyDescent="0.4">
      <c r="A50" s="114" t="s">
        <v>1096</v>
      </c>
      <c r="B50" s="114" t="s">
        <v>1097</v>
      </c>
      <c r="C50" s="423">
        <v>999999</v>
      </c>
      <c r="D50" s="114" t="s">
        <v>1073</v>
      </c>
      <c r="E50" s="114">
        <v>999999</v>
      </c>
    </row>
    <row r="51" spans="1:5" x14ac:dyDescent="0.4">
      <c r="A51" s="114" t="s">
        <v>1098</v>
      </c>
      <c r="B51" s="114" t="s">
        <v>1099</v>
      </c>
      <c r="C51" s="423">
        <v>999999</v>
      </c>
      <c r="D51" s="114" t="s">
        <v>1073</v>
      </c>
      <c r="E51" s="114">
        <v>999999</v>
      </c>
    </row>
    <row r="52" spans="1:5" x14ac:dyDescent="0.4">
      <c r="A52" s="114" t="s">
        <v>1100</v>
      </c>
      <c r="B52" s="114" t="s">
        <v>1101</v>
      </c>
      <c r="C52" s="423">
        <v>999999</v>
      </c>
      <c r="D52" s="114" t="s">
        <v>1073</v>
      </c>
      <c r="E52" s="114">
        <v>999999</v>
      </c>
    </row>
    <row r="53" spans="1:5" x14ac:dyDescent="0.4">
      <c r="A53" s="114" t="s">
        <v>1102</v>
      </c>
      <c r="B53" s="114" t="s">
        <v>1103</v>
      </c>
      <c r="C53" s="423">
        <v>999999</v>
      </c>
      <c r="D53" s="114" t="s">
        <v>1073</v>
      </c>
      <c r="E53" s="114">
        <v>999999</v>
      </c>
    </row>
    <row r="54" spans="1:5" x14ac:dyDescent="0.4">
      <c r="A54" s="114" t="s">
        <v>1104</v>
      </c>
      <c r="B54" s="114" t="s">
        <v>1105</v>
      </c>
      <c r="C54" s="423">
        <v>999999</v>
      </c>
      <c r="D54" s="114" t="s">
        <v>1073</v>
      </c>
      <c r="E54" s="114">
        <v>999999</v>
      </c>
    </row>
    <row r="55" spans="1:5" x14ac:dyDescent="0.4">
      <c r="A55" s="114" t="s">
        <v>1106</v>
      </c>
      <c r="B55" s="114" t="s">
        <v>1107</v>
      </c>
      <c r="C55" s="423">
        <v>999999</v>
      </c>
      <c r="D55" s="114" t="s">
        <v>1073</v>
      </c>
      <c r="E55" s="114">
        <v>999999</v>
      </c>
    </row>
    <row r="56" spans="1:5" x14ac:dyDescent="0.4">
      <c r="A56" s="114" t="s">
        <v>1108</v>
      </c>
      <c r="B56" s="114" t="s">
        <v>1109</v>
      </c>
      <c r="C56" s="423">
        <v>999999</v>
      </c>
      <c r="D56" s="114" t="s">
        <v>1073</v>
      </c>
      <c r="E56" s="114">
        <v>999999</v>
      </c>
    </row>
    <row r="57" spans="1:5" x14ac:dyDescent="0.4">
      <c r="A57" s="114" t="s">
        <v>1110</v>
      </c>
      <c r="B57" s="114" t="s">
        <v>1111</v>
      </c>
      <c r="C57" s="423">
        <v>999999</v>
      </c>
      <c r="D57" s="114" t="s">
        <v>1073</v>
      </c>
      <c r="E57" s="114">
        <v>999999</v>
      </c>
    </row>
    <row r="58" spans="1:5" x14ac:dyDescent="0.4">
      <c r="A58" s="114" t="s">
        <v>1112</v>
      </c>
      <c r="B58" s="114" t="s">
        <v>1113</v>
      </c>
      <c r="C58" s="423">
        <v>999999</v>
      </c>
      <c r="D58" s="114" t="s">
        <v>1073</v>
      </c>
      <c r="E58" s="114">
        <v>999999</v>
      </c>
    </row>
    <row r="59" spans="1:5" x14ac:dyDescent="0.4">
      <c r="A59" s="114" t="s">
        <v>1114</v>
      </c>
      <c r="B59" s="114" t="s">
        <v>1115</v>
      </c>
      <c r="C59" s="423">
        <v>999999</v>
      </c>
      <c r="D59" s="114" t="s">
        <v>1073</v>
      </c>
      <c r="E59" s="114">
        <v>999999</v>
      </c>
    </row>
    <row r="60" spans="1:5" x14ac:dyDescent="0.4">
      <c r="A60" s="114" t="s">
        <v>1116</v>
      </c>
      <c r="B60" s="114" t="s">
        <v>1117</v>
      </c>
      <c r="C60" s="423">
        <v>999999</v>
      </c>
      <c r="D60" s="114" t="s">
        <v>1073</v>
      </c>
      <c r="E60" s="114">
        <v>999999</v>
      </c>
    </row>
    <row r="61" spans="1:5" x14ac:dyDescent="0.4">
      <c r="A61" s="114" t="s">
        <v>1118</v>
      </c>
      <c r="B61" s="114" t="s">
        <v>1119</v>
      </c>
      <c r="C61" s="423">
        <v>999999</v>
      </c>
      <c r="D61" s="114" t="s">
        <v>1073</v>
      </c>
      <c r="E61" s="114">
        <v>999999</v>
      </c>
    </row>
    <row r="62" spans="1:5" x14ac:dyDescent="0.4">
      <c r="A62" s="114" t="s">
        <v>1120</v>
      </c>
      <c r="B62" s="114" t="s">
        <v>1121</v>
      </c>
      <c r="C62" s="423">
        <v>999999</v>
      </c>
      <c r="D62" s="114" t="s">
        <v>1073</v>
      </c>
      <c r="E62" s="114">
        <v>999999</v>
      </c>
    </row>
    <row r="63" spans="1:5" x14ac:dyDescent="0.4">
      <c r="A63" s="114" t="s">
        <v>1122</v>
      </c>
      <c r="B63" s="114" t="s">
        <v>1123</v>
      </c>
      <c r="C63" s="423">
        <v>999999</v>
      </c>
      <c r="D63" s="114" t="s">
        <v>1073</v>
      </c>
      <c r="E63" s="114">
        <v>999999</v>
      </c>
    </row>
    <row r="64" spans="1:5" x14ac:dyDescent="0.4">
      <c r="A64" s="114" t="s">
        <v>1124</v>
      </c>
      <c r="B64" s="114" t="s">
        <v>1125</v>
      </c>
      <c r="C64" s="423">
        <v>999999</v>
      </c>
      <c r="D64" s="114" t="s">
        <v>1073</v>
      </c>
      <c r="E64" s="114">
        <v>999999</v>
      </c>
    </row>
    <row r="65" spans="1:5" x14ac:dyDescent="0.4">
      <c r="A65" s="114" t="s">
        <v>1126</v>
      </c>
      <c r="B65" s="114" t="s">
        <v>1127</v>
      </c>
      <c r="C65" s="423">
        <v>999999</v>
      </c>
      <c r="D65" s="114" t="s">
        <v>1073</v>
      </c>
      <c r="E65" s="114">
        <v>999999</v>
      </c>
    </row>
    <row r="66" spans="1:5" x14ac:dyDescent="0.4">
      <c r="A66" s="114" t="s">
        <v>1128</v>
      </c>
      <c r="B66" s="114" t="s">
        <v>1129</v>
      </c>
      <c r="C66" s="423">
        <v>999999</v>
      </c>
      <c r="D66" s="114" t="s">
        <v>1073</v>
      </c>
      <c r="E66" s="114">
        <v>999999</v>
      </c>
    </row>
    <row r="67" spans="1:5" x14ac:dyDescent="0.4">
      <c r="A67" s="114" t="s">
        <v>1130</v>
      </c>
      <c r="B67" s="114" t="s">
        <v>1131</v>
      </c>
      <c r="C67" s="423">
        <v>999999</v>
      </c>
      <c r="D67" s="114" t="s">
        <v>1073</v>
      </c>
      <c r="E67" s="114">
        <v>999999</v>
      </c>
    </row>
    <row r="68" spans="1:5" x14ac:dyDescent="0.4">
      <c r="A68" s="114" t="s">
        <v>1132</v>
      </c>
      <c r="B68" s="114" t="s">
        <v>1133</v>
      </c>
      <c r="C68" s="423">
        <v>999999</v>
      </c>
      <c r="D68" s="114" t="s">
        <v>1073</v>
      </c>
      <c r="E68" s="114">
        <v>999999</v>
      </c>
    </row>
    <row r="69" spans="1:5" x14ac:dyDescent="0.4">
      <c r="A69" s="114" t="s">
        <v>1134</v>
      </c>
      <c r="B69" s="114" t="s">
        <v>1135</v>
      </c>
      <c r="C69" s="423">
        <v>999999</v>
      </c>
      <c r="D69" s="114" t="s">
        <v>1073</v>
      </c>
      <c r="E69" s="114">
        <v>999999</v>
      </c>
    </row>
    <row r="70" spans="1:5" x14ac:dyDescent="0.4">
      <c r="A70" s="114" t="s">
        <v>1136</v>
      </c>
      <c r="B70" s="114" t="s">
        <v>1137</v>
      </c>
      <c r="C70" s="423">
        <v>999999</v>
      </c>
      <c r="D70" s="114" t="s">
        <v>1073</v>
      </c>
      <c r="E70" s="114">
        <v>999999</v>
      </c>
    </row>
    <row r="71" spans="1:5" x14ac:dyDescent="0.4">
      <c r="A71" s="114" t="s">
        <v>1138</v>
      </c>
      <c r="B71" s="114" t="s">
        <v>1139</v>
      </c>
      <c r="C71" s="423">
        <v>999999</v>
      </c>
      <c r="D71" s="114" t="s">
        <v>1073</v>
      </c>
      <c r="E71" s="114">
        <v>999999</v>
      </c>
    </row>
    <row r="72" spans="1:5" x14ac:dyDescent="0.4">
      <c r="A72" s="114" t="s">
        <v>1140</v>
      </c>
      <c r="B72" s="114" t="s">
        <v>1141</v>
      </c>
      <c r="C72" s="423">
        <v>999999</v>
      </c>
      <c r="D72" s="114" t="s">
        <v>1073</v>
      </c>
      <c r="E72" s="114">
        <v>999999</v>
      </c>
    </row>
    <row r="73" spans="1:5" x14ac:dyDescent="0.4">
      <c r="A73" s="114" t="s">
        <v>1142</v>
      </c>
      <c r="B73" s="114" t="s">
        <v>1143</v>
      </c>
      <c r="C73" s="423">
        <v>999999</v>
      </c>
      <c r="D73" s="114" t="s">
        <v>1073</v>
      </c>
      <c r="E73" s="114">
        <v>999999</v>
      </c>
    </row>
    <row r="74" spans="1:5" x14ac:dyDescent="0.4">
      <c r="A74" s="114" t="s">
        <v>1144</v>
      </c>
      <c r="B74" s="114" t="s">
        <v>1145</v>
      </c>
      <c r="C74" s="423">
        <v>999999</v>
      </c>
      <c r="D74" s="114" t="s">
        <v>1073</v>
      </c>
      <c r="E74" s="114">
        <v>999999</v>
      </c>
    </row>
    <row r="75" spans="1:5" x14ac:dyDescent="0.4">
      <c r="A75" s="114" t="s">
        <v>1146</v>
      </c>
      <c r="B75" s="114" t="s">
        <v>1147</v>
      </c>
      <c r="C75" s="423">
        <v>999999</v>
      </c>
      <c r="D75" s="114" t="s">
        <v>1073</v>
      </c>
      <c r="E75" s="114">
        <v>999999</v>
      </c>
    </row>
    <row r="76" spans="1:5" x14ac:dyDescent="0.4">
      <c r="A76" s="114" t="s">
        <v>1148</v>
      </c>
      <c r="B76" s="114" t="s">
        <v>1149</v>
      </c>
      <c r="C76" s="423">
        <v>999999</v>
      </c>
      <c r="D76" s="114" t="s">
        <v>1073</v>
      </c>
      <c r="E76" s="114">
        <v>999999</v>
      </c>
    </row>
    <row r="77" spans="1:5" x14ac:dyDescent="0.4">
      <c r="A77" s="114" t="s">
        <v>1150</v>
      </c>
      <c r="B77" s="114" t="s">
        <v>1151</v>
      </c>
      <c r="C77" s="423">
        <v>999999</v>
      </c>
      <c r="D77" s="114" t="s">
        <v>1073</v>
      </c>
      <c r="E77" s="114">
        <v>999999</v>
      </c>
    </row>
    <row r="78" spans="1:5" x14ac:dyDescent="0.4">
      <c r="A78" s="114" t="s">
        <v>1152</v>
      </c>
      <c r="B78" s="114" t="s">
        <v>1153</v>
      </c>
      <c r="C78" s="423">
        <v>999999</v>
      </c>
      <c r="D78" s="114" t="s">
        <v>1073</v>
      </c>
      <c r="E78" s="114">
        <v>999999</v>
      </c>
    </row>
    <row r="79" spans="1:5" x14ac:dyDescent="0.4">
      <c r="A79" s="114" t="s">
        <v>1154</v>
      </c>
      <c r="B79" s="114" t="s">
        <v>1155</v>
      </c>
      <c r="C79" s="423">
        <v>999999</v>
      </c>
      <c r="D79" s="114" t="s">
        <v>1073</v>
      </c>
      <c r="E79" s="114">
        <v>999999</v>
      </c>
    </row>
    <row r="80" spans="1:5" x14ac:dyDescent="0.4">
      <c r="A80" s="114" t="s">
        <v>1156</v>
      </c>
      <c r="B80" s="114" t="s">
        <v>1157</v>
      </c>
      <c r="C80" s="423">
        <v>999999</v>
      </c>
      <c r="D80" s="114" t="s">
        <v>1073</v>
      </c>
      <c r="E80" s="114">
        <v>999999</v>
      </c>
    </row>
    <row r="81" spans="1:5" x14ac:dyDescent="0.4">
      <c r="A81" s="114" t="s">
        <v>1158</v>
      </c>
      <c r="B81" s="114" t="s">
        <v>1159</v>
      </c>
      <c r="C81" s="423">
        <v>999999</v>
      </c>
      <c r="D81" s="114" t="s">
        <v>1073</v>
      </c>
      <c r="E81" s="114">
        <v>999999</v>
      </c>
    </row>
    <row r="82" spans="1:5" x14ac:dyDescent="0.4">
      <c r="A82" s="114" t="s">
        <v>1160</v>
      </c>
      <c r="B82" s="114" t="s">
        <v>1161</v>
      </c>
      <c r="C82" s="423">
        <v>999999</v>
      </c>
      <c r="D82" s="114" t="s">
        <v>1073</v>
      </c>
      <c r="E82" s="114">
        <v>999999</v>
      </c>
    </row>
    <row r="83" spans="1:5" x14ac:dyDescent="0.4">
      <c r="A83" s="114" t="s">
        <v>1162</v>
      </c>
      <c r="B83" s="114" t="s">
        <v>1163</v>
      </c>
      <c r="C83" s="423">
        <v>999999</v>
      </c>
      <c r="D83" s="114" t="s">
        <v>1073</v>
      </c>
      <c r="E83" s="114">
        <v>999999</v>
      </c>
    </row>
    <row r="84" spans="1:5" x14ac:dyDescent="0.4">
      <c r="A84" s="114" t="s">
        <v>1164</v>
      </c>
      <c r="B84" s="114" t="s">
        <v>1165</v>
      </c>
      <c r="C84" s="423">
        <v>999999</v>
      </c>
      <c r="D84" s="114" t="s">
        <v>1073</v>
      </c>
      <c r="E84" s="114">
        <v>999999</v>
      </c>
    </row>
    <row r="85" spans="1:5" x14ac:dyDescent="0.4">
      <c r="A85" s="114" t="s">
        <v>1166</v>
      </c>
      <c r="B85" s="114" t="s">
        <v>1167</v>
      </c>
      <c r="C85" s="423">
        <v>999999</v>
      </c>
      <c r="D85" s="114" t="s">
        <v>1073</v>
      </c>
      <c r="E85" s="114">
        <v>999999</v>
      </c>
    </row>
    <row r="86" spans="1:5" x14ac:dyDescent="0.4">
      <c r="A86" s="114" t="s">
        <v>1168</v>
      </c>
      <c r="B86" s="114" t="s">
        <v>1169</v>
      </c>
      <c r="C86" s="423">
        <v>999999</v>
      </c>
      <c r="D86" s="114" t="s">
        <v>1073</v>
      </c>
      <c r="E86" s="114">
        <v>999999</v>
      </c>
    </row>
    <row r="87" spans="1:5" x14ac:dyDescent="0.4">
      <c r="A87" s="114" t="s">
        <v>1170</v>
      </c>
      <c r="B87" s="114" t="s">
        <v>1171</v>
      </c>
      <c r="C87" s="423">
        <v>999999</v>
      </c>
      <c r="D87" s="114" t="s">
        <v>1073</v>
      </c>
      <c r="E87" s="114">
        <v>999999</v>
      </c>
    </row>
    <row r="88" spans="1:5" x14ac:dyDescent="0.4">
      <c r="A88" s="114" t="s">
        <v>1172</v>
      </c>
      <c r="B88" s="114" t="s">
        <v>1173</v>
      </c>
      <c r="C88" s="423">
        <v>999999</v>
      </c>
      <c r="D88" s="114" t="s">
        <v>1073</v>
      </c>
      <c r="E88" s="114">
        <v>999999</v>
      </c>
    </row>
    <row r="89" spans="1:5" x14ac:dyDescent="0.4">
      <c r="A89" s="114" t="s">
        <v>1174</v>
      </c>
      <c r="B89" s="114" t="s">
        <v>1175</v>
      </c>
      <c r="C89" s="423">
        <v>999999</v>
      </c>
      <c r="D89" s="114" t="s">
        <v>1073</v>
      </c>
      <c r="E89" s="114">
        <v>999999</v>
      </c>
    </row>
    <row r="90" spans="1:5" x14ac:dyDescent="0.4">
      <c r="A90" s="114" t="s">
        <v>1176</v>
      </c>
      <c r="B90" s="114" t="s">
        <v>1177</v>
      </c>
      <c r="C90" s="423">
        <v>999999</v>
      </c>
      <c r="D90" s="114" t="s">
        <v>1073</v>
      </c>
      <c r="E90" s="114">
        <v>999999</v>
      </c>
    </row>
    <row r="91" spans="1:5" x14ac:dyDescent="0.4">
      <c r="A91" s="114" t="s">
        <v>1178</v>
      </c>
      <c r="B91" s="114" t="s">
        <v>1179</v>
      </c>
      <c r="C91" s="423">
        <v>999999</v>
      </c>
      <c r="D91" s="114" t="s">
        <v>1073</v>
      </c>
      <c r="E91" s="114">
        <v>999999</v>
      </c>
    </row>
    <row r="92" spans="1:5" x14ac:dyDescent="0.4">
      <c r="A92" s="114" t="s">
        <v>1180</v>
      </c>
      <c r="B92" s="114" t="s">
        <v>1181</v>
      </c>
      <c r="C92" s="423">
        <v>999999</v>
      </c>
      <c r="D92" s="114" t="s">
        <v>1073</v>
      </c>
      <c r="E92" s="114">
        <v>999999</v>
      </c>
    </row>
    <row r="93" spans="1:5" x14ac:dyDescent="0.4">
      <c r="A93" s="114" t="s">
        <v>1182</v>
      </c>
      <c r="B93" s="114" t="s">
        <v>1183</v>
      </c>
      <c r="C93" s="423">
        <v>999999</v>
      </c>
      <c r="D93" s="114" t="s">
        <v>1073</v>
      </c>
      <c r="E93" s="114">
        <v>999999</v>
      </c>
    </row>
    <row r="94" spans="1:5" x14ac:dyDescent="0.4">
      <c r="A94" s="114" t="s">
        <v>1184</v>
      </c>
      <c r="B94" s="114" t="s">
        <v>1185</v>
      </c>
      <c r="C94" s="423">
        <v>999999</v>
      </c>
      <c r="D94" s="114" t="s">
        <v>1073</v>
      </c>
      <c r="E94" s="114">
        <v>999999</v>
      </c>
    </row>
    <row r="95" spans="1:5" x14ac:dyDescent="0.4">
      <c r="A95" s="114" t="s">
        <v>1186</v>
      </c>
      <c r="B95" s="114" t="s">
        <v>1187</v>
      </c>
      <c r="C95" s="423">
        <v>999999</v>
      </c>
      <c r="D95" s="114" t="s">
        <v>1073</v>
      </c>
      <c r="E95" s="114">
        <v>999999</v>
      </c>
    </row>
    <row r="96" spans="1:5" x14ac:dyDescent="0.4">
      <c r="A96" s="114" t="s">
        <v>1188</v>
      </c>
      <c r="B96" s="114" t="s">
        <v>1189</v>
      </c>
      <c r="C96" s="423">
        <v>999999</v>
      </c>
      <c r="D96" s="114" t="s">
        <v>1073</v>
      </c>
      <c r="E96" s="114">
        <v>999999</v>
      </c>
    </row>
    <row r="97" spans="1:5" x14ac:dyDescent="0.4">
      <c r="A97" s="114" t="s">
        <v>1190</v>
      </c>
      <c r="B97" s="114" t="s">
        <v>1191</v>
      </c>
      <c r="C97" s="423">
        <v>999999</v>
      </c>
      <c r="D97" s="114" t="s">
        <v>1073</v>
      </c>
      <c r="E97" s="114">
        <v>999999</v>
      </c>
    </row>
    <row r="98" spans="1:5" x14ac:dyDescent="0.4">
      <c r="A98" s="114" t="s">
        <v>1192</v>
      </c>
      <c r="B98" s="114" t="s">
        <v>1193</v>
      </c>
      <c r="C98" s="423">
        <v>999999</v>
      </c>
      <c r="D98" s="114" t="s">
        <v>1073</v>
      </c>
      <c r="E98" s="114">
        <v>999999</v>
      </c>
    </row>
    <row r="99" spans="1:5" x14ac:dyDescent="0.4">
      <c r="A99" s="114" t="s">
        <v>1194</v>
      </c>
      <c r="B99" s="114" t="s">
        <v>1195</v>
      </c>
      <c r="C99" s="423">
        <v>999999</v>
      </c>
      <c r="D99" s="114" t="s">
        <v>1073</v>
      </c>
      <c r="E99" s="114">
        <v>999999</v>
      </c>
    </row>
    <row r="100" spans="1:5" x14ac:dyDescent="0.4">
      <c r="A100" s="114" t="s">
        <v>1196</v>
      </c>
      <c r="B100" s="114" t="s">
        <v>1197</v>
      </c>
      <c r="C100" s="423">
        <v>999999</v>
      </c>
      <c r="D100" s="114" t="s">
        <v>1073</v>
      </c>
      <c r="E100" s="114">
        <v>999999</v>
      </c>
    </row>
    <row r="101" spans="1:5" x14ac:dyDescent="0.4">
      <c r="A101" s="114" t="s">
        <v>1198</v>
      </c>
      <c r="B101" s="114" t="s">
        <v>1199</v>
      </c>
      <c r="C101" s="423">
        <v>999999</v>
      </c>
      <c r="D101" s="114" t="s">
        <v>1073</v>
      </c>
      <c r="E101" s="114">
        <v>999999</v>
      </c>
    </row>
    <row r="102" spans="1:5" x14ac:dyDescent="0.4">
      <c r="A102" s="114" t="s">
        <v>1200</v>
      </c>
      <c r="B102" s="114" t="s">
        <v>1201</v>
      </c>
      <c r="C102" s="423">
        <v>999999</v>
      </c>
      <c r="D102" s="114" t="s">
        <v>1073</v>
      </c>
      <c r="E102" s="114">
        <v>999999</v>
      </c>
    </row>
    <row r="103" spans="1:5" x14ac:dyDescent="0.4">
      <c r="A103" s="114" t="s">
        <v>1202</v>
      </c>
      <c r="B103" s="114" t="s">
        <v>1203</v>
      </c>
      <c r="C103" s="423">
        <v>999999</v>
      </c>
      <c r="D103" s="114" t="s">
        <v>1073</v>
      </c>
      <c r="E103" s="114">
        <v>999999</v>
      </c>
    </row>
    <row r="104" spans="1:5" x14ac:dyDescent="0.4">
      <c r="A104" s="114" t="s">
        <v>1204</v>
      </c>
      <c r="B104" s="114" t="s">
        <v>1205</v>
      </c>
      <c r="C104" s="423">
        <v>999999</v>
      </c>
      <c r="D104" s="114" t="s">
        <v>1073</v>
      </c>
      <c r="E104" s="114">
        <v>999999</v>
      </c>
    </row>
    <row r="105" spans="1:5" x14ac:dyDescent="0.4">
      <c r="A105" s="114" t="s">
        <v>1206</v>
      </c>
      <c r="B105" s="114" t="s">
        <v>1207</v>
      </c>
      <c r="C105" s="423">
        <v>999999</v>
      </c>
      <c r="D105" s="114" t="s">
        <v>1073</v>
      </c>
      <c r="E105" s="114">
        <v>999999</v>
      </c>
    </row>
    <row r="106" spans="1:5" x14ac:dyDescent="0.4">
      <c r="A106" s="114" t="s">
        <v>1208</v>
      </c>
      <c r="B106" s="114" t="s">
        <v>1209</v>
      </c>
      <c r="C106" s="423">
        <v>999999</v>
      </c>
      <c r="D106" s="114" t="s">
        <v>1073</v>
      </c>
      <c r="E106" s="114">
        <v>999999</v>
      </c>
    </row>
    <row r="107" spans="1:5" x14ac:dyDescent="0.4">
      <c r="A107" s="114" t="s">
        <v>1210</v>
      </c>
      <c r="B107" s="114" t="s">
        <v>1211</v>
      </c>
      <c r="C107" s="423">
        <v>999999</v>
      </c>
      <c r="D107" s="114" t="s">
        <v>1073</v>
      </c>
      <c r="E107" s="114">
        <v>999999</v>
      </c>
    </row>
    <row r="108" spans="1:5" x14ac:dyDescent="0.4">
      <c r="A108" s="114" t="s">
        <v>1212</v>
      </c>
      <c r="B108" s="114" t="s">
        <v>1213</v>
      </c>
      <c r="C108" s="423">
        <v>999999</v>
      </c>
      <c r="D108" s="114" t="s">
        <v>1073</v>
      </c>
      <c r="E108" s="114">
        <v>999999</v>
      </c>
    </row>
    <row r="109" spans="1:5" x14ac:dyDescent="0.4">
      <c r="A109" s="114" t="s">
        <v>1214</v>
      </c>
      <c r="B109" s="114" t="s">
        <v>1215</v>
      </c>
      <c r="C109" s="423">
        <v>999999</v>
      </c>
      <c r="D109" s="114" t="s">
        <v>1073</v>
      </c>
      <c r="E109" s="114">
        <v>999999</v>
      </c>
    </row>
    <row r="110" spans="1:5" x14ac:dyDescent="0.4">
      <c r="A110" s="114" t="s">
        <v>1216</v>
      </c>
      <c r="B110" s="114" t="s">
        <v>1217</v>
      </c>
      <c r="C110" s="423">
        <v>999999</v>
      </c>
      <c r="D110" s="114" t="s">
        <v>1073</v>
      </c>
      <c r="E110" s="114">
        <v>999999</v>
      </c>
    </row>
    <row r="111" spans="1:5" x14ac:dyDescent="0.4">
      <c r="A111" s="114" t="s">
        <v>1218</v>
      </c>
      <c r="B111" s="114" t="s">
        <v>1219</v>
      </c>
      <c r="C111" s="423">
        <v>999999</v>
      </c>
      <c r="D111" s="114" t="s">
        <v>1073</v>
      </c>
      <c r="E111" s="114">
        <v>999999</v>
      </c>
    </row>
    <row r="112" spans="1:5" x14ac:dyDescent="0.4">
      <c r="A112" s="114" t="s">
        <v>1220</v>
      </c>
      <c r="B112" s="114" t="s">
        <v>1221</v>
      </c>
      <c r="C112" s="423">
        <v>999999</v>
      </c>
      <c r="D112" s="114" t="s">
        <v>1073</v>
      </c>
      <c r="E112" s="114">
        <v>999999</v>
      </c>
    </row>
    <row r="113" spans="1:7" x14ac:dyDescent="0.4">
      <c r="A113" s="114" t="s">
        <v>1222</v>
      </c>
      <c r="B113" s="114" t="s">
        <v>1223</v>
      </c>
      <c r="C113" s="423">
        <v>999999</v>
      </c>
      <c r="D113" s="114" t="s">
        <v>1073</v>
      </c>
      <c r="E113" s="114">
        <v>999999</v>
      </c>
    </row>
    <row r="114" spans="1:7" x14ac:dyDescent="0.4">
      <c r="A114" s="114" t="s">
        <v>1224</v>
      </c>
      <c r="B114" s="114" t="s">
        <v>1225</v>
      </c>
      <c r="C114" s="423">
        <v>999999</v>
      </c>
      <c r="D114" s="114" t="s">
        <v>1073</v>
      </c>
      <c r="E114" s="114">
        <v>999999</v>
      </c>
    </row>
    <row r="115" spans="1:7" x14ac:dyDescent="0.4">
      <c r="A115" s="114" t="s">
        <v>1226</v>
      </c>
      <c r="B115" s="114" t="s">
        <v>1227</v>
      </c>
      <c r="C115" s="423">
        <v>999999</v>
      </c>
      <c r="D115" s="114" t="s">
        <v>1073</v>
      </c>
      <c r="E115" s="114">
        <v>999999</v>
      </c>
    </row>
    <row r="116" spans="1:7" x14ac:dyDescent="0.4">
      <c r="A116" s="114" t="s">
        <v>1228</v>
      </c>
      <c r="B116" s="114" t="s">
        <v>1229</v>
      </c>
      <c r="C116" s="423">
        <v>999999</v>
      </c>
      <c r="D116" s="114" t="s">
        <v>1073</v>
      </c>
      <c r="E116" s="114">
        <v>999999</v>
      </c>
    </row>
    <row r="117" spans="1:7" x14ac:dyDescent="0.4">
      <c r="A117" s="114" t="s">
        <v>1230</v>
      </c>
      <c r="B117" s="114" t="s">
        <v>1231</v>
      </c>
      <c r="C117" s="423">
        <v>999999</v>
      </c>
      <c r="D117" s="114" t="s">
        <v>1073</v>
      </c>
      <c r="E117" s="114">
        <v>999999</v>
      </c>
    </row>
    <row r="118" spans="1:7" x14ac:dyDescent="0.4">
      <c r="A118" s="114" t="s">
        <v>1232</v>
      </c>
      <c r="B118" s="114" t="s">
        <v>1232</v>
      </c>
      <c r="C118" s="423">
        <v>62</v>
      </c>
      <c r="D118" s="114" t="s">
        <v>834</v>
      </c>
    </row>
    <row r="119" spans="1:7" x14ac:dyDescent="0.4">
      <c r="A119" s="114" t="s">
        <v>267</v>
      </c>
      <c r="B119" s="114" t="s">
        <v>267</v>
      </c>
      <c r="C119" s="423">
        <v>3.48</v>
      </c>
      <c r="D119" s="114" t="s">
        <v>774</v>
      </c>
      <c r="E119" s="114">
        <v>0.1</v>
      </c>
    </row>
    <row r="120" spans="1:7" x14ac:dyDescent="0.4">
      <c r="A120" s="114" t="s">
        <v>266</v>
      </c>
      <c r="B120" s="114" t="s">
        <v>266</v>
      </c>
      <c r="C120" s="423">
        <v>4.5599999999999996</v>
      </c>
      <c r="D120" s="114" t="s">
        <v>774</v>
      </c>
      <c r="E120" s="114">
        <v>0.1</v>
      </c>
    </row>
    <row r="121" spans="1:7" x14ac:dyDescent="0.4">
      <c r="A121" s="114" t="s">
        <v>360</v>
      </c>
      <c r="B121" s="114" t="s">
        <v>360</v>
      </c>
      <c r="C121" s="423">
        <v>2.4</v>
      </c>
      <c r="D121" s="114" t="s">
        <v>774</v>
      </c>
      <c r="E121" s="114">
        <v>0.1</v>
      </c>
    </row>
    <row r="122" spans="1:7" x14ac:dyDescent="0.4">
      <c r="A122" s="114" t="s">
        <v>350</v>
      </c>
      <c r="B122" s="114" t="s">
        <v>350</v>
      </c>
      <c r="E122" s="114">
        <v>1</v>
      </c>
    </row>
    <row r="123" spans="1:7" x14ac:dyDescent="0.4">
      <c r="A123" s="114" t="s">
        <v>278</v>
      </c>
      <c r="C123" s="423">
        <v>36</v>
      </c>
    </row>
    <row r="124" spans="1:7" x14ac:dyDescent="0.4">
      <c r="A124" s="114" t="s">
        <v>1251</v>
      </c>
      <c r="C124" s="423">
        <v>60</v>
      </c>
    </row>
    <row r="125" spans="1:7" x14ac:dyDescent="0.4">
      <c r="A125" s="114" t="s">
        <v>322</v>
      </c>
      <c r="E125" s="114">
        <v>0.1</v>
      </c>
    </row>
    <row r="126" spans="1:7" x14ac:dyDescent="0.4">
      <c r="A126" s="114" t="s">
        <v>1252</v>
      </c>
      <c r="C126" s="423">
        <v>5.8</v>
      </c>
      <c r="E126" s="114">
        <v>0.1</v>
      </c>
    </row>
    <row r="127" spans="1:7" x14ac:dyDescent="0.4">
      <c r="A127" s="114" t="s">
        <v>1288</v>
      </c>
      <c r="B127" s="297" t="s">
        <v>752</v>
      </c>
      <c r="C127" s="300">
        <v>47</v>
      </c>
      <c r="E127" s="114">
        <v>1</v>
      </c>
      <c r="G127" s="297" t="s">
        <v>753</v>
      </c>
    </row>
    <row r="128" spans="1:7" x14ac:dyDescent="0.4">
      <c r="A128" s="114" t="s">
        <v>1289</v>
      </c>
      <c r="C128" s="423">
        <v>420</v>
      </c>
      <c r="E128" s="114">
        <v>1</v>
      </c>
    </row>
    <row r="129" spans="1:7" x14ac:dyDescent="0.4">
      <c r="A129" s="114" t="s">
        <v>1024</v>
      </c>
      <c r="B129" s="297" t="s">
        <v>765</v>
      </c>
      <c r="C129" s="423">
        <v>11.46</v>
      </c>
      <c r="G129" s="297" t="s">
        <v>767</v>
      </c>
    </row>
    <row r="130" spans="1:7" x14ac:dyDescent="0.4">
      <c r="A130" s="114" t="s">
        <v>1290</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1304</v>
      </c>
      <c r="B133" s="297" t="s">
        <v>786</v>
      </c>
      <c r="C133" s="301">
        <v>541.20000000000005</v>
      </c>
      <c r="E133" s="114">
        <v>2</v>
      </c>
    </row>
    <row r="134" spans="1:7" x14ac:dyDescent="0.4">
      <c r="A134" s="114" t="s">
        <v>1305</v>
      </c>
      <c r="B134" s="297" t="s">
        <v>790</v>
      </c>
      <c r="C134" s="301">
        <v>721.6</v>
      </c>
      <c r="E134" s="114">
        <v>2</v>
      </c>
    </row>
    <row r="135" spans="1:7" x14ac:dyDescent="0.4">
      <c r="A135" s="114" t="s">
        <v>1306</v>
      </c>
      <c r="B135" s="297" t="s">
        <v>789</v>
      </c>
      <c r="C135" s="301">
        <v>1021.9</v>
      </c>
      <c r="E135" s="114">
        <v>2</v>
      </c>
    </row>
    <row r="136" spans="1:7" x14ac:dyDescent="0.4">
      <c r="A136" s="114" t="s">
        <v>325</v>
      </c>
      <c r="C136" s="423">
        <v>240</v>
      </c>
      <c r="E136" s="114">
        <v>1</v>
      </c>
    </row>
    <row r="137" spans="1:7" x14ac:dyDescent="0.4">
      <c r="A137" s="114" t="s">
        <v>990</v>
      </c>
      <c r="B137" s="423" t="str">
        <f>B13</f>
        <v>PL22G24LED + PL22R24LED</v>
      </c>
      <c r="C137" s="423">
        <f>C13</f>
        <v>16</v>
      </c>
      <c r="D137" s="423" t="str">
        <f t="shared" ref="D137:G137" si="0">D13</f>
        <v>Dore</v>
      </c>
      <c r="E137" s="423">
        <f t="shared" si="0"/>
        <v>0</v>
      </c>
      <c r="F137" s="423">
        <f t="shared" si="0"/>
        <v>0</v>
      </c>
      <c r="G137" s="423" t="str">
        <f t="shared" si="0"/>
        <v>B8</v>
      </c>
    </row>
    <row r="138" spans="1:7" x14ac:dyDescent="0.4">
      <c r="A138" s="114" t="s">
        <v>1353</v>
      </c>
      <c r="B138" s="114" t="s">
        <v>271</v>
      </c>
      <c r="C138" s="476">
        <v>3.97</v>
      </c>
      <c r="D138" s="114" t="str">
        <f>D120</f>
        <v>Design Data</v>
      </c>
      <c r="E138" s="114">
        <v>0.1</v>
      </c>
    </row>
  </sheetData>
  <conditionalFormatting sqref="A10">
    <cfRule type="expression" dxfId="10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8EEAE2-BBB9-411E-875C-5758A28AAF32}">
          <x14:formula1>
            <xm:f>'D:\Github\IGOC-Workspace\Mech Elec Template\[V2 - XXX -  Mech Elec - Rev A.xlsx]Sheet1'!#REF!</xm:f>
          </x14:formula1>
          <xm:sqref>A22:A23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ACD25-B345-457F-B82B-C7849FC904E9}">
  <dimension ref="A1:I92"/>
  <sheetViews>
    <sheetView workbookViewId="0"/>
  </sheetViews>
  <sheetFormatPr defaultColWidth="9.3046875" defaultRowHeight="14.6" x14ac:dyDescent="0.4"/>
  <cols>
    <col min="1" max="1" width="13.69140625" style="114" bestFit="1" customWidth="1"/>
    <col min="2" max="2" width="7.53515625" style="114" bestFit="1" customWidth="1"/>
    <col min="3" max="3" width="18.84375" style="114" bestFit="1" customWidth="1"/>
    <col min="4" max="4" width="19.15234375" style="423" customWidth="1"/>
    <col min="5" max="5" width="5.69140625" style="114" bestFit="1" customWidth="1"/>
    <col min="6" max="6" width="16.69140625" style="114" bestFit="1" customWidth="1"/>
    <col min="7" max="7" width="3.15234375" style="114" bestFit="1" customWidth="1"/>
    <col min="8" max="8" width="5.15234375" style="114" bestFit="1" customWidth="1"/>
    <col min="9" max="9" width="5.69140625" style="114" bestFit="1" customWidth="1"/>
    <col min="10" max="16384" width="9.3046875" style="114"/>
  </cols>
  <sheetData>
    <row r="1" spans="1:9" s="33" customFormat="1" x14ac:dyDescent="0.4">
      <c r="A1" s="33" t="s">
        <v>1233</v>
      </c>
      <c r="B1" s="33" t="s">
        <v>750</v>
      </c>
      <c r="C1" s="33" t="s">
        <v>1233</v>
      </c>
      <c r="D1" s="444" t="s">
        <v>933</v>
      </c>
      <c r="E1" s="33" t="s">
        <v>930</v>
      </c>
      <c r="F1" s="33" t="s">
        <v>1234</v>
      </c>
      <c r="G1" s="33" t="s">
        <v>1233</v>
      </c>
      <c r="H1" s="33" t="s">
        <v>933</v>
      </c>
      <c r="I1" s="33" t="s">
        <v>930</v>
      </c>
    </row>
    <row r="2" spans="1:9" x14ac:dyDescent="0.4">
      <c r="A2" s="114" t="s">
        <v>1062</v>
      </c>
      <c r="B2" s="114" t="s">
        <v>834</v>
      </c>
      <c r="C2" s="114" t="s">
        <v>961</v>
      </c>
      <c r="D2" s="423">
        <f>VLOOKUP(C2,'Part List'!B:D,2,FALSE)</f>
        <v>243.55</v>
      </c>
      <c r="H2" s="423" t="e">
        <f>VLOOKUP(G2,'Part List'!B:D,2,FALSE)</f>
        <v>#N/A</v>
      </c>
    </row>
    <row r="3" spans="1:9" x14ac:dyDescent="0.4">
      <c r="A3" s="114" t="s">
        <v>1063</v>
      </c>
      <c r="B3" s="114" t="s">
        <v>834</v>
      </c>
      <c r="C3" s="114" t="s">
        <v>746</v>
      </c>
      <c r="D3" s="423">
        <f>VLOOKUP(C3,'Part List'!B:D,2,FALSE)</f>
        <v>294.60000000000002</v>
      </c>
      <c r="H3" s="423" t="e">
        <f>VLOOKUP(G3,'Part List'!B:D,2,FALSE)</f>
        <v>#N/A</v>
      </c>
    </row>
    <row r="4" spans="1:9" x14ac:dyDescent="0.4">
      <c r="A4" s="114" t="s">
        <v>1064</v>
      </c>
      <c r="B4" s="114" t="s">
        <v>834</v>
      </c>
      <c r="C4" s="114" t="s">
        <v>964</v>
      </c>
      <c r="D4" s="423">
        <f>VLOOKUP(C4,'Part List'!B:D,2,FALSE)</f>
        <v>488.25</v>
      </c>
      <c r="H4" s="423" t="e">
        <f>VLOOKUP(G4,'Part List'!B:D,2,FALSE)</f>
        <v>#N/A</v>
      </c>
    </row>
    <row r="5" spans="1:9" x14ac:dyDescent="0.4">
      <c r="A5" s="114" t="s">
        <v>1235</v>
      </c>
      <c r="B5" s="114" t="s">
        <v>834</v>
      </c>
      <c r="C5" s="114" t="s">
        <v>968</v>
      </c>
      <c r="D5" s="423" t="e">
        <f>VLOOKUP(C5,'Part List'!B:D,2,FALSE)</f>
        <v>#N/A</v>
      </c>
      <c r="H5" s="423" t="e">
        <f>VLOOKUP(G5,'Part List'!B:D,2,FALSE)</f>
        <v>#N/A</v>
      </c>
    </row>
    <row r="6" spans="1:9" x14ac:dyDescent="0.4">
      <c r="A6" s="114" t="s">
        <v>1065</v>
      </c>
      <c r="B6" s="114" t="s">
        <v>834</v>
      </c>
      <c r="C6" s="114" t="s">
        <v>970</v>
      </c>
      <c r="D6" s="423">
        <f>VLOOKUP(C6,'Part List'!B:D,2,FALSE)</f>
        <v>700.9</v>
      </c>
      <c r="H6" s="423" t="e">
        <f>VLOOKUP(G6,'Part List'!B:D,2,FALSE)</f>
        <v>#N/A</v>
      </c>
    </row>
    <row r="7" spans="1:9" x14ac:dyDescent="0.4">
      <c r="A7" s="114" t="s">
        <v>1066</v>
      </c>
      <c r="B7" s="114" t="s">
        <v>834</v>
      </c>
      <c r="C7" s="114" t="s">
        <v>971</v>
      </c>
      <c r="D7" s="423">
        <f>VLOOKUP(C7,'Part List'!B:D,2,FALSE)</f>
        <v>243.55</v>
      </c>
      <c r="H7" s="423" t="e">
        <f>VLOOKUP(G7,'Part List'!B:D,2,FALSE)</f>
        <v>#N/A</v>
      </c>
    </row>
    <row r="8" spans="1:9" x14ac:dyDescent="0.4">
      <c r="A8" s="114" t="s">
        <v>1067</v>
      </c>
      <c r="B8" s="114" t="s">
        <v>834</v>
      </c>
      <c r="C8" s="114" t="s">
        <v>972</v>
      </c>
      <c r="D8" s="423">
        <f>VLOOKUP(C8,'Part List'!B:D,2,FALSE)</f>
        <v>356.4</v>
      </c>
      <c r="H8" s="423" t="e">
        <f>VLOOKUP(G8,'Part List'!B:D,2,FALSE)</f>
        <v>#N/A</v>
      </c>
    </row>
    <row r="9" spans="1:9" x14ac:dyDescent="0.4">
      <c r="A9" s="114" t="s">
        <v>1068</v>
      </c>
      <c r="B9" s="114" t="s">
        <v>834</v>
      </c>
      <c r="C9" s="114" t="s">
        <v>973</v>
      </c>
      <c r="D9" s="423">
        <f>VLOOKUP(C9,'Part List'!B:D,2,FALSE)</f>
        <v>541.75</v>
      </c>
      <c r="H9" s="423" t="e">
        <f>VLOOKUP(G9,'Part List'!B:D,2,FALSE)</f>
        <v>#N/A</v>
      </c>
    </row>
    <row r="10" spans="1:9" x14ac:dyDescent="0.4">
      <c r="A10" s="114" t="s">
        <v>1069</v>
      </c>
      <c r="B10" s="114" t="s">
        <v>834</v>
      </c>
      <c r="C10" s="114" t="s">
        <v>974</v>
      </c>
      <c r="D10" s="423">
        <f>VLOOKUP(C10,'Part List'!B:D,2,FALSE)</f>
        <v>651</v>
      </c>
      <c r="H10" s="423" t="e">
        <f>VLOOKUP(G10,'Part List'!B:D,2,FALSE)</f>
        <v>#N/A</v>
      </c>
    </row>
    <row r="11" spans="1:9" x14ac:dyDescent="0.4">
      <c r="A11" s="114" t="s">
        <v>1070</v>
      </c>
      <c r="B11" s="114" t="s">
        <v>834</v>
      </c>
      <c r="C11" s="114" t="s">
        <v>970</v>
      </c>
      <c r="D11" s="423">
        <f>VLOOKUP(C11,'Part List'!B:D,2,FALSE)</f>
        <v>700.9</v>
      </c>
      <c r="H11" s="423" t="e">
        <f>VLOOKUP(G11,'Part List'!B:D,2,FALSE)</f>
        <v>#N/A</v>
      </c>
    </row>
    <row r="12" spans="1:9" x14ac:dyDescent="0.4">
      <c r="A12" s="114" t="s">
        <v>1071</v>
      </c>
      <c r="B12" s="114" t="s">
        <v>1073</v>
      </c>
      <c r="C12" s="114" t="s">
        <v>1072</v>
      </c>
      <c r="D12" s="423">
        <f>VLOOKUP(C12,'Part List'!B:D,2,FALSE)</f>
        <v>999999</v>
      </c>
      <c r="H12" s="423" t="e">
        <f>VLOOKUP(G12,'Part List'!B:D,2,FALSE)</f>
        <v>#N/A</v>
      </c>
    </row>
    <row r="13" spans="1:9" x14ac:dyDescent="0.4">
      <c r="A13" s="114" t="s">
        <v>1074</v>
      </c>
      <c r="B13" s="114" t="s">
        <v>1073</v>
      </c>
      <c r="C13" s="114" t="s">
        <v>1075</v>
      </c>
      <c r="D13" s="423">
        <f>VLOOKUP(C13,'Part List'!B:D,2,FALSE)</f>
        <v>999999</v>
      </c>
      <c r="H13" s="423" t="e">
        <f>VLOOKUP(G13,'Part List'!B:D,2,FALSE)</f>
        <v>#N/A</v>
      </c>
    </row>
    <row r="14" spans="1:9" x14ac:dyDescent="0.4">
      <c r="A14" s="114" t="s">
        <v>1076</v>
      </c>
      <c r="B14" s="114" t="s">
        <v>1073</v>
      </c>
      <c r="C14" s="114" t="s">
        <v>1077</v>
      </c>
      <c r="D14" s="423">
        <f>VLOOKUP(C14,'Part List'!B:D,2,FALSE)</f>
        <v>999999</v>
      </c>
      <c r="H14" s="423" t="e">
        <f>VLOOKUP(G14,'Part List'!B:D,2,FALSE)</f>
        <v>#N/A</v>
      </c>
    </row>
    <row r="15" spans="1:9" x14ac:dyDescent="0.4">
      <c r="A15" s="114" t="s">
        <v>1078</v>
      </c>
      <c r="B15" s="114" t="s">
        <v>1073</v>
      </c>
      <c r="C15" s="114" t="s">
        <v>1079</v>
      </c>
      <c r="D15" s="423">
        <f>VLOOKUP(C15,'Part List'!B:D,2,FALSE)</f>
        <v>999999</v>
      </c>
      <c r="H15" s="423" t="e">
        <f>VLOOKUP(G15,'Part List'!B:D,2,FALSE)</f>
        <v>#N/A</v>
      </c>
    </row>
    <row r="16" spans="1:9" x14ac:dyDescent="0.4">
      <c r="A16" s="114" t="s">
        <v>1080</v>
      </c>
      <c r="B16" s="114" t="s">
        <v>1073</v>
      </c>
      <c r="C16" s="114" t="s">
        <v>1081</v>
      </c>
      <c r="D16" s="423">
        <f>VLOOKUP(C16,'Part List'!B:D,2,FALSE)</f>
        <v>999999</v>
      </c>
      <c r="H16" s="423" t="e">
        <f>VLOOKUP(G16,'Part List'!B:D,2,FALSE)</f>
        <v>#N/A</v>
      </c>
    </row>
    <row r="17" spans="1:8" x14ac:dyDescent="0.4">
      <c r="A17" s="114" t="s">
        <v>1082</v>
      </c>
      <c r="B17" s="114" t="s">
        <v>1073</v>
      </c>
      <c r="C17" s="114" t="s">
        <v>1083</v>
      </c>
      <c r="D17" s="423">
        <f>VLOOKUP(C17,'Part List'!B:D,2,FALSE)</f>
        <v>999999</v>
      </c>
      <c r="H17" s="423" t="e">
        <f>VLOOKUP(G17,'Part List'!B:D,2,FALSE)</f>
        <v>#N/A</v>
      </c>
    </row>
    <row r="18" spans="1:8" x14ac:dyDescent="0.4">
      <c r="A18" s="114" t="s">
        <v>1084</v>
      </c>
      <c r="B18" s="114" t="s">
        <v>1073</v>
      </c>
      <c r="C18" s="114" t="s">
        <v>1085</v>
      </c>
      <c r="D18" s="423">
        <f>VLOOKUP(C18,'Part List'!B:D,2,FALSE)</f>
        <v>999999</v>
      </c>
      <c r="H18" s="423" t="e">
        <f>VLOOKUP(G18,'Part List'!B:D,2,FALSE)</f>
        <v>#N/A</v>
      </c>
    </row>
    <row r="19" spans="1:8" x14ac:dyDescent="0.4">
      <c r="A19" s="114" t="s">
        <v>1086</v>
      </c>
      <c r="B19" s="114" t="s">
        <v>1073</v>
      </c>
      <c r="C19" s="114" t="s">
        <v>1087</v>
      </c>
      <c r="D19" s="423">
        <f>VLOOKUP(C19,'Part List'!B:D,2,FALSE)</f>
        <v>999999</v>
      </c>
      <c r="H19" s="423" t="e">
        <f>VLOOKUP(G19,'Part List'!B:D,2,FALSE)</f>
        <v>#N/A</v>
      </c>
    </row>
    <row r="20" spans="1:8" x14ac:dyDescent="0.4">
      <c r="A20" s="114" t="s">
        <v>1088</v>
      </c>
      <c r="B20" s="114" t="s">
        <v>1073</v>
      </c>
      <c r="C20" s="114" t="s">
        <v>1089</v>
      </c>
      <c r="D20" s="423">
        <f>VLOOKUP(C20,'Part List'!B:D,2,FALSE)</f>
        <v>999999</v>
      </c>
      <c r="H20" s="423" t="e">
        <f>VLOOKUP(G20,'Part List'!B:D,2,FALSE)</f>
        <v>#N/A</v>
      </c>
    </row>
    <row r="21" spans="1:8" x14ac:dyDescent="0.4">
      <c r="A21" s="114" t="s">
        <v>1090</v>
      </c>
      <c r="B21" s="114" t="s">
        <v>1073</v>
      </c>
      <c r="C21" s="114" t="s">
        <v>1091</v>
      </c>
      <c r="D21" s="423">
        <f>VLOOKUP(C21,'Part List'!B:D,2,FALSE)</f>
        <v>999999</v>
      </c>
      <c r="H21" s="423" t="e">
        <f>VLOOKUP(G21,'Part List'!B:D,2,FALSE)</f>
        <v>#N/A</v>
      </c>
    </row>
    <row r="22" spans="1:8" x14ac:dyDescent="0.4">
      <c r="A22" s="114" t="s">
        <v>1092</v>
      </c>
      <c r="B22" s="114" t="s">
        <v>1073</v>
      </c>
      <c r="C22" s="114" t="s">
        <v>1093</v>
      </c>
      <c r="D22" s="423">
        <f>VLOOKUP(C22,'Part List'!B:D,2,FALSE)</f>
        <v>999999</v>
      </c>
      <c r="H22" s="423" t="e">
        <f>VLOOKUP(G22,'Part List'!B:D,2,FALSE)</f>
        <v>#N/A</v>
      </c>
    </row>
    <row r="23" spans="1:8" x14ac:dyDescent="0.4">
      <c r="A23" s="114" t="s">
        <v>1094</v>
      </c>
      <c r="B23" s="114" t="s">
        <v>1073</v>
      </c>
      <c r="C23" s="114" t="s">
        <v>1095</v>
      </c>
      <c r="D23" s="423">
        <f>VLOOKUP(C23,'Part List'!B:D,2,FALSE)</f>
        <v>999999</v>
      </c>
      <c r="H23" s="423" t="e">
        <f>VLOOKUP(G23,'Part List'!B:D,2,FALSE)</f>
        <v>#N/A</v>
      </c>
    </row>
    <row r="24" spans="1:8" x14ac:dyDescent="0.4">
      <c r="A24" s="114" t="s">
        <v>1096</v>
      </c>
      <c r="B24" s="114" t="s">
        <v>1073</v>
      </c>
      <c r="C24" s="114" t="s">
        <v>1097</v>
      </c>
      <c r="D24" s="423">
        <f>VLOOKUP(C24,'Part List'!B:D,2,FALSE)</f>
        <v>999999</v>
      </c>
      <c r="H24" s="423" t="e">
        <f>VLOOKUP(G24,'Part List'!B:D,2,FALSE)</f>
        <v>#N/A</v>
      </c>
    </row>
    <row r="25" spans="1:8" x14ac:dyDescent="0.4">
      <c r="A25" s="114" t="s">
        <v>1098</v>
      </c>
      <c r="B25" s="114" t="s">
        <v>1073</v>
      </c>
      <c r="C25" s="114" t="s">
        <v>1099</v>
      </c>
      <c r="D25" s="423">
        <f>VLOOKUP(C25,'Part List'!B:D,2,FALSE)</f>
        <v>999999</v>
      </c>
      <c r="H25" s="423" t="e">
        <f>VLOOKUP(G25,'Part List'!B:D,2,FALSE)</f>
        <v>#N/A</v>
      </c>
    </row>
    <row r="26" spans="1:8" x14ac:dyDescent="0.4">
      <c r="A26" s="114" t="s">
        <v>1100</v>
      </c>
      <c r="B26" s="114" t="s">
        <v>1073</v>
      </c>
      <c r="C26" s="114" t="s">
        <v>1101</v>
      </c>
      <c r="D26" s="423">
        <f>VLOOKUP(C26,'Part List'!B:D,2,FALSE)</f>
        <v>999999</v>
      </c>
      <c r="H26" s="423" t="e">
        <f>VLOOKUP(G26,'Part List'!B:D,2,FALSE)</f>
        <v>#N/A</v>
      </c>
    </row>
    <row r="27" spans="1:8" x14ac:dyDescent="0.4">
      <c r="A27" s="114" t="s">
        <v>1102</v>
      </c>
      <c r="B27" s="114" t="s">
        <v>1073</v>
      </c>
      <c r="C27" s="114" t="s">
        <v>1103</v>
      </c>
      <c r="D27" s="423">
        <f>VLOOKUP(C27,'Part List'!B:D,2,FALSE)</f>
        <v>999999</v>
      </c>
      <c r="H27" s="423" t="e">
        <f>VLOOKUP(G27,'Part List'!B:D,2,FALSE)</f>
        <v>#N/A</v>
      </c>
    </row>
    <row r="28" spans="1:8" x14ac:dyDescent="0.4">
      <c r="A28" s="114" t="s">
        <v>1104</v>
      </c>
      <c r="B28" s="114" t="s">
        <v>1073</v>
      </c>
      <c r="C28" s="114" t="s">
        <v>1105</v>
      </c>
      <c r="D28" s="423">
        <f>VLOOKUP(C28,'Part List'!B:D,2,FALSE)</f>
        <v>999999</v>
      </c>
      <c r="H28" s="423" t="e">
        <f>VLOOKUP(G28,'Part List'!B:D,2,FALSE)</f>
        <v>#N/A</v>
      </c>
    </row>
    <row r="29" spans="1:8" x14ac:dyDescent="0.4">
      <c r="A29" s="114" t="s">
        <v>1106</v>
      </c>
      <c r="B29" s="114" t="s">
        <v>1073</v>
      </c>
      <c r="C29" s="114" t="s">
        <v>1107</v>
      </c>
      <c r="D29" s="423">
        <f>VLOOKUP(C29,'Part List'!B:D,2,FALSE)</f>
        <v>999999</v>
      </c>
      <c r="H29" s="423" t="e">
        <f>VLOOKUP(G29,'Part List'!B:D,2,FALSE)</f>
        <v>#N/A</v>
      </c>
    </row>
    <row r="30" spans="1:8" x14ac:dyDescent="0.4">
      <c r="A30" s="114" t="s">
        <v>1108</v>
      </c>
      <c r="B30" s="114" t="s">
        <v>1073</v>
      </c>
      <c r="C30" s="114" t="s">
        <v>1109</v>
      </c>
      <c r="D30" s="423">
        <f>VLOOKUP(C30,'Part List'!B:D,2,FALSE)</f>
        <v>999999</v>
      </c>
      <c r="H30" s="423" t="e">
        <f>VLOOKUP(G30,'Part List'!B:D,2,FALSE)</f>
        <v>#N/A</v>
      </c>
    </row>
    <row r="31" spans="1:8" x14ac:dyDescent="0.4">
      <c r="A31" s="114" t="s">
        <v>1110</v>
      </c>
      <c r="B31" s="114" t="s">
        <v>1073</v>
      </c>
      <c r="C31" s="114" t="s">
        <v>1111</v>
      </c>
      <c r="D31" s="423">
        <f>VLOOKUP(C31,'Part List'!B:D,2,FALSE)</f>
        <v>999999</v>
      </c>
      <c r="H31" s="423" t="e">
        <f>VLOOKUP(G31,'Part List'!B:D,2,FALSE)</f>
        <v>#N/A</v>
      </c>
    </row>
    <row r="32" spans="1:8" x14ac:dyDescent="0.4">
      <c r="A32" s="114" t="s">
        <v>1112</v>
      </c>
      <c r="B32" s="114" t="s">
        <v>1073</v>
      </c>
      <c r="C32" s="114" t="s">
        <v>1113</v>
      </c>
      <c r="D32" s="423">
        <f>VLOOKUP(C32,'Part List'!B:D,2,FALSE)</f>
        <v>999999</v>
      </c>
      <c r="H32" s="423" t="e">
        <f>VLOOKUP(G32,'Part List'!B:D,2,FALSE)</f>
        <v>#N/A</v>
      </c>
    </row>
    <row r="33" spans="1:8" x14ac:dyDescent="0.4">
      <c r="A33" s="114" t="s">
        <v>1114</v>
      </c>
      <c r="B33" s="114" t="s">
        <v>1073</v>
      </c>
      <c r="C33" s="114" t="s">
        <v>1115</v>
      </c>
      <c r="D33" s="423">
        <f>VLOOKUP(C33,'Part List'!B:D,2,FALSE)</f>
        <v>999999</v>
      </c>
      <c r="H33" s="423" t="e">
        <f>VLOOKUP(G33,'Part List'!B:D,2,FALSE)</f>
        <v>#N/A</v>
      </c>
    </row>
    <row r="34" spans="1:8" x14ac:dyDescent="0.4">
      <c r="A34" s="114" t="s">
        <v>1116</v>
      </c>
      <c r="B34" s="114" t="s">
        <v>1073</v>
      </c>
      <c r="C34" s="114" t="s">
        <v>1117</v>
      </c>
      <c r="D34" s="423">
        <f>VLOOKUP(C34,'Part List'!B:D,2,FALSE)</f>
        <v>999999</v>
      </c>
      <c r="H34" s="423" t="e">
        <f>VLOOKUP(G34,'Part List'!B:D,2,FALSE)</f>
        <v>#N/A</v>
      </c>
    </row>
    <row r="35" spans="1:8" x14ac:dyDescent="0.4">
      <c r="A35" s="114" t="s">
        <v>1118</v>
      </c>
      <c r="B35" s="114" t="s">
        <v>1073</v>
      </c>
      <c r="C35" s="114" t="s">
        <v>1119</v>
      </c>
      <c r="D35" s="423">
        <f>VLOOKUP(C35,'Part List'!B:D,2,FALSE)</f>
        <v>999999</v>
      </c>
      <c r="H35" s="423" t="e">
        <f>VLOOKUP(G35,'Part List'!B:D,2,FALSE)</f>
        <v>#N/A</v>
      </c>
    </row>
    <row r="36" spans="1:8" x14ac:dyDescent="0.4">
      <c r="A36" s="114" t="s">
        <v>1120</v>
      </c>
      <c r="B36" s="114" t="s">
        <v>1073</v>
      </c>
      <c r="C36" s="114" t="s">
        <v>1121</v>
      </c>
      <c r="D36" s="423">
        <f>VLOOKUP(C36,'Part List'!B:D,2,FALSE)</f>
        <v>999999</v>
      </c>
      <c r="H36" s="423" t="e">
        <f>VLOOKUP(G36,'Part List'!B:D,2,FALSE)</f>
        <v>#N/A</v>
      </c>
    </row>
    <row r="37" spans="1:8" x14ac:dyDescent="0.4">
      <c r="A37" s="114" t="s">
        <v>1122</v>
      </c>
      <c r="B37" s="114" t="s">
        <v>1073</v>
      </c>
      <c r="C37" s="114" t="s">
        <v>1123</v>
      </c>
      <c r="D37" s="423">
        <f>VLOOKUP(C37,'Part List'!B:D,2,FALSE)</f>
        <v>999999</v>
      </c>
      <c r="H37" s="423" t="e">
        <f>VLOOKUP(G37,'Part List'!B:D,2,FALSE)</f>
        <v>#N/A</v>
      </c>
    </row>
    <row r="38" spans="1:8" x14ac:dyDescent="0.4">
      <c r="A38" s="114" t="s">
        <v>1124</v>
      </c>
      <c r="B38" s="114" t="s">
        <v>1073</v>
      </c>
      <c r="C38" s="114" t="s">
        <v>1125</v>
      </c>
      <c r="D38" s="423">
        <f>VLOOKUP(C38,'Part List'!B:D,2,FALSE)</f>
        <v>999999</v>
      </c>
      <c r="H38" s="423" t="e">
        <f>VLOOKUP(G38,'Part List'!B:D,2,FALSE)</f>
        <v>#N/A</v>
      </c>
    </row>
    <row r="39" spans="1:8" x14ac:dyDescent="0.4">
      <c r="A39" s="114" t="s">
        <v>1126</v>
      </c>
      <c r="B39" s="114" t="s">
        <v>1073</v>
      </c>
      <c r="C39" s="114" t="s">
        <v>1127</v>
      </c>
      <c r="D39" s="423">
        <f>VLOOKUP(C39,'Part List'!B:D,2,FALSE)</f>
        <v>999999</v>
      </c>
      <c r="H39" s="423" t="e">
        <f>VLOOKUP(G39,'Part List'!B:D,2,FALSE)</f>
        <v>#N/A</v>
      </c>
    </row>
    <row r="40" spans="1:8" x14ac:dyDescent="0.4">
      <c r="A40" s="114" t="s">
        <v>1128</v>
      </c>
      <c r="B40" s="114" t="s">
        <v>1073</v>
      </c>
      <c r="C40" s="114" t="s">
        <v>1129</v>
      </c>
      <c r="D40" s="423">
        <f>VLOOKUP(C40,'Part List'!B:D,2,FALSE)</f>
        <v>999999</v>
      </c>
      <c r="H40" s="423" t="e">
        <f>VLOOKUP(G40,'Part List'!B:D,2,FALSE)</f>
        <v>#N/A</v>
      </c>
    </row>
    <row r="41" spans="1:8" x14ac:dyDescent="0.4">
      <c r="A41" s="114" t="s">
        <v>1130</v>
      </c>
      <c r="B41" s="114" t="s">
        <v>1073</v>
      </c>
      <c r="C41" s="114" t="s">
        <v>1131</v>
      </c>
      <c r="D41" s="423">
        <f>VLOOKUP(C41,'Part List'!B:D,2,FALSE)</f>
        <v>999999</v>
      </c>
      <c r="H41" s="423" t="e">
        <f>VLOOKUP(G41,'Part List'!B:D,2,FALSE)</f>
        <v>#N/A</v>
      </c>
    </row>
    <row r="42" spans="1:8" x14ac:dyDescent="0.4">
      <c r="A42" s="114" t="s">
        <v>1132</v>
      </c>
      <c r="B42" s="114" t="s">
        <v>1073</v>
      </c>
      <c r="C42" s="114" t="s">
        <v>1133</v>
      </c>
      <c r="D42" s="423">
        <f>VLOOKUP(C42,'Part List'!B:D,2,FALSE)</f>
        <v>999999</v>
      </c>
      <c r="H42" s="423" t="e">
        <f>VLOOKUP(G42,'Part List'!B:D,2,FALSE)</f>
        <v>#N/A</v>
      </c>
    </row>
    <row r="43" spans="1:8" x14ac:dyDescent="0.4">
      <c r="A43" s="114" t="s">
        <v>1134</v>
      </c>
      <c r="B43" s="114" t="s">
        <v>1073</v>
      </c>
      <c r="C43" s="114" t="s">
        <v>1135</v>
      </c>
      <c r="D43" s="423">
        <f>VLOOKUP(C43,'Part List'!B:D,2,FALSE)</f>
        <v>999999</v>
      </c>
      <c r="H43" s="423" t="e">
        <f>VLOOKUP(G43,'Part List'!B:D,2,FALSE)</f>
        <v>#N/A</v>
      </c>
    </row>
    <row r="44" spans="1:8" x14ac:dyDescent="0.4">
      <c r="A44" s="114" t="s">
        <v>1136</v>
      </c>
      <c r="B44" s="114" t="s">
        <v>1073</v>
      </c>
      <c r="C44" s="114" t="s">
        <v>1137</v>
      </c>
      <c r="D44" s="423">
        <f>VLOOKUP(C44,'Part List'!B:D,2,FALSE)</f>
        <v>999999</v>
      </c>
      <c r="H44" s="423" t="e">
        <f>VLOOKUP(G44,'Part List'!B:D,2,FALSE)</f>
        <v>#N/A</v>
      </c>
    </row>
    <row r="45" spans="1:8" x14ac:dyDescent="0.4">
      <c r="A45" s="114" t="s">
        <v>1138</v>
      </c>
      <c r="B45" s="114" t="s">
        <v>1073</v>
      </c>
      <c r="C45" s="114" t="s">
        <v>1139</v>
      </c>
      <c r="D45" s="423">
        <f>VLOOKUP(C45,'Part List'!B:D,2,FALSE)</f>
        <v>999999</v>
      </c>
      <c r="H45" s="423" t="e">
        <f>VLOOKUP(G45,'Part List'!B:D,2,FALSE)</f>
        <v>#N/A</v>
      </c>
    </row>
    <row r="46" spans="1:8" x14ac:dyDescent="0.4">
      <c r="A46" s="114" t="s">
        <v>1140</v>
      </c>
      <c r="B46" s="114" t="s">
        <v>1073</v>
      </c>
      <c r="C46" s="114" t="s">
        <v>1141</v>
      </c>
      <c r="D46" s="423">
        <f>VLOOKUP(C46,'Part List'!B:D,2,FALSE)</f>
        <v>999999</v>
      </c>
      <c r="H46" s="423" t="e">
        <f>VLOOKUP(G46,'Part List'!B:D,2,FALSE)</f>
        <v>#N/A</v>
      </c>
    </row>
    <row r="47" spans="1:8" x14ac:dyDescent="0.4">
      <c r="A47" s="114" t="s">
        <v>1142</v>
      </c>
      <c r="B47" s="114" t="s">
        <v>1073</v>
      </c>
      <c r="C47" s="114" t="s">
        <v>1143</v>
      </c>
      <c r="D47" s="423">
        <f>VLOOKUP(C47,'Part List'!B:D,2,FALSE)</f>
        <v>999999</v>
      </c>
      <c r="H47" s="423" t="e">
        <f>VLOOKUP(G47,'Part List'!B:D,2,FALSE)</f>
        <v>#N/A</v>
      </c>
    </row>
    <row r="48" spans="1:8" x14ac:dyDescent="0.4">
      <c r="A48" s="114" t="s">
        <v>1144</v>
      </c>
      <c r="B48" s="114" t="s">
        <v>1073</v>
      </c>
      <c r="C48" s="114" t="s">
        <v>1145</v>
      </c>
      <c r="D48" s="423">
        <f>VLOOKUP(C48,'Part List'!B:D,2,FALSE)</f>
        <v>999999</v>
      </c>
      <c r="H48" s="423" t="e">
        <f>VLOOKUP(G48,'Part List'!B:D,2,FALSE)</f>
        <v>#N/A</v>
      </c>
    </row>
    <row r="49" spans="1:8" x14ac:dyDescent="0.4">
      <c r="A49" s="114" t="s">
        <v>1146</v>
      </c>
      <c r="B49" s="114" t="s">
        <v>1073</v>
      </c>
      <c r="C49" s="114" t="s">
        <v>1147</v>
      </c>
      <c r="D49" s="423">
        <f>VLOOKUP(C49,'Part List'!B:D,2,FALSE)</f>
        <v>999999</v>
      </c>
      <c r="H49" s="423" t="e">
        <f>VLOOKUP(G49,'Part List'!B:D,2,FALSE)</f>
        <v>#N/A</v>
      </c>
    </row>
    <row r="50" spans="1:8" x14ac:dyDescent="0.4">
      <c r="A50" s="114" t="s">
        <v>1148</v>
      </c>
      <c r="B50" s="114" t="s">
        <v>1073</v>
      </c>
      <c r="C50" s="114" t="s">
        <v>1149</v>
      </c>
      <c r="D50" s="423">
        <f>VLOOKUP(C50,'Part List'!B:D,2,FALSE)</f>
        <v>999999</v>
      </c>
      <c r="H50" s="423" t="e">
        <f>VLOOKUP(G50,'Part List'!B:D,2,FALSE)</f>
        <v>#N/A</v>
      </c>
    </row>
    <row r="51" spans="1:8" x14ac:dyDescent="0.4">
      <c r="A51" s="114" t="s">
        <v>1150</v>
      </c>
      <c r="B51" s="114" t="s">
        <v>1073</v>
      </c>
      <c r="C51" s="114" t="s">
        <v>1151</v>
      </c>
      <c r="D51" s="423">
        <f>VLOOKUP(C51,'Part List'!B:D,2,FALSE)</f>
        <v>999999</v>
      </c>
      <c r="H51" s="423" t="e">
        <f>VLOOKUP(G51,'Part List'!B:D,2,FALSE)</f>
        <v>#N/A</v>
      </c>
    </row>
    <row r="52" spans="1:8" x14ac:dyDescent="0.4">
      <c r="A52" s="114" t="s">
        <v>1152</v>
      </c>
      <c r="B52" s="114" t="s">
        <v>1073</v>
      </c>
      <c r="C52" s="114" t="s">
        <v>1153</v>
      </c>
      <c r="D52" s="423">
        <f>VLOOKUP(C52,'Part List'!B:D,2,FALSE)</f>
        <v>999999</v>
      </c>
      <c r="H52" s="423" t="e">
        <f>VLOOKUP(G52,'Part List'!B:D,2,FALSE)</f>
        <v>#N/A</v>
      </c>
    </row>
    <row r="53" spans="1:8" x14ac:dyDescent="0.4">
      <c r="A53" s="114" t="s">
        <v>1154</v>
      </c>
      <c r="B53" s="114" t="s">
        <v>1073</v>
      </c>
      <c r="C53" s="114" t="s">
        <v>1155</v>
      </c>
      <c r="D53" s="423">
        <f>VLOOKUP(C53,'Part List'!B:D,2,FALSE)</f>
        <v>999999</v>
      </c>
      <c r="H53" s="423" t="e">
        <f>VLOOKUP(G53,'Part List'!B:D,2,FALSE)</f>
        <v>#N/A</v>
      </c>
    </row>
    <row r="54" spans="1:8" x14ac:dyDescent="0.4">
      <c r="A54" s="114" t="s">
        <v>1156</v>
      </c>
      <c r="B54" s="114" t="s">
        <v>1073</v>
      </c>
      <c r="C54" s="114" t="s">
        <v>1157</v>
      </c>
      <c r="D54" s="423">
        <f>VLOOKUP(C54,'Part List'!B:D,2,FALSE)</f>
        <v>999999</v>
      </c>
      <c r="H54" s="423" t="e">
        <f>VLOOKUP(G54,'Part List'!B:D,2,FALSE)</f>
        <v>#N/A</v>
      </c>
    </row>
    <row r="55" spans="1:8" x14ac:dyDescent="0.4">
      <c r="A55" s="114" t="s">
        <v>1158</v>
      </c>
      <c r="B55" s="114" t="s">
        <v>1073</v>
      </c>
      <c r="C55" s="114" t="s">
        <v>1159</v>
      </c>
      <c r="D55" s="423">
        <f>VLOOKUP(C55,'Part List'!B:D,2,FALSE)</f>
        <v>999999</v>
      </c>
      <c r="H55" s="423" t="e">
        <f>VLOOKUP(G55,'Part List'!B:D,2,FALSE)</f>
        <v>#N/A</v>
      </c>
    </row>
    <row r="56" spans="1:8" x14ac:dyDescent="0.4">
      <c r="A56" s="114" t="s">
        <v>1160</v>
      </c>
      <c r="B56" s="114" t="s">
        <v>1073</v>
      </c>
      <c r="C56" s="114" t="s">
        <v>1161</v>
      </c>
      <c r="D56" s="423">
        <f>VLOOKUP(C56,'Part List'!B:D,2,FALSE)</f>
        <v>999999</v>
      </c>
      <c r="H56" s="423" t="e">
        <f>VLOOKUP(G56,'Part List'!B:D,2,FALSE)</f>
        <v>#N/A</v>
      </c>
    </row>
    <row r="57" spans="1:8" x14ac:dyDescent="0.4">
      <c r="A57" s="114" t="s">
        <v>1162</v>
      </c>
      <c r="B57" s="114" t="s">
        <v>1073</v>
      </c>
      <c r="C57" s="114" t="s">
        <v>1163</v>
      </c>
      <c r="D57" s="423">
        <f>VLOOKUP(C57,'Part List'!B:D,2,FALSE)</f>
        <v>999999</v>
      </c>
      <c r="H57" s="423" t="e">
        <f>VLOOKUP(G57,'Part List'!B:D,2,FALSE)</f>
        <v>#N/A</v>
      </c>
    </row>
    <row r="58" spans="1:8" x14ac:dyDescent="0.4">
      <c r="A58" s="114" t="s">
        <v>1164</v>
      </c>
      <c r="B58" s="114" t="s">
        <v>1073</v>
      </c>
      <c r="C58" s="114" t="s">
        <v>1165</v>
      </c>
      <c r="D58" s="423">
        <f>VLOOKUP(C58,'Part List'!B:D,2,FALSE)</f>
        <v>999999</v>
      </c>
      <c r="H58" s="423" t="e">
        <f>VLOOKUP(G58,'Part List'!B:D,2,FALSE)</f>
        <v>#N/A</v>
      </c>
    </row>
    <row r="59" spans="1:8" x14ac:dyDescent="0.4">
      <c r="A59" s="114" t="s">
        <v>1166</v>
      </c>
      <c r="B59" s="114" t="s">
        <v>1073</v>
      </c>
      <c r="C59" s="114" t="s">
        <v>1167</v>
      </c>
      <c r="D59" s="423">
        <f>VLOOKUP(C59,'Part List'!B:D,2,FALSE)</f>
        <v>999999</v>
      </c>
      <c r="H59" s="423" t="e">
        <f>VLOOKUP(G59,'Part List'!B:D,2,FALSE)</f>
        <v>#N/A</v>
      </c>
    </row>
    <row r="60" spans="1:8" x14ac:dyDescent="0.4">
      <c r="A60" s="114" t="s">
        <v>1168</v>
      </c>
      <c r="B60" s="114" t="s">
        <v>1073</v>
      </c>
      <c r="C60" s="114" t="s">
        <v>1169</v>
      </c>
      <c r="D60" s="423">
        <f>VLOOKUP(C60,'Part List'!B:D,2,FALSE)</f>
        <v>999999</v>
      </c>
      <c r="H60" s="423" t="e">
        <f>VLOOKUP(G60,'Part List'!B:D,2,FALSE)</f>
        <v>#N/A</v>
      </c>
    </row>
    <row r="61" spans="1:8" x14ac:dyDescent="0.4">
      <c r="A61" s="114" t="s">
        <v>1170</v>
      </c>
      <c r="B61" s="114" t="s">
        <v>1073</v>
      </c>
      <c r="C61" s="114" t="s">
        <v>1171</v>
      </c>
      <c r="D61" s="423">
        <f>VLOOKUP(C61,'Part List'!B:D,2,FALSE)</f>
        <v>999999</v>
      </c>
      <c r="H61" s="423" t="e">
        <f>VLOOKUP(G61,'Part List'!B:D,2,FALSE)</f>
        <v>#N/A</v>
      </c>
    </row>
    <row r="62" spans="1:8" x14ac:dyDescent="0.4">
      <c r="A62" s="114" t="s">
        <v>1172</v>
      </c>
      <c r="B62" s="114" t="s">
        <v>1073</v>
      </c>
      <c r="C62" s="114" t="s">
        <v>1173</v>
      </c>
      <c r="D62" s="423">
        <f>VLOOKUP(C62,'Part List'!B:D,2,FALSE)</f>
        <v>999999</v>
      </c>
      <c r="H62" s="423" t="e">
        <f>VLOOKUP(G62,'Part List'!B:D,2,FALSE)</f>
        <v>#N/A</v>
      </c>
    </row>
    <row r="63" spans="1:8" x14ac:dyDescent="0.4">
      <c r="A63" s="114" t="s">
        <v>1174</v>
      </c>
      <c r="B63" s="114" t="s">
        <v>1073</v>
      </c>
      <c r="C63" s="114" t="s">
        <v>1175</v>
      </c>
      <c r="D63" s="423">
        <f>VLOOKUP(C63,'Part List'!B:D,2,FALSE)</f>
        <v>999999</v>
      </c>
      <c r="H63" s="423" t="e">
        <f>VLOOKUP(G63,'Part List'!B:D,2,FALSE)</f>
        <v>#N/A</v>
      </c>
    </row>
    <row r="64" spans="1:8" x14ac:dyDescent="0.4">
      <c r="A64" s="114" t="s">
        <v>1176</v>
      </c>
      <c r="B64" s="114" t="s">
        <v>1073</v>
      </c>
      <c r="C64" s="114" t="s">
        <v>1177</v>
      </c>
      <c r="D64" s="423">
        <f>VLOOKUP(C64,'Part List'!B:D,2,FALSE)</f>
        <v>999999</v>
      </c>
      <c r="H64" s="423" t="e">
        <f>VLOOKUP(G64,'Part List'!B:D,2,FALSE)</f>
        <v>#N/A</v>
      </c>
    </row>
    <row r="65" spans="1:8" x14ac:dyDescent="0.4">
      <c r="A65" s="114" t="s">
        <v>1178</v>
      </c>
      <c r="B65" s="114" t="s">
        <v>1073</v>
      </c>
      <c r="C65" s="114" t="s">
        <v>1179</v>
      </c>
      <c r="D65" s="423">
        <f>VLOOKUP(C65,'Part List'!B:D,2,FALSE)</f>
        <v>999999</v>
      </c>
      <c r="H65" s="423" t="e">
        <f>VLOOKUP(G65,'Part List'!B:D,2,FALSE)</f>
        <v>#N/A</v>
      </c>
    </row>
    <row r="66" spans="1:8" x14ac:dyDescent="0.4">
      <c r="A66" s="114" t="s">
        <v>1180</v>
      </c>
      <c r="B66" s="114" t="s">
        <v>1073</v>
      </c>
      <c r="C66" s="114" t="s">
        <v>1181</v>
      </c>
      <c r="D66" s="423">
        <f>VLOOKUP(C66,'Part List'!B:D,2,FALSE)</f>
        <v>999999</v>
      </c>
      <c r="H66" s="423" t="e">
        <f>VLOOKUP(G66,'Part List'!B:D,2,FALSE)</f>
        <v>#N/A</v>
      </c>
    </row>
    <row r="67" spans="1:8" x14ac:dyDescent="0.4">
      <c r="A67" s="114" t="s">
        <v>1182</v>
      </c>
      <c r="B67" s="114" t="s">
        <v>1073</v>
      </c>
      <c r="C67" s="114" t="s">
        <v>1183</v>
      </c>
      <c r="D67" s="423">
        <f>VLOOKUP(C67,'Part List'!B:D,2,FALSE)</f>
        <v>999999</v>
      </c>
      <c r="H67" s="423" t="e">
        <f>VLOOKUP(G67,'Part List'!B:D,2,FALSE)</f>
        <v>#N/A</v>
      </c>
    </row>
    <row r="68" spans="1:8" x14ac:dyDescent="0.4">
      <c r="A68" s="114" t="s">
        <v>1184</v>
      </c>
      <c r="B68" s="114" t="s">
        <v>1073</v>
      </c>
      <c r="C68" s="114" t="s">
        <v>1185</v>
      </c>
      <c r="D68" s="423">
        <f>VLOOKUP(C68,'Part List'!B:D,2,FALSE)</f>
        <v>999999</v>
      </c>
      <c r="H68" s="423" t="e">
        <f>VLOOKUP(G68,'Part List'!B:D,2,FALSE)</f>
        <v>#N/A</v>
      </c>
    </row>
    <row r="69" spans="1:8" x14ac:dyDescent="0.4">
      <c r="A69" s="114" t="s">
        <v>1186</v>
      </c>
      <c r="B69" s="114" t="s">
        <v>1073</v>
      </c>
      <c r="C69" s="114" t="s">
        <v>1187</v>
      </c>
      <c r="D69" s="423">
        <f>VLOOKUP(C69,'Part List'!B:D,2,FALSE)</f>
        <v>999999</v>
      </c>
      <c r="H69" s="423" t="e">
        <f>VLOOKUP(G69,'Part List'!B:D,2,FALSE)</f>
        <v>#N/A</v>
      </c>
    </row>
    <row r="70" spans="1:8" x14ac:dyDescent="0.4">
      <c r="A70" s="114" t="s">
        <v>1188</v>
      </c>
      <c r="B70" s="114" t="s">
        <v>1073</v>
      </c>
      <c r="C70" s="114" t="s">
        <v>1189</v>
      </c>
      <c r="D70" s="423">
        <f>VLOOKUP(C70,'Part List'!B:D,2,FALSE)</f>
        <v>999999</v>
      </c>
      <c r="H70" s="423" t="e">
        <f>VLOOKUP(G70,'Part List'!B:D,2,FALSE)</f>
        <v>#N/A</v>
      </c>
    </row>
    <row r="71" spans="1:8" x14ac:dyDescent="0.4">
      <c r="A71" s="114" t="s">
        <v>1190</v>
      </c>
      <c r="B71" s="114" t="s">
        <v>1073</v>
      </c>
      <c r="C71" s="114" t="s">
        <v>1191</v>
      </c>
      <c r="D71" s="423">
        <f>VLOOKUP(C71,'Part List'!B:D,2,FALSE)</f>
        <v>999999</v>
      </c>
      <c r="H71" s="423" t="e">
        <f>VLOOKUP(G71,'Part List'!B:D,2,FALSE)</f>
        <v>#N/A</v>
      </c>
    </row>
    <row r="72" spans="1:8" x14ac:dyDescent="0.4">
      <c r="A72" s="114" t="s">
        <v>1192</v>
      </c>
      <c r="B72" s="114" t="s">
        <v>1073</v>
      </c>
      <c r="C72" s="114" t="s">
        <v>1193</v>
      </c>
      <c r="D72" s="423">
        <f>VLOOKUP(C72,'Part List'!B:D,2,FALSE)</f>
        <v>999999</v>
      </c>
      <c r="H72" s="423" t="e">
        <f>VLOOKUP(G72,'Part List'!B:D,2,FALSE)</f>
        <v>#N/A</v>
      </c>
    </row>
    <row r="73" spans="1:8" x14ac:dyDescent="0.4">
      <c r="A73" s="114" t="s">
        <v>1194</v>
      </c>
      <c r="B73" s="114" t="s">
        <v>1073</v>
      </c>
      <c r="C73" s="114" t="s">
        <v>1195</v>
      </c>
      <c r="D73" s="423">
        <f>VLOOKUP(C73,'Part List'!B:D,2,FALSE)</f>
        <v>999999</v>
      </c>
      <c r="H73" s="423" t="e">
        <f>VLOOKUP(G73,'Part List'!B:D,2,FALSE)</f>
        <v>#N/A</v>
      </c>
    </row>
    <row r="74" spans="1:8" x14ac:dyDescent="0.4">
      <c r="A74" s="114" t="s">
        <v>1196</v>
      </c>
      <c r="B74" s="114" t="s">
        <v>1073</v>
      </c>
      <c r="C74" s="114" t="s">
        <v>1197</v>
      </c>
      <c r="D74" s="423">
        <f>VLOOKUP(C74,'Part List'!B:D,2,FALSE)</f>
        <v>999999</v>
      </c>
      <c r="H74" s="423" t="e">
        <f>VLOOKUP(G74,'Part List'!B:D,2,FALSE)</f>
        <v>#N/A</v>
      </c>
    </row>
    <row r="75" spans="1:8" x14ac:dyDescent="0.4">
      <c r="A75" s="114" t="s">
        <v>1198</v>
      </c>
      <c r="B75" s="114" t="s">
        <v>1073</v>
      </c>
      <c r="C75" s="114" t="s">
        <v>1199</v>
      </c>
      <c r="D75" s="423">
        <f>VLOOKUP(C75,'Part List'!B:D,2,FALSE)</f>
        <v>999999</v>
      </c>
      <c r="H75" s="423" t="e">
        <f>VLOOKUP(G75,'Part List'!B:D,2,FALSE)</f>
        <v>#N/A</v>
      </c>
    </row>
    <row r="76" spans="1:8" x14ac:dyDescent="0.4">
      <c r="A76" s="114" t="s">
        <v>1200</v>
      </c>
      <c r="B76" s="114" t="s">
        <v>1073</v>
      </c>
      <c r="C76" s="114" t="s">
        <v>1201</v>
      </c>
      <c r="D76" s="423">
        <f>VLOOKUP(C76,'Part List'!B:D,2,FALSE)</f>
        <v>999999</v>
      </c>
      <c r="H76" s="423" t="e">
        <f>VLOOKUP(G76,'Part List'!B:D,2,FALSE)</f>
        <v>#N/A</v>
      </c>
    </row>
    <row r="77" spans="1:8" x14ac:dyDescent="0.4">
      <c r="A77" s="114" t="s">
        <v>1202</v>
      </c>
      <c r="B77" s="114" t="s">
        <v>1073</v>
      </c>
      <c r="C77" s="114" t="s">
        <v>1203</v>
      </c>
      <c r="D77" s="423">
        <f>VLOOKUP(C77,'Part List'!B:D,2,FALSE)</f>
        <v>999999</v>
      </c>
      <c r="H77" s="423" t="e">
        <f>VLOOKUP(G77,'Part List'!B:D,2,FALSE)</f>
        <v>#N/A</v>
      </c>
    </row>
    <row r="78" spans="1:8" x14ac:dyDescent="0.4">
      <c r="A78" s="114" t="s">
        <v>1204</v>
      </c>
      <c r="B78" s="114" t="s">
        <v>1073</v>
      </c>
      <c r="C78" s="114" t="s">
        <v>1205</v>
      </c>
      <c r="D78" s="423">
        <f>VLOOKUP(C78,'Part List'!B:D,2,FALSE)</f>
        <v>999999</v>
      </c>
      <c r="H78" s="423" t="e">
        <f>VLOOKUP(G78,'Part List'!B:D,2,FALSE)</f>
        <v>#N/A</v>
      </c>
    </row>
    <row r="79" spans="1:8" x14ac:dyDescent="0.4">
      <c r="A79" s="114" t="s">
        <v>1206</v>
      </c>
      <c r="B79" s="114" t="s">
        <v>1073</v>
      </c>
      <c r="C79" s="114" t="s">
        <v>1207</v>
      </c>
      <c r="D79" s="423">
        <f>VLOOKUP(C79,'Part List'!B:D,2,FALSE)</f>
        <v>999999</v>
      </c>
      <c r="H79" s="423" t="e">
        <f>VLOOKUP(G79,'Part List'!B:D,2,FALSE)</f>
        <v>#N/A</v>
      </c>
    </row>
    <row r="80" spans="1:8" x14ac:dyDescent="0.4">
      <c r="A80" s="114" t="s">
        <v>1208</v>
      </c>
      <c r="B80" s="114" t="s">
        <v>1073</v>
      </c>
      <c r="C80" s="114" t="s">
        <v>1209</v>
      </c>
      <c r="D80" s="423">
        <f>VLOOKUP(C80,'Part List'!B:D,2,FALSE)</f>
        <v>999999</v>
      </c>
      <c r="H80" s="423" t="e">
        <f>VLOOKUP(G80,'Part List'!B:D,2,FALSE)</f>
        <v>#N/A</v>
      </c>
    </row>
    <row r="81" spans="1:8" x14ac:dyDescent="0.4">
      <c r="A81" s="114" t="s">
        <v>1210</v>
      </c>
      <c r="B81" s="114" t="s">
        <v>1073</v>
      </c>
      <c r="C81" s="114" t="s">
        <v>1211</v>
      </c>
      <c r="D81" s="423">
        <f>VLOOKUP(C81,'Part List'!B:D,2,FALSE)</f>
        <v>999999</v>
      </c>
      <c r="H81" s="423" t="e">
        <f>VLOOKUP(G81,'Part List'!B:D,2,FALSE)</f>
        <v>#N/A</v>
      </c>
    </row>
    <row r="82" spans="1:8" x14ac:dyDescent="0.4">
      <c r="A82" s="114" t="s">
        <v>1212</v>
      </c>
      <c r="B82" s="114" t="s">
        <v>1073</v>
      </c>
      <c r="C82" s="114" t="s">
        <v>1213</v>
      </c>
      <c r="D82" s="423">
        <f>VLOOKUP(C82,'Part List'!B:D,2,FALSE)</f>
        <v>999999</v>
      </c>
      <c r="H82" s="423" t="e">
        <f>VLOOKUP(G82,'Part List'!B:D,2,FALSE)</f>
        <v>#N/A</v>
      </c>
    </row>
    <row r="83" spans="1:8" x14ac:dyDescent="0.4">
      <c r="A83" s="114" t="s">
        <v>1214</v>
      </c>
      <c r="B83" s="114" t="s">
        <v>1073</v>
      </c>
      <c r="C83" s="114" t="s">
        <v>1215</v>
      </c>
      <c r="D83" s="423">
        <f>VLOOKUP(C83,'Part List'!B:D,2,FALSE)</f>
        <v>999999</v>
      </c>
      <c r="H83" s="423" t="e">
        <f>VLOOKUP(G83,'Part List'!B:D,2,FALSE)</f>
        <v>#N/A</v>
      </c>
    </row>
    <row r="84" spans="1:8" x14ac:dyDescent="0.4">
      <c r="A84" s="114" t="s">
        <v>1216</v>
      </c>
      <c r="B84" s="114" t="s">
        <v>1073</v>
      </c>
      <c r="C84" s="114" t="s">
        <v>1217</v>
      </c>
      <c r="D84" s="423">
        <f>VLOOKUP(C84,'Part List'!B:D,2,FALSE)</f>
        <v>999999</v>
      </c>
      <c r="H84" s="423" t="e">
        <f>VLOOKUP(G84,'Part List'!B:D,2,FALSE)</f>
        <v>#N/A</v>
      </c>
    </row>
    <row r="85" spans="1:8" x14ac:dyDescent="0.4">
      <c r="A85" s="114" t="s">
        <v>1218</v>
      </c>
      <c r="B85" s="114" t="s">
        <v>1073</v>
      </c>
      <c r="C85" s="114" t="s">
        <v>1219</v>
      </c>
      <c r="D85" s="423">
        <f>VLOOKUP(C85,'Part List'!B:D,2,FALSE)</f>
        <v>999999</v>
      </c>
      <c r="H85" s="423" t="e">
        <f>VLOOKUP(G85,'Part List'!B:D,2,FALSE)</f>
        <v>#N/A</v>
      </c>
    </row>
    <row r="86" spans="1:8" x14ac:dyDescent="0.4">
      <c r="A86" s="114" t="s">
        <v>1220</v>
      </c>
      <c r="B86" s="114" t="s">
        <v>1073</v>
      </c>
      <c r="C86" s="114" t="s">
        <v>1221</v>
      </c>
      <c r="D86" s="423">
        <f>VLOOKUP(C86,'Part List'!B:D,2,FALSE)</f>
        <v>999999</v>
      </c>
      <c r="H86" s="423" t="e">
        <f>VLOOKUP(G86,'Part List'!B:D,2,FALSE)</f>
        <v>#N/A</v>
      </c>
    </row>
    <row r="87" spans="1:8" x14ac:dyDescent="0.4">
      <c r="A87" s="114" t="s">
        <v>1222</v>
      </c>
      <c r="B87" s="114" t="s">
        <v>1073</v>
      </c>
      <c r="C87" s="114" t="s">
        <v>1223</v>
      </c>
      <c r="D87" s="423">
        <f>VLOOKUP(C87,'Part List'!B:D,2,FALSE)</f>
        <v>999999</v>
      </c>
      <c r="H87" s="423" t="e">
        <f>VLOOKUP(G87,'Part List'!B:D,2,FALSE)</f>
        <v>#N/A</v>
      </c>
    </row>
    <row r="88" spans="1:8" x14ac:dyDescent="0.4">
      <c r="A88" s="114" t="s">
        <v>1224</v>
      </c>
      <c r="B88" s="114" t="s">
        <v>1073</v>
      </c>
      <c r="C88" s="114" t="s">
        <v>1225</v>
      </c>
      <c r="D88" s="423">
        <f>VLOOKUP(C88,'Part List'!B:D,2,FALSE)</f>
        <v>999999</v>
      </c>
      <c r="H88" s="423" t="e">
        <f>VLOOKUP(G88,'Part List'!B:D,2,FALSE)</f>
        <v>#N/A</v>
      </c>
    </row>
    <row r="89" spans="1:8" x14ac:dyDescent="0.4">
      <c r="A89" s="114" t="s">
        <v>1226</v>
      </c>
      <c r="B89" s="114" t="s">
        <v>1073</v>
      </c>
      <c r="C89" s="114" t="s">
        <v>1227</v>
      </c>
      <c r="D89" s="423">
        <f>VLOOKUP(C89,'Part List'!B:D,2,FALSE)</f>
        <v>999999</v>
      </c>
      <c r="H89" s="423" t="e">
        <f>VLOOKUP(G89,'Part List'!B:D,2,FALSE)</f>
        <v>#N/A</v>
      </c>
    </row>
    <row r="90" spans="1:8" x14ac:dyDescent="0.4">
      <c r="A90" s="114" t="s">
        <v>1228</v>
      </c>
      <c r="B90" s="114" t="s">
        <v>1073</v>
      </c>
      <c r="C90" s="114" t="s">
        <v>1229</v>
      </c>
      <c r="D90" s="423">
        <f>VLOOKUP(C90,'Part List'!B:D,2,FALSE)</f>
        <v>999999</v>
      </c>
      <c r="H90" s="423" t="e">
        <f>VLOOKUP(G90,'Part List'!B:D,2,FALSE)</f>
        <v>#N/A</v>
      </c>
    </row>
    <row r="91" spans="1:8" x14ac:dyDescent="0.4">
      <c r="A91" s="114" t="s">
        <v>1230</v>
      </c>
      <c r="B91" s="114" t="s">
        <v>1073</v>
      </c>
      <c r="C91" s="114" t="s">
        <v>1231</v>
      </c>
      <c r="D91" s="423">
        <f>VLOOKUP(C91,'Part List'!B:D,2,FALSE)</f>
        <v>999999</v>
      </c>
      <c r="H91" s="423" t="e">
        <f>VLOOKUP(G91,'Part List'!B:D,2,FALSE)</f>
        <v>#N/A</v>
      </c>
    </row>
    <row r="92" spans="1:8" x14ac:dyDescent="0.4">
      <c r="A92" s="114" t="s">
        <v>1232</v>
      </c>
      <c r="B92" s="114" t="s">
        <v>834</v>
      </c>
      <c r="C92" s="114" t="s">
        <v>1232</v>
      </c>
      <c r="D92" s="423">
        <f>VLOOKUP(C92,'Part List'!B:D,2,FALSE)</f>
        <v>62</v>
      </c>
      <c r="H92" s="423" t="e">
        <f>VLOOKUP(G92,'Part List'!B:D,2,FALSE)</f>
        <v>#N/A</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2"/>
  <sheetViews>
    <sheetView workbookViewId="0"/>
  </sheetViews>
  <sheetFormatPr defaultRowHeight="14.6" x14ac:dyDescent="0.4"/>
  <cols>
    <col min="2" max="2" width="27.53515625" customWidth="1"/>
    <col min="18" max="18" width="24.69140625" customWidth="1"/>
    <col min="19" max="19" width="10.152343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880</v>
      </c>
    </row>
    <row r="3" spans="1:22" x14ac:dyDescent="0.4">
      <c r="A3" s="114"/>
      <c r="B3" s="316" t="s">
        <v>845</v>
      </c>
      <c r="C3" s="316" t="s">
        <v>844</v>
      </c>
      <c r="D3" s="316" t="s">
        <v>843</v>
      </c>
      <c r="E3" s="316" t="s">
        <v>842</v>
      </c>
      <c r="F3" s="316" t="s">
        <v>841</v>
      </c>
      <c r="G3" s="114" t="s">
        <v>368</v>
      </c>
      <c r="I3" s="114"/>
      <c r="J3" s="316" t="s">
        <v>845</v>
      </c>
      <c r="K3" s="316" t="s">
        <v>844</v>
      </c>
      <c r="L3" s="316" t="s">
        <v>843</v>
      </c>
      <c r="M3" s="316" t="s">
        <v>842</v>
      </c>
      <c r="N3" s="316" t="s">
        <v>841</v>
      </c>
      <c r="O3" s="114" t="s">
        <v>865</v>
      </c>
      <c r="Q3" s="114"/>
      <c r="R3" s="114" t="str">
        <f t="shared" ref="R3" si="0">J3</f>
        <v>Part</v>
      </c>
      <c r="S3" s="114" t="str">
        <f t="shared" ref="S3" si="1">K3</f>
        <v>Qty</v>
      </c>
      <c r="T3" s="114" t="str">
        <f t="shared" ref="T3" si="2">L3</f>
        <v>Cost  ea</v>
      </c>
      <c r="U3" s="114"/>
      <c r="V3" s="114"/>
    </row>
    <row r="4" spans="1:22" x14ac:dyDescent="0.4">
      <c r="A4" s="114" t="s">
        <v>771</v>
      </c>
      <c r="B4" s="312" t="s">
        <v>840</v>
      </c>
      <c r="C4" s="312">
        <v>0</v>
      </c>
      <c r="D4" s="312">
        <v>714</v>
      </c>
      <c r="E4" s="312">
        <f t="shared" ref="E4:E31" si="3">SUM(D4*C4)</f>
        <v>0</v>
      </c>
      <c r="F4" s="311">
        <v>0</v>
      </c>
      <c r="G4" s="114">
        <f t="shared" ref="G4:G31" si="4">SUM(E4+(E4*F4))</f>
        <v>0</v>
      </c>
      <c r="I4" s="114" t="s">
        <v>771</v>
      </c>
      <c r="J4" s="326" t="s">
        <v>840</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834</v>
      </c>
      <c r="B5" s="312" t="s">
        <v>839</v>
      </c>
      <c r="C5" s="312">
        <v>0</v>
      </c>
      <c r="D5" s="312">
        <v>100</v>
      </c>
      <c r="E5" s="312">
        <f t="shared" si="3"/>
        <v>0</v>
      </c>
      <c r="F5" s="311">
        <v>0</v>
      </c>
      <c r="G5" s="114">
        <f t="shared" si="4"/>
        <v>0</v>
      </c>
      <c r="I5" s="114" t="s">
        <v>834</v>
      </c>
      <c r="J5" s="326" t="s">
        <v>839</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771</v>
      </c>
      <c r="B6" s="312" t="s">
        <v>838</v>
      </c>
      <c r="C6" s="312">
        <v>0</v>
      </c>
      <c r="D6" s="312">
        <v>28</v>
      </c>
      <c r="E6" s="312">
        <f t="shared" si="3"/>
        <v>0</v>
      </c>
      <c r="F6" s="311">
        <v>0</v>
      </c>
      <c r="G6" s="114">
        <f t="shared" si="4"/>
        <v>0</v>
      </c>
      <c r="I6" s="114" t="s">
        <v>771</v>
      </c>
      <c r="J6" s="326" t="s">
        <v>838</v>
      </c>
      <c r="K6" s="326">
        <v>0</v>
      </c>
      <c r="L6" s="326">
        <v>28</v>
      </c>
      <c r="M6" s="326">
        <f t="shared" si="5"/>
        <v>0</v>
      </c>
      <c r="N6" s="311">
        <v>0</v>
      </c>
      <c r="O6" s="114">
        <f t="shared" si="6"/>
        <v>0</v>
      </c>
      <c r="Q6" s="114"/>
      <c r="R6" s="114"/>
      <c r="S6" s="114"/>
      <c r="T6" s="114"/>
    </row>
    <row r="7" spans="1:22" x14ac:dyDescent="0.4">
      <c r="A7" s="114" t="s">
        <v>771</v>
      </c>
      <c r="B7" s="312" t="s">
        <v>837</v>
      </c>
      <c r="C7" s="312">
        <v>0</v>
      </c>
      <c r="D7" s="312">
        <v>14</v>
      </c>
      <c r="E7" s="312">
        <f t="shared" si="3"/>
        <v>0</v>
      </c>
      <c r="F7" s="311">
        <v>0</v>
      </c>
      <c r="G7" s="114">
        <f t="shared" si="4"/>
        <v>0</v>
      </c>
      <c r="I7" s="114" t="s">
        <v>771</v>
      </c>
      <c r="J7" s="326" t="s">
        <v>837</v>
      </c>
      <c r="K7" s="326">
        <v>0</v>
      </c>
      <c r="L7" s="326">
        <v>14</v>
      </c>
      <c r="M7" s="326">
        <f t="shared" si="5"/>
        <v>0</v>
      </c>
      <c r="N7" s="311">
        <v>0</v>
      </c>
      <c r="O7" s="114">
        <f t="shared" si="6"/>
        <v>0</v>
      </c>
      <c r="Q7" s="114"/>
      <c r="R7" s="114"/>
      <c r="S7" s="114"/>
      <c r="T7" s="114"/>
    </row>
    <row r="8" spans="1:22" x14ac:dyDescent="0.4">
      <c r="A8" s="114" t="s">
        <v>834</v>
      </c>
      <c r="B8" s="312" t="s">
        <v>836</v>
      </c>
      <c r="C8" s="312">
        <v>0</v>
      </c>
      <c r="D8" s="312">
        <v>50</v>
      </c>
      <c r="E8" s="312">
        <f t="shared" si="3"/>
        <v>0</v>
      </c>
      <c r="F8" s="311">
        <v>0</v>
      </c>
      <c r="G8" s="114">
        <f t="shared" si="4"/>
        <v>0</v>
      </c>
      <c r="I8" s="114" t="s">
        <v>834</v>
      </c>
      <c r="J8" s="326" t="s">
        <v>836</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834</v>
      </c>
      <c r="B9" s="326" t="s">
        <v>855</v>
      </c>
      <c r="C9" s="326">
        <v>0</v>
      </c>
      <c r="D9" s="326">
        <v>40</v>
      </c>
      <c r="E9" s="326">
        <f t="shared" si="3"/>
        <v>0</v>
      </c>
      <c r="F9" s="311">
        <v>0</v>
      </c>
      <c r="G9" s="114">
        <f t="shared" ref="G9" si="12">SUM(E9+(E9*F9))</f>
        <v>0</v>
      </c>
      <c r="I9" s="114" t="s">
        <v>834</v>
      </c>
      <c r="J9" s="326" t="s">
        <v>855</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771</v>
      </c>
      <c r="B10" s="312" t="s">
        <v>835</v>
      </c>
      <c r="C10" s="312">
        <v>0</v>
      </c>
      <c r="D10" s="312">
        <v>67</v>
      </c>
      <c r="E10" s="312">
        <f t="shared" si="3"/>
        <v>0</v>
      </c>
      <c r="F10" s="311">
        <v>0</v>
      </c>
      <c r="G10" s="114">
        <f t="shared" si="4"/>
        <v>0</v>
      </c>
      <c r="I10" s="114" t="s">
        <v>771</v>
      </c>
      <c r="J10" s="326" t="s">
        <v>835</v>
      </c>
      <c r="K10" s="326">
        <v>0</v>
      </c>
      <c r="L10" s="326">
        <v>67</v>
      </c>
      <c r="M10" s="326">
        <f t="shared" si="5"/>
        <v>0</v>
      </c>
      <c r="N10" s="311">
        <v>0</v>
      </c>
      <c r="O10" s="114">
        <f t="shared" si="6"/>
        <v>0</v>
      </c>
      <c r="Q10" s="114"/>
      <c r="R10" s="114"/>
      <c r="S10" s="114"/>
      <c r="T10" s="114"/>
    </row>
    <row r="11" spans="1:22" s="114" customFormat="1" x14ac:dyDescent="0.4">
      <c r="A11" s="327" t="s">
        <v>856</v>
      </c>
      <c r="B11" s="326" t="s">
        <v>857</v>
      </c>
      <c r="C11" s="326">
        <v>0</v>
      </c>
      <c r="D11" s="326">
        <v>500</v>
      </c>
      <c r="E11" s="326">
        <f t="shared" si="3"/>
        <v>0</v>
      </c>
      <c r="F11" s="311">
        <v>0</v>
      </c>
      <c r="G11" s="114">
        <f t="shared" ref="G11:G12" si="13">SUM(E11+(E11*F11))</f>
        <v>0</v>
      </c>
      <c r="I11" s="327" t="s">
        <v>856</v>
      </c>
      <c r="J11" s="326" t="s">
        <v>857</v>
      </c>
      <c r="K11" s="326">
        <v>0</v>
      </c>
      <c r="L11" s="326">
        <v>500</v>
      </c>
      <c r="M11" s="326">
        <f t="shared" si="5"/>
        <v>0</v>
      </c>
      <c r="N11" s="311">
        <v>0</v>
      </c>
      <c r="O11" s="114">
        <f t="shared" si="6"/>
        <v>0</v>
      </c>
    </row>
    <row r="12" spans="1:22" s="114" customFormat="1" x14ac:dyDescent="0.4">
      <c r="A12" s="327" t="s">
        <v>858</v>
      </c>
      <c r="B12" s="326" t="s">
        <v>859</v>
      </c>
      <c r="C12" s="326">
        <v>0</v>
      </c>
      <c r="D12" s="326">
        <v>360</v>
      </c>
      <c r="E12" s="326">
        <f t="shared" si="3"/>
        <v>0</v>
      </c>
      <c r="F12" s="311">
        <v>0</v>
      </c>
      <c r="G12" s="114">
        <f t="shared" si="13"/>
        <v>0</v>
      </c>
      <c r="I12" s="327" t="s">
        <v>858</v>
      </c>
      <c r="J12" s="326" t="s">
        <v>859</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834</v>
      </c>
      <c r="B13" s="312" t="s">
        <v>833</v>
      </c>
      <c r="C13" s="312">
        <v>0</v>
      </c>
      <c r="D13" s="312">
        <v>173.5</v>
      </c>
      <c r="E13" s="312">
        <f t="shared" si="3"/>
        <v>0</v>
      </c>
      <c r="F13" s="311">
        <v>0</v>
      </c>
      <c r="G13" s="114">
        <f t="shared" si="4"/>
        <v>0</v>
      </c>
      <c r="I13" s="114" t="s">
        <v>834</v>
      </c>
      <c r="J13" s="326" t="s">
        <v>833</v>
      </c>
      <c r="K13" s="326">
        <v>0</v>
      </c>
      <c r="L13" s="326">
        <v>173.5</v>
      </c>
      <c r="M13" s="326">
        <f t="shared" si="5"/>
        <v>0</v>
      </c>
      <c r="N13" s="311">
        <v>0</v>
      </c>
      <c r="O13" s="114">
        <f t="shared" si="6"/>
        <v>0</v>
      </c>
      <c r="Q13" s="114"/>
      <c r="R13" s="114"/>
      <c r="S13" s="114"/>
      <c r="T13" s="114"/>
    </row>
    <row r="14" spans="1:22" x14ac:dyDescent="0.4">
      <c r="A14" s="114" t="s">
        <v>771</v>
      </c>
      <c r="B14" s="312" t="s">
        <v>832</v>
      </c>
      <c r="C14" s="312">
        <v>0</v>
      </c>
      <c r="D14" s="312">
        <v>40</v>
      </c>
      <c r="E14" s="312">
        <f t="shared" si="3"/>
        <v>0</v>
      </c>
      <c r="F14" s="311">
        <v>0</v>
      </c>
      <c r="G14" s="114">
        <f t="shared" si="4"/>
        <v>0</v>
      </c>
      <c r="I14" s="114" t="s">
        <v>771</v>
      </c>
      <c r="J14" s="326" t="s">
        <v>832</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815</v>
      </c>
      <c r="B15" s="326" t="s">
        <v>860</v>
      </c>
      <c r="C15" s="326">
        <v>0</v>
      </c>
      <c r="D15" s="326">
        <v>120</v>
      </c>
      <c r="E15" s="326">
        <f t="shared" si="3"/>
        <v>0</v>
      </c>
      <c r="F15" s="311">
        <v>0</v>
      </c>
      <c r="G15" s="114">
        <f t="shared" ref="G15:G17" si="14">SUM(E15+(E15*F15))</f>
        <v>0</v>
      </c>
      <c r="I15" s="114" t="s">
        <v>815</v>
      </c>
      <c r="J15" s="326" t="s">
        <v>860</v>
      </c>
      <c r="K15" s="326">
        <v>0</v>
      </c>
      <c r="L15" s="326">
        <v>120</v>
      </c>
      <c r="M15" s="326">
        <f t="shared" si="5"/>
        <v>0</v>
      </c>
      <c r="N15" s="311">
        <v>0</v>
      </c>
      <c r="O15" s="114">
        <f t="shared" si="6"/>
        <v>0</v>
      </c>
    </row>
    <row r="16" spans="1:22" s="114" customFormat="1" x14ac:dyDescent="0.4">
      <c r="A16" s="114" t="s">
        <v>834</v>
      </c>
      <c r="B16" s="326" t="s">
        <v>861</v>
      </c>
      <c r="C16" s="326">
        <v>0</v>
      </c>
      <c r="D16" s="326">
        <v>500</v>
      </c>
      <c r="E16" s="326">
        <f t="shared" si="3"/>
        <v>0</v>
      </c>
      <c r="F16" s="311">
        <v>0</v>
      </c>
      <c r="G16" s="114">
        <f t="shared" si="14"/>
        <v>0</v>
      </c>
      <c r="I16" s="114" t="s">
        <v>834</v>
      </c>
      <c r="J16" s="326" t="s">
        <v>861</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834</v>
      </c>
      <c r="B17" s="326" t="s">
        <v>862</v>
      </c>
      <c r="C17" s="326">
        <v>0</v>
      </c>
      <c r="D17" s="326">
        <v>155</v>
      </c>
      <c r="E17" s="326">
        <f t="shared" si="3"/>
        <v>0</v>
      </c>
      <c r="F17" s="311">
        <v>0</v>
      </c>
      <c r="G17" s="114">
        <f t="shared" si="14"/>
        <v>0</v>
      </c>
      <c r="I17" s="114" t="s">
        <v>834</v>
      </c>
      <c r="J17" s="326" t="s">
        <v>862</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831</v>
      </c>
      <c r="B18" s="314" t="s">
        <v>830</v>
      </c>
      <c r="C18" s="314">
        <v>0</v>
      </c>
      <c r="D18" s="314">
        <v>110</v>
      </c>
      <c r="E18" s="312">
        <f t="shared" si="3"/>
        <v>0</v>
      </c>
      <c r="F18" s="311">
        <v>0</v>
      </c>
      <c r="G18" s="114">
        <f t="shared" si="4"/>
        <v>0</v>
      </c>
      <c r="I18" s="114" t="s">
        <v>831</v>
      </c>
      <c r="J18" s="314" t="s">
        <v>830</v>
      </c>
      <c r="K18" s="314">
        <v>0</v>
      </c>
      <c r="L18" s="314">
        <v>110</v>
      </c>
      <c r="M18" s="314">
        <f t="shared" si="5"/>
        <v>0</v>
      </c>
      <c r="N18" s="311">
        <v>0</v>
      </c>
      <c r="O18" s="114">
        <f t="shared" si="6"/>
        <v>0</v>
      </c>
      <c r="Q18" s="114"/>
      <c r="R18" s="114"/>
      <c r="S18" s="114"/>
      <c r="T18" s="114"/>
    </row>
    <row r="19" spans="1:20" x14ac:dyDescent="0.4">
      <c r="A19" s="114" t="s">
        <v>828</v>
      </c>
      <c r="B19" s="314" t="s">
        <v>829</v>
      </c>
      <c r="C19" s="314">
        <v>0</v>
      </c>
      <c r="D19" s="314">
        <v>110</v>
      </c>
      <c r="E19" s="312">
        <f t="shared" si="3"/>
        <v>0</v>
      </c>
      <c r="F19" s="311">
        <v>0</v>
      </c>
      <c r="G19" s="114">
        <f t="shared" si="4"/>
        <v>0</v>
      </c>
      <c r="I19" s="114" t="s">
        <v>828</v>
      </c>
      <c r="J19" s="314" t="s">
        <v>829</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828</v>
      </c>
      <c r="B20" s="314" t="s">
        <v>827</v>
      </c>
      <c r="C20" s="314">
        <v>0</v>
      </c>
      <c r="D20" s="314">
        <v>110</v>
      </c>
      <c r="E20" s="312">
        <f t="shared" si="3"/>
        <v>0</v>
      </c>
      <c r="F20" s="311">
        <v>0</v>
      </c>
      <c r="G20" s="114">
        <f t="shared" si="4"/>
        <v>0</v>
      </c>
      <c r="I20" s="114" t="s">
        <v>866</v>
      </c>
      <c r="J20" s="314" t="s">
        <v>826</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825</v>
      </c>
      <c r="B21" s="314" t="s">
        <v>826</v>
      </c>
      <c r="C21" s="314">
        <v>0</v>
      </c>
      <c r="D21" s="314">
        <v>85</v>
      </c>
      <c r="E21" s="312">
        <f t="shared" si="3"/>
        <v>0</v>
      </c>
      <c r="F21" s="311">
        <v>0</v>
      </c>
      <c r="G21" s="114">
        <f t="shared" si="4"/>
        <v>0</v>
      </c>
      <c r="I21" s="114" t="s">
        <v>825</v>
      </c>
      <c r="J21" s="314" t="s">
        <v>824</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825</v>
      </c>
      <c r="B22" s="314" t="s">
        <v>824</v>
      </c>
      <c r="C22" s="314">
        <v>0</v>
      </c>
      <c r="D22" s="314">
        <v>85</v>
      </c>
      <c r="E22" s="312">
        <f t="shared" si="3"/>
        <v>0</v>
      </c>
      <c r="F22" s="311">
        <v>0</v>
      </c>
      <c r="G22" s="114">
        <f t="shared" si="4"/>
        <v>0</v>
      </c>
      <c r="I22" s="114" t="s">
        <v>867</v>
      </c>
      <c r="J22" s="314" t="s">
        <v>868</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823</v>
      </c>
      <c r="B23" s="315" t="s">
        <v>822</v>
      </c>
      <c r="C23" s="315">
        <v>0</v>
      </c>
      <c r="D23" s="315">
        <v>110</v>
      </c>
      <c r="E23" s="312">
        <f t="shared" si="3"/>
        <v>0</v>
      </c>
      <c r="F23" s="311">
        <v>0</v>
      </c>
      <c r="G23" s="114">
        <f t="shared" si="4"/>
        <v>0</v>
      </c>
      <c r="I23" s="114" t="s">
        <v>869</v>
      </c>
      <c r="J23" s="314" t="s">
        <v>870</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821</v>
      </c>
      <c r="B24" s="315" t="s">
        <v>803</v>
      </c>
      <c r="C24" s="315">
        <v>0</v>
      </c>
      <c r="D24" s="315">
        <v>110</v>
      </c>
      <c r="E24" s="312">
        <f t="shared" si="3"/>
        <v>0</v>
      </c>
      <c r="F24" s="311">
        <v>0</v>
      </c>
      <c r="G24" s="114">
        <f t="shared" si="4"/>
        <v>0</v>
      </c>
      <c r="I24" s="114" t="s">
        <v>871</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820</v>
      </c>
      <c r="B25" s="315" t="s">
        <v>819</v>
      </c>
      <c r="C25" s="315">
        <v>0</v>
      </c>
      <c r="D25" s="315">
        <v>110</v>
      </c>
      <c r="E25" s="312">
        <f t="shared" si="3"/>
        <v>0</v>
      </c>
      <c r="F25" s="311">
        <v>0</v>
      </c>
      <c r="G25" s="114">
        <f t="shared" si="4"/>
        <v>0</v>
      </c>
      <c r="I25" s="114" t="s">
        <v>815</v>
      </c>
      <c r="J25" s="314" t="s">
        <v>814</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817</v>
      </c>
      <c r="B26" s="315" t="s">
        <v>818</v>
      </c>
      <c r="C26" s="315">
        <v>0</v>
      </c>
      <c r="D26" s="315">
        <v>55</v>
      </c>
      <c r="E26" s="312">
        <f t="shared" si="3"/>
        <v>0</v>
      </c>
      <c r="F26" s="311">
        <v>0</v>
      </c>
      <c r="G26" s="114">
        <f t="shared" si="4"/>
        <v>0</v>
      </c>
      <c r="I26" s="114" t="s">
        <v>834</v>
      </c>
      <c r="J26" s="331" t="s">
        <v>872</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817</v>
      </c>
      <c r="B27" s="315" t="s">
        <v>816</v>
      </c>
      <c r="C27" s="315">
        <v>0</v>
      </c>
      <c r="D27" s="315">
        <v>55</v>
      </c>
      <c r="E27" s="312">
        <f t="shared" si="3"/>
        <v>0</v>
      </c>
      <c r="F27" s="311">
        <v>0</v>
      </c>
      <c r="G27" s="114">
        <f t="shared" si="4"/>
        <v>0</v>
      </c>
      <c r="I27" s="114" t="s">
        <v>873</v>
      </c>
      <c r="J27" s="331" t="s">
        <v>874</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815</v>
      </c>
      <c r="B28" s="314" t="s">
        <v>814</v>
      </c>
      <c r="C28" s="314">
        <v>0</v>
      </c>
      <c r="D28" s="314">
        <v>200</v>
      </c>
      <c r="E28" s="312">
        <f t="shared" si="3"/>
        <v>0</v>
      </c>
      <c r="F28" s="311">
        <v>0</v>
      </c>
      <c r="G28" s="114">
        <f t="shared" si="4"/>
        <v>0</v>
      </c>
      <c r="I28" s="114" t="s">
        <v>875</v>
      </c>
      <c r="J28" s="331" t="s">
        <v>876</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811</v>
      </c>
      <c r="B29" s="313" t="s">
        <v>813</v>
      </c>
      <c r="C29" s="313">
        <v>0</v>
      </c>
      <c r="D29" s="313">
        <v>600</v>
      </c>
      <c r="E29" s="312">
        <f t="shared" si="3"/>
        <v>0</v>
      </c>
      <c r="F29" s="311">
        <v>0</v>
      </c>
      <c r="G29" s="114">
        <f t="shared" si="4"/>
        <v>0</v>
      </c>
      <c r="I29" s="114" t="s">
        <v>811</v>
      </c>
      <c r="J29" s="313" t="s">
        <v>813</v>
      </c>
      <c r="K29" s="313">
        <v>0</v>
      </c>
      <c r="L29" s="313">
        <v>600</v>
      </c>
      <c r="M29" s="313">
        <f t="shared" si="5"/>
        <v>0</v>
      </c>
      <c r="N29" s="311">
        <v>0</v>
      </c>
      <c r="O29" s="114">
        <f t="shared" si="6"/>
        <v>0</v>
      </c>
      <c r="Q29" s="114"/>
      <c r="R29" s="114"/>
      <c r="S29" s="114"/>
      <c r="T29" s="114"/>
    </row>
    <row r="30" spans="1:20" x14ac:dyDescent="0.4">
      <c r="A30" s="114" t="s">
        <v>811</v>
      </c>
      <c r="B30" s="313" t="s">
        <v>812</v>
      </c>
      <c r="C30" s="313">
        <v>0</v>
      </c>
      <c r="D30" s="313">
        <v>100</v>
      </c>
      <c r="E30" s="312">
        <f t="shared" si="3"/>
        <v>0</v>
      </c>
      <c r="F30" s="311">
        <v>0</v>
      </c>
      <c r="G30" s="114">
        <f t="shared" si="4"/>
        <v>0</v>
      </c>
      <c r="I30" s="114" t="s">
        <v>811</v>
      </c>
      <c r="J30" s="313" t="s">
        <v>812</v>
      </c>
      <c r="K30" s="313">
        <v>0</v>
      </c>
      <c r="L30" s="313">
        <v>100</v>
      </c>
      <c r="M30" s="313">
        <f t="shared" si="5"/>
        <v>0</v>
      </c>
      <c r="N30" s="311">
        <v>0</v>
      </c>
      <c r="O30" s="114">
        <f t="shared" si="6"/>
        <v>0</v>
      </c>
      <c r="Q30" s="114"/>
      <c r="R30" s="114"/>
      <c r="S30" s="114"/>
      <c r="T30" s="114"/>
    </row>
    <row r="31" spans="1:20" x14ac:dyDescent="0.4">
      <c r="A31" s="114" t="s">
        <v>811</v>
      </c>
      <c r="B31" s="313" t="s">
        <v>810</v>
      </c>
      <c r="C31" s="313">
        <v>0</v>
      </c>
      <c r="D31" s="313">
        <v>200</v>
      </c>
      <c r="E31" s="312">
        <f t="shared" si="3"/>
        <v>0</v>
      </c>
      <c r="F31" s="311">
        <v>0</v>
      </c>
      <c r="G31" s="114">
        <f t="shared" si="4"/>
        <v>0</v>
      </c>
      <c r="I31" s="114" t="s">
        <v>811</v>
      </c>
      <c r="J31" s="313" t="s">
        <v>810</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877</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878</v>
      </c>
      <c r="J33" s="314" t="s">
        <v>879</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913</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804</v>
      </c>
      <c r="C37" s="324"/>
      <c r="D37" s="324"/>
      <c r="E37" s="324"/>
      <c r="F37" s="324"/>
      <c r="G37" s="325"/>
    </row>
    <row r="38" spans="1:20" x14ac:dyDescent="0.4">
      <c r="A38" s="114"/>
      <c r="B38" s="317" t="s">
        <v>809</v>
      </c>
      <c r="C38" s="318"/>
      <c r="D38" s="318"/>
      <c r="E38" s="318"/>
      <c r="F38" s="318"/>
      <c r="G38" s="319"/>
    </row>
    <row r="39" spans="1:20" x14ac:dyDescent="0.4">
      <c r="A39" s="114"/>
      <c r="B39" s="317" t="s">
        <v>808</v>
      </c>
      <c r="C39" s="318"/>
      <c r="D39" s="318"/>
      <c r="E39" s="318"/>
      <c r="F39" s="318"/>
      <c r="G39" s="319">
        <f>SUM(G4:G36)</f>
        <v>0</v>
      </c>
    </row>
    <row r="40" spans="1:20" x14ac:dyDescent="0.4">
      <c r="A40" s="114"/>
      <c r="B40" s="317" t="s">
        <v>807</v>
      </c>
      <c r="C40" s="318"/>
      <c r="D40" s="318"/>
      <c r="E40" s="318"/>
      <c r="F40" s="318"/>
      <c r="G40" s="319"/>
    </row>
    <row r="41" spans="1:20" x14ac:dyDescent="0.4">
      <c r="A41" s="114"/>
      <c r="B41" s="317" t="s">
        <v>806</v>
      </c>
      <c r="C41" s="318"/>
      <c r="D41" s="318"/>
      <c r="E41" s="318"/>
      <c r="F41" s="318"/>
      <c r="G41" s="319"/>
    </row>
    <row r="42" spans="1:20" ht="15" thickBot="1" x14ac:dyDescent="0.45">
      <c r="A42" s="114"/>
      <c r="B42" s="320" t="s">
        <v>805</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@Car Park</vt:lpstr>
      <vt:lpstr>Part List</vt:lpstr>
      <vt:lpstr>IGOC_Parts</vt:lpstr>
      <vt:lpstr>MJS Controls</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2018-07-31T01:12:12Z</cp:lastPrinted>
  <dcterms:created xsi:type="dcterms:W3CDTF">2017-10-19T06:04:18Z</dcterms:created>
  <dcterms:modified xsi:type="dcterms:W3CDTF">2018-08-08T22:18:48Z</dcterms:modified>
</cp:coreProperties>
</file>